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-120" yWindow="-120" windowWidth="20730" windowHeight="11160"/>
  </bookViews>
  <sheets>
    <sheet name="MBPP" sheetId="1" r:id="rId1"/>
    <sheet name="MBSP " sheetId="2" r:id="rId2"/>
  </sheets>
  <calcPr calcId="152511"/>
  <extLst>
    <ext uri="GoogleSheetsCustomDataVersion1">
      <go:sheetsCustomData xmlns:go="http://customooxmlschemas.google.com/" r:id="rId7" roundtripDataSignature="AMtx7mjEw/HVEHEIUkau60wRqcrPE6cx4A=="/>
    </ext>
  </extLst>
</workbook>
</file>

<file path=xl/calcChain.xml><?xml version="1.0" encoding="utf-8"?>
<calcChain xmlns="http://schemas.openxmlformats.org/spreadsheetml/2006/main">
  <c r="O50" i="2" l="1"/>
  <c r="E50" i="2"/>
  <c r="F50" i="2"/>
  <c r="G50" i="2"/>
  <c r="H50" i="2"/>
  <c r="I50" i="2"/>
  <c r="J50" i="2"/>
  <c r="K50" i="2"/>
  <c r="L50" i="2"/>
  <c r="M50" i="2"/>
  <c r="N50" i="2"/>
  <c r="D50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4" i="2"/>
  <c r="A6" i="2"/>
  <c r="A7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" i="2"/>
  <c r="A51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5" i="1"/>
  <c r="E130" i="1"/>
  <c r="K130" i="1"/>
  <c r="F130" i="1"/>
  <c r="G130" i="1"/>
  <c r="H130" i="1"/>
  <c r="I130" i="1"/>
  <c r="J130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4" i="1"/>
  <c r="J49" i="2"/>
  <c r="F49" i="2"/>
  <c r="J48" i="2"/>
  <c r="F48" i="2"/>
  <c r="E48" i="2"/>
  <c r="J47" i="2"/>
  <c r="H47" i="2"/>
  <c r="F47" i="2"/>
  <c r="E47" i="2"/>
  <c r="D47" i="2"/>
  <c r="J46" i="2"/>
  <c r="I46" i="2"/>
  <c r="H46" i="2"/>
  <c r="F46" i="2"/>
  <c r="E46" i="2"/>
  <c r="J45" i="2"/>
  <c r="I45" i="2"/>
  <c r="H45" i="2"/>
  <c r="F45" i="2"/>
  <c r="E45" i="2"/>
  <c r="L44" i="2"/>
  <c r="H44" i="2"/>
  <c r="F44" i="2"/>
  <c r="E44" i="2"/>
  <c r="N43" i="2"/>
  <c r="M43" i="2"/>
  <c r="K43" i="2"/>
  <c r="E43" i="2"/>
  <c r="J42" i="2"/>
  <c r="I42" i="2"/>
  <c r="H42" i="2"/>
  <c r="E42" i="2"/>
  <c r="I41" i="2"/>
  <c r="F41" i="2"/>
  <c r="E41" i="2"/>
  <c r="E40" i="2"/>
  <c r="E39" i="2"/>
  <c r="E38" i="2"/>
  <c r="L37" i="2"/>
  <c r="J37" i="2"/>
  <c r="E37" i="2"/>
  <c r="H36" i="2"/>
  <c r="L35" i="2"/>
  <c r="J35" i="2"/>
  <c r="F35" i="2"/>
  <c r="H34" i="2"/>
  <c r="F34" i="2"/>
  <c r="E34" i="2"/>
  <c r="F33" i="2"/>
  <c r="J32" i="2"/>
  <c r="I32" i="2"/>
  <c r="H32" i="2"/>
  <c r="K31" i="2"/>
  <c r="F31" i="2"/>
  <c r="J30" i="2"/>
  <c r="F30" i="2"/>
  <c r="J29" i="2"/>
  <c r="H29" i="2"/>
  <c r="F28" i="2"/>
  <c r="J27" i="2"/>
  <c r="I27" i="2"/>
  <c r="H27" i="2"/>
  <c r="G27" i="2"/>
  <c r="F27" i="2"/>
  <c r="E27" i="2"/>
  <c r="J26" i="2"/>
  <c r="I26" i="2"/>
  <c r="E26" i="2"/>
  <c r="K25" i="2"/>
  <c r="I25" i="2"/>
  <c r="E25" i="2"/>
  <c r="J24" i="2"/>
  <c r="I24" i="2"/>
  <c r="H24" i="2"/>
  <c r="E24" i="2"/>
  <c r="J23" i="2"/>
  <c r="I23" i="2"/>
  <c r="H23" i="2"/>
  <c r="E23" i="2"/>
  <c r="K22" i="2"/>
  <c r="J22" i="2"/>
  <c r="H22" i="2"/>
  <c r="E22" i="2"/>
  <c r="K21" i="2"/>
  <c r="I21" i="2"/>
  <c r="E21" i="2"/>
  <c r="I20" i="2"/>
  <c r="K19" i="2"/>
  <c r="I19" i="2"/>
  <c r="J18" i="2"/>
  <c r="I18" i="2"/>
  <c r="H18" i="2"/>
  <c r="E18" i="2"/>
  <c r="J17" i="2"/>
  <c r="I17" i="2"/>
  <c r="H17" i="2"/>
  <c r="F17" i="2"/>
  <c r="E17" i="2"/>
  <c r="K16" i="2"/>
  <c r="J15" i="2"/>
  <c r="H15" i="2"/>
  <c r="J14" i="2"/>
  <c r="H14" i="2"/>
  <c r="F14" i="2"/>
  <c r="L13" i="2"/>
  <c r="I13" i="2"/>
  <c r="E13" i="2"/>
  <c r="L12" i="2"/>
  <c r="I12" i="2"/>
  <c r="E12" i="2"/>
  <c r="L11" i="2"/>
  <c r="E11" i="2"/>
  <c r="L10" i="2"/>
  <c r="I10" i="2"/>
  <c r="E10" i="2"/>
  <c r="J9" i="2"/>
  <c r="K8" i="2"/>
  <c r="I8" i="2"/>
  <c r="K7" i="2"/>
  <c r="I7" i="2"/>
  <c r="K6" i="2"/>
  <c r="I6" i="2"/>
  <c r="H6" i="2"/>
  <c r="E6" i="2"/>
  <c r="J5" i="2"/>
  <c r="I5" i="2"/>
  <c r="H5" i="2"/>
  <c r="K4" i="2"/>
  <c r="J4" i="2"/>
  <c r="I4" i="2"/>
  <c r="F4" i="2"/>
  <c r="E4" i="2"/>
  <c r="E129" i="1"/>
  <c r="J128" i="1"/>
  <c r="I128" i="1"/>
  <c r="G128" i="1"/>
  <c r="E128" i="1"/>
  <c r="J127" i="1"/>
  <c r="I127" i="1"/>
  <c r="F127" i="1"/>
  <c r="E127" i="1"/>
  <c r="I126" i="1"/>
  <c r="G126" i="1"/>
  <c r="E126" i="1"/>
  <c r="G125" i="1"/>
  <c r="E125" i="1"/>
  <c r="J124" i="1"/>
  <c r="E124" i="1"/>
  <c r="I122" i="1"/>
  <c r="G122" i="1"/>
  <c r="E122" i="1"/>
  <c r="I123" i="1"/>
  <c r="E123" i="1"/>
  <c r="I121" i="1"/>
  <c r="G121" i="1"/>
  <c r="E121" i="1"/>
  <c r="I113" i="1"/>
  <c r="H113" i="1"/>
  <c r="E113" i="1"/>
  <c r="I112" i="1"/>
  <c r="E112" i="1"/>
  <c r="G119" i="1"/>
  <c r="E119" i="1"/>
  <c r="G115" i="1"/>
  <c r="E115" i="1"/>
  <c r="I120" i="1"/>
  <c r="G120" i="1"/>
  <c r="E120" i="1"/>
  <c r="J118" i="1"/>
  <c r="G118" i="1"/>
  <c r="E118" i="1"/>
  <c r="E111" i="1"/>
  <c r="F116" i="1"/>
  <c r="E116" i="1"/>
  <c r="I114" i="1"/>
  <c r="F114" i="1"/>
  <c r="I110" i="1"/>
  <c r="F110" i="1"/>
  <c r="I109" i="1"/>
  <c r="F109" i="1"/>
  <c r="E109" i="1"/>
  <c r="I117" i="1"/>
  <c r="G117" i="1"/>
  <c r="E117" i="1"/>
  <c r="F104" i="1"/>
  <c r="I106" i="1"/>
  <c r="G106" i="1"/>
  <c r="F106" i="1"/>
  <c r="I107" i="1"/>
  <c r="G107" i="1"/>
  <c r="F107" i="1"/>
  <c r="E108" i="1"/>
  <c r="I105" i="1"/>
  <c r="G105" i="1"/>
  <c r="E105" i="1"/>
  <c r="I103" i="1"/>
  <c r="G103" i="1"/>
  <c r="E103" i="1"/>
  <c r="G102" i="1"/>
  <c r="E102" i="1"/>
  <c r="E101" i="1"/>
  <c r="I100" i="1"/>
  <c r="G100" i="1"/>
  <c r="E100" i="1"/>
  <c r="I99" i="1"/>
  <c r="G99" i="1"/>
  <c r="E99" i="1"/>
  <c r="I98" i="1"/>
  <c r="E98" i="1"/>
  <c r="J95" i="1"/>
  <c r="I95" i="1"/>
  <c r="F95" i="1"/>
  <c r="F93" i="1"/>
  <c r="I97" i="1"/>
  <c r="E97" i="1"/>
  <c r="J96" i="1"/>
  <c r="E96" i="1"/>
  <c r="J94" i="1"/>
  <c r="G94" i="1"/>
  <c r="E94" i="1"/>
  <c r="F92" i="1"/>
  <c r="E92" i="1"/>
  <c r="G91" i="1"/>
  <c r="E91" i="1"/>
  <c r="I90" i="1"/>
  <c r="G90" i="1"/>
  <c r="E90" i="1"/>
  <c r="I89" i="1"/>
  <c r="G89" i="1"/>
  <c r="F89" i="1"/>
  <c r="E89" i="1"/>
  <c r="I88" i="1"/>
  <c r="G88" i="1"/>
  <c r="E88" i="1"/>
  <c r="G87" i="1"/>
  <c r="E87" i="1"/>
  <c r="I86" i="1"/>
  <c r="G86" i="1"/>
  <c r="E86" i="1"/>
  <c r="J82" i="1"/>
  <c r="I82" i="1"/>
  <c r="F82" i="1"/>
  <c r="F83" i="1"/>
  <c r="I85" i="1"/>
  <c r="G85" i="1"/>
  <c r="E85" i="1"/>
  <c r="I84" i="1"/>
  <c r="G84" i="1"/>
  <c r="E84" i="1"/>
  <c r="J80" i="1"/>
  <c r="F80" i="1"/>
  <c r="I81" i="1"/>
  <c r="G81" i="1"/>
  <c r="E81" i="1"/>
  <c r="G79" i="1"/>
  <c r="E79" i="1"/>
  <c r="I78" i="1"/>
  <c r="G78" i="1"/>
  <c r="E78" i="1"/>
  <c r="J66" i="1"/>
  <c r="G66" i="1"/>
  <c r="J73" i="1"/>
  <c r="F73" i="1"/>
  <c r="F77" i="1"/>
  <c r="J72" i="1"/>
  <c r="F72" i="1"/>
  <c r="J76" i="1"/>
  <c r="I76" i="1"/>
  <c r="I75" i="1"/>
  <c r="G75" i="1"/>
  <c r="E75" i="1"/>
  <c r="J70" i="1"/>
  <c r="G70" i="1"/>
  <c r="E70" i="1"/>
  <c r="J74" i="1"/>
  <c r="F74" i="1"/>
  <c r="H71" i="1"/>
  <c r="G71" i="1"/>
  <c r="F71" i="1"/>
  <c r="J69" i="1"/>
  <c r="I69" i="1"/>
  <c r="G69" i="1"/>
  <c r="F69" i="1"/>
  <c r="E69" i="1"/>
  <c r="J68" i="1"/>
  <c r="E68" i="1"/>
  <c r="J67" i="1"/>
  <c r="E67" i="1"/>
  <c r="J64" i="1"/>
  <c r="F64" i="1"/>
  <c r="J65" i="1"/>
  <c r="E65" i="1"/>
  <c r="J63" i="1"/>
  <c r="I63" i="1"/>
  <c r="G63" i="1"/>
  <c r="F63" i="1"/>
  <c r="E63" i="1"/>
  <c r="J60" i="1"/>
  <c r="F60" i="1"/>
  <c r="I62" i="1"/>
  <c r="G62" i="1"/>
  <c r="E62" i="1"/>
  <c r="E61" i="1"/>
  <c r="F59" i="1"/>
  <c r="J58" i="1"/>
  <c r="I58" i="1"/>
  <c r="F58" i="1"/>
  <c r="E57" i="1"/>
  <c r="J56" i="1"/>
  <c r="I56" i="1"/>
  <c r="G55" i="1"/>
  <c r="E55" i="1"/>
  <c r="I54" i="1"/>
  <c r="E54" i="1"/>
  <c r="I42" i="1"/>
  <c r="I50" i="1"/>
  <c r="F50" i="1"/>
  <c r="J43" i="1"/>
  <c r="I43" i="1"/>
  <c r="F43" i="1"/>
  <c r="J40" i="1"/>
  <c r="I40" i="1"/>
  <c r="F40" i="1"/>
  <c r="J53" i="1"/>
  <c r="E53" i="1"/>
  <c r="J52" i="1"/>
  <c r="E52" i="1"/>
  <c r="I36" i="1"/>
  <c r="I51" i="1"/>
  <c r="G51" i="1"/>
  <c r="E51" i="1"/>
  <c r="I49" i="1"/>
  <c r="G49" i="1"/>
  <c r="E49" i="1"/>
  <c r="I48" i="1"/>
  <c r="G48" i="1"/>
  <c r="E48" i="1"/>
  <c r="I47" i="1"/>
  <c r="G47" i="1"/>
  <c r="E47" i="1"/>
  <c r="J46" i="1"/>
  <c r="I46" i="1"/>
  <c r="G46" i="1"/>
  <c r="F46" i="1"/>
  <c r="E45" i="1"/>
  <c r="J44" i="1"/>
  <c r="I44" i="1"/>
  <c r="G44" i="1"/>
  <c r="F44" i="1"/>
  <c r="J41" i="1"/>
  <c r="I41" i="1"/>
  <c r="G41" i="1"/>
  <c r="F41" i="1"/>
  <c r="I39" i="1"/>
  <c r="G39" i="1"/>
  <c r="E39" i="1"/>
  <c r="I38" i="1"/>
  <c r="G38" i="1"/>
  <c r="E38" i="1"/>
  <c r="I37" i="1"/>
  <c r="G37" i="1"/>
  <c r="E37" i="1"/>
  <c r="I35" i="1"/>
  <c r="G35" i="1"/>
  <c r="E35" i="1"/>
  <c r="J34" i="1"/>
  <c r="G34" i="1"/>
  <c r="E34" i="1"/>
  <c r="I33" i="1"/>
  <c r="G33" i="1"/>
  <c r="E33" i="1"/>
  <c r="I32" i="1"/>
  <c r="G32" i="1"/>
  <c r="E32" i="1"/>
  <c r="I31" i="1"/>
  <c r="G31" i="1"/>
  <c r="E31" i="1"/>
  <c r="I30" i="1"/>
  <c r="G30" i="1"/>
  <c r="E30" i="1"/>
  <c r="I29" i="1"/>
  <c r="G29" i="1"/>
  <c r="E29" i="1"/>
  <c r="I28" i="1"/>
  <c r="G28" i="1"/>
  <c r="F28" i="1"/>
  <c r="I27" i="1"/>
  <c r="G27" i="1"/>
  <c r="E27" i="1"/>
  <c r="I26" i="1"/>
  <c r="G26" i="1"/>
  <c r="E26" i="1"/>
  <c r="G25" i="1"/>
  <c r="E25" i="1"/>
  <c r="I24" i="1"/>
  <c r="G24" i="1"/>
  <c r="E24" i="1"/>
  <c r="I23" i="1"/>
  <c r="G23" i="1"/>
  <c r="E23" i="1"/>
  <c r="G22" i="1"/>
  <c r="E22" i="1"/>
  <c r="I21" i="1"/>
  <c r="G21" i="1"/>
  <c r="E21" i="1"/>
  <c r="J20" i="1"/>
  <c r="E20" i="1"/>
  <c r="J19" i="1"/>
  <c r="I19" i="1"/>
  <c r="F19" i="1"/>
  <c r="I18" i="1"/>
  <c r="E18" i="1"/>
  <c r="I16" i="1"/>
  <c r="F16" i="1"/>
  <c r="I17" i="1"/>
  <c r="E17" i="1"/>
  <c r="F15" i="1"/>
  <c r="J14" i="1"/>
  <c r="E14" i="1"/>
  <c r="J13" i="1"/>
  <c r="I13" i="1"/>
  <c r="F12" i="1"/>
  <c r="I11" i="1"/>
  <c r="G11" i="1"/>
  <c r="E11" i="1"/>
  <c r="I10" i="1"/>
  <c r="G10" i="1"/>
  <c r="E10" i="1"/>
  <c r="J9" i="1"/>
  <c r="E9" i="1"/>
  <c r="E8" i="1"/>
  <c r="J7" i="1"/>
  <c r="I7" i="1"/>
  <c r="E7" i="1"/>
  <c r="G6" i="1"/>
  <c r="E6" i="1"/>
  <c r="I5" i="1"/>
  <c r="G5" i="1"/>
  <c r="E5" i="1"/>
  <c r="G4" i="1"/>
  <c r="E4" i="1"/>
</calcChain>
</file>

<file path=xl/sharedStrings.xml><?xml version="1.0" encoding="utf-8"?>
<sst xmlns="http://schemas.openxmlformats.org/spreadsheetml/2006/main" count="1195" uniqueCount="407">
  <si>
    <t xml:space="preserve"> Summary of the Hotel fee Collection January 2020- June 2020</t>
  </si>
  <si>
    <t>Bil</t>
  </si>
  <si>
    <t>Hotel Name</t>
  </si>
  <si>
    <t xml:space="preserve"> Address of the hotel</t>
  </si>
  <si>
    <t>January</t>
  </si>
  <si>
    <t>February</t>
  </si>
  <si>
    <t>March</t>
  </si>
  <si>
    <t>April</t>
  </si>
  <si>
    <t>May</t>
  </si>
  <si>
    <t>June</t>
  </si>
  <si>
    <t>23 LOVE LANE HOTEL</t>
  </si>
  <si>
    <t>THE LOVELANE GROUP SDN BHD
23 LORONG LOVE , 10200 GEORGETOWN , PULAU PINANG , MALAYSIA</t>
  </si>
  <si>
    <t>-</t>
  </si>
  <si>
    <t xml:space="preserve">88 ARMENIAN </t>
  </si>
  <si>
    <t>88 ARMENIAN SDN BHD
88 &amp; 90 LEBUH ARMENIAN</t>
  </si>
  <si>
    <t>ANGGERIK 64 SDN BHD
350-E JALAN SULTAN AZLAN SHAH</t>
  </si>
  <si>
    <t xml:space="preserve">ARECA HOTEL </t>
  </si>
  <si>
    <t>ARECA HOTEL SDN BHD
5 JALAN KHOO SIAN EWE</t>
  </si>
  <si>
    <t>ARMENIAN ST. HERITAGE HOTEL</t>
  </si>
  <si>
    <t xml:space="preserve"> ONE SDN BHD
139 LEBUH CARNARVON</t>
  </si>
  <si>
    <t xml:space="preserve">BAHARI PARADE </t>
  </si>
  <si>
    <t xml:space="preserve"> WORLD CLASS LAND SDN BHD
69,71,73,75,77,79 &amp; 81 JALAN SRI BAHARI</t>
  </si>
  <si>
    <t>BAYVIEW BEACH RESORT</t>
  </si>
  <si>
    <t>BAYVIEW HOTEL SDN BHD
339 JALAN TELUK BAHANG</t>
  </si>
  <si>
    <t>BAYVIEW HOTEL GEORGETOWN PENANG</t>
  </si>
  <si>
    <t>BAYVIEW HOTEL SDN BHD
25-A LEBUH FARQUHAR</t>
  </si>
  <si>
    <t>BETEL NUT LODGE</t>
  </si>
  <si>
    <t>BETEL NUT LODGE SDN.BHD
100 LEBUH MELAYU</t>
  </si>
  <si>
    <t xml:space="preserve">BROWN HOTEL </t>
  </si>
  <si>
    <t>BROWN HOTEL SDN BHD
86 JALAN PERAK</t>
  </si>
  <si>
    <t>CAMPBELL HOUSE PENANG</t>
  </si>
  <si>
    <t>106 LEBUH CAMPBELL</t>
  </si>
  <si>
    <t>CHULIA HERITAGE HOTEL SDN BHD</t>
  </si>
  <si>
    <t>CHULIA HERITAGE HOTEL SDN BHD
380 TKT 1 LEBUH CHULIA</t>
  </si>
  <si>
    <t xml:space="preserve">CITITEL PENANG </t>
  </si>
  <si>
    <t>CAHAYA UTARA SDN BHD 
66 JALAN PENANG</t>
  </si>
  <si>
    <t>CITITEL EXPRESS</t>
  </si>
  <si>
    <t>SILENT GLORY CITY SDN.BHD
123 JALAN NOORDIN</t>
  </si>
  <si>
    <t>COPTHORNE ORCHID PENANG</t>
  </si>
  <si>
    <t>COPTHORNE ORCHID PENANG SDN.BHD
523 JALAN TANJUNG BUNGAH</t>
  </si>
  <si>
    <t>DOUBLE TREE RESORT BY HILTON PENANG</t>
  </si>
  <si>
    <t>PINNACLE NEXUS SDN BHD
56 JALAN LOW YAT BATU FERRINGHI</t>
  </si>
  <si>
    <t>E&amp;O HOTEL</t>
  </si>
  <si>
    <t>EASTERN &amp; ORIENTAL HOTEL SDN BHD
10 LEBUH FARQUHAR</t>
  </si>
  <si>
    <t>EASTIN HOTEL</t>
  </si>
  <si>
    <t>CITYTRO SDN BHD
1 SOLOK BAYAN INDAH QUEENSBAY</t>
  </si>
  <si>
    <t>ENG LOH HOTEL</t>
  </si>
  <si>
    <t>48 ,LEBUH GEREJA</t>
  </si>
  <si>
    <t>HOTEL EDEN SQUARE SDN BHD
17 LORONG SUNGAI EMAS B. FERRINGHI</t>
  </si>
  <si>
    <t>EVERGREEN LAUREL HOTEL</t>
  </si>
  <si>
    <t>EVERGREEN LAUREL HOTEL (M) SDN BHD
53 PERSIARAN GURNEY</t>
  </si>
  <si>
    <t>FLAMINGO HOTEL</t>
  </si>
  <si>
    <t>MAGNUM LEISURE SDN.BHD
528 MK 18 JALAN TANJUNG BUNGAH</t>
  </si>
  <si>
    <t>G HOTEL</t>
  </si>
  <si>
    <t>GHOTEL SDN BHD
168-A PERSIARAN GURNEY</t>
  </si>
  <si>
    <t>G INN</t>
  </si>
  <si>
    <t>SOUTHERN TWIN MANAGEMENT SDN BHD
135 JALAN MACALISTER</t>
  </si>
  <si>
    <t>GARDEN INN HOTEL</t>
  </si>
  <si>
    <t>GRAND INN SDN BHD 
41 JALAN ANSON</t>
  </si>
  <si>
    <t>GEORGETOWN CITY HOTEL SDN BHD
JALAN BURMA MIDLANDS PARK</t>
  </si>
  <si>
    <t>GOLDEN SANDS BEACH RESORTS</t>
  </si>
  <si>
    <t>GOLDEN SANDS BEACH RESORT SDN BHD
87 MK 17 BATU FERRINGHI</t>
  </si>
  <si>
    <t>GOLDEN VIEW SERVICED APARTMENT</t>
  </si>
  <si>
    <t>2, JALAN PANTAI MOLEK, TANJUNG TOKONG</t>
  </si>
  <si>
    <t>GOODHOPE HOTEL</t>
  </si>
  <si>
    <t>GOODHOPE INN PENANG
22 JALAN KELAWEI</t>
  </si>
  <si>
    <t>HANG CHOW HOTEL</t>
  </si>
  <si>
    <t>511  LEBUH CHULIA</t>
  </si>
  <si>
    <t>HARD ROCK PENANG</t>
  </si>
  <si>
    <t>HPL HOTELS &amp; RESORTS
JALAN BATU FERRINGHI</t>
  </si>
  <si>
    <t>ASIA GARDEN SDN BHD
72 JALAN BATU FERRINGHI</t>
  </si>
  <si>
    <t>HONG KONG HOTEL</t>
  </si>
  <si>
    <t>102 JALAN TANJUNG TOKONG</t>
  </si>
  <si>
    <t>HOTEL CONTINENTAL</t>
  </si>
  <si>
    <t>HOTEL CONTINENTAL SDN.BHD
5 JALAN PENANG</t>
  </si>
  <si>
    <t>HOTEL EQUATORIAL</t>
  </si>
  <si>
    <t>HOTEL EQUATORIAL MANAGEMENT SDN.BHD
1 JALAN BUKIT JAMBUL</t>
  </si>
  <si>
    <t>HOTEL MALAYSIA</t>
  </si>
  <si>
    <t>MICADO SDN.BHD
7 JALAN PENANG</t>
  </si>
  <si>
    <t>HOTEL NOBLE</t>
  </si>
  <si>
    <t>36 LORONG PASAR</t>
  </si>
  <si>
    <t>HOTEL PENAGA</t>
  </si>
  <si>
    <t>40-50 JALAN HUTTON</t>
  </si>
  <si>
    <t>HOTEL REGAL MALAYSIA</t>
  </si>
  <si>
    <t>HOTEL REGAL MALAYSIA SDN BHD
6 JALAN TRANSFER</t>
  </si>
  <si>
    <t>HOTEL ROYAL PENANG</t>
  </si>
  <si>
    <t>3 JALAN LARUT</t>
  </si>
  <si>
    <t>HOTEL SENTRAL GEORGE TOWN</t>
  </si>
  <si>
    <t>HOTEL SENTRAL GEORGE TOWN SDN.BHD
12 LORONG KINTA</t>
  </si>
  <si>
    <t xml:space="preserve">HOTEL SENTRAL SEA VIEW </t>
  </si>
  <si>
    <t>HOTEL SENTRAL SEA VIEW PENANG SDN BHD
555 JALAN CM HASHIM TG TOKONG</t>
  </si>
  <si>
    <t xml:space="preserve">HOTEL WATERFALL </t>
  </si>
  <si>
    <t>HOTEL WATERFALL SDN BHD
160 JALAN UTAMA</t>
  </si>
  <si>
    <t>HOMPTON DEVELOPMENT (M) SDN BHD</t>
  </si>
  <si>
    <t>HOMPTON DEVELOPMENT (M) SDN BHD
533 JALAN C M HASHIM, TG TOKONG</t>
  </si>
  <si>
    <t>HUTTON CENTRAL I</t>
  </si>
  <si>
    <t xml:space="preserve"> WORLD CLASS LAND SDN BHD
2,4,6,8 &amp; 10 JALAN HUTTON</t>
  </si>
  <si>
    <t>WORLD CLASS LAND
128 - 128G JALAN TRANSFER</t>
  </si>
  <si>
    <t>HOTEL HONG PING</t>
  </si>
  <si>
    <t>HOTEL HONG PING SDN BHD
273-B   LEBUH CHULIA</t>
  </si>
  <si>
    <t>HOTEL NEO + PENANG BY ASTON</t>
  </si>
  <si>
    <t>L&amp;O STANDARD SDN BHD
68 JALAN GURDWARA</t>
  </si>
  <si>
    <t>HOTEL SERI MALAYSIA</t>
  </si>
  <si>
    <t>7 JALAN MAYANG PASIR 2 BAYAN BARU</t>
  </si>
  <si>
    <t xml:space="preserve">HOTEL MINGOOD </t>
  </si>
  <si>
    <t>164 JALAN ARGYLL</t>
  </si>
  <si>
    <t>136 JALAN GURDWARA</t>
  </si>
  <si>
    <t>INTERNATIONAL HOTEL</t>
  </si>
  <si>
    <t>90 &amp; 92 JALAN TRANSFER</t>
  </si>
  <si>
    <t>JAWI PERANAKAN MANSION</t>
  </si>
  <si>
    <t>GEORGE TOWN HERITAGE + HOTELS
153 JALAN HUTTON</t>
  </si>
  <si>
    <t>IDEAS NURTURE SDN BHD 
27,29 &amp; 31 JALAN KELANTAN</t>
  </si>
  <si>
    <t>KIMBERLY HOTEL SDN BHD
36 G-02 JALAN SUNGAI UJONG</t>
  </si>
  <si>
    <t>KOONING HOTEL</t>
  </si>
  <si>
    <t>KOONING SDN BHD
78 LEBUH CAMPBELL</t>
  </si>
  <si>
    <t>LEXIS SUITE</t>
  </si>
  <si>
    <t>KL METRO LAND DEVELOPMENT SDN BHD
28 JALAN TELUK KUMBAR</t>
  </si>
  <si>
    <t>LONE PINE HOTEL</t>
  </si>
  <si>
    <t>L &amp; O COLLECTIONS SDN BHD
97 MK 17 BATU FERRINGHI</t>
  </si>
  <si>
    <t>LE EMBASSY HOTEL</t>
  </si>
  <si>
    <t>NEWCRESTS VENTURE SDN BHD
12 JALAN BURMA</t>
  </si>
  <si>
    <t>LOOP ON LEITH HOTEL</t>
  </si>
  <si>
    <t>PROJECT 10 SDN BHD
29 LEBUH LEITH</t>
  </si>
  <si>
    <t>(WORLD CLASS LAND  SDN BHD)
83,85,87 &amp; 89 JALAN MACALISTER</t>
  </si>
  <si>
    <t>M SUMMIT 191 EXECUTIVE HOTEL SUITES</t>
  </si>
  <si>
    <t>191 M SUMMIT, JALAN MAGAZINE</t>
  </si>
  <si>
    <t>WORLD CLASS LAND SDN BHD
51 - 69 LEBUH MACALLUM</t>
  </si>
  <si>
    <t>(WCL (MAGAZINE SDN BHD)
237, 239, 241, 243 JALAN MAGAZINE</t>
  </si>
  <si>
    <t>MALIHOM PRIVATE ESTATE</t>
  </si>
  <si>
    <t>168 BUKIT PENARA, MKM 6, BALIK PULAU</t>
  </si>
  <si>
    <t>MCNAIR PLACE GEORGETOWN</t>
  </si>
  <si>
    <t xml:space="preserve">BTQ HOSPITALITY &amp; TRAVEL SERVICES 
2 LEBUH PEKING
</t>
  </si>
  <si>
    <t>MERCURE PENANG BEACH</t>
  </si>
  <si>
    <t>PLENITUDE HEIGHTS SDN BHD 
505 JALAN TANJUNG BUNGAH</t>
  </si>
  <si>
    <t>MC LANE BOUTIQUE HOTEL</t>
  </si>
  <si>
    <t>17 LORONG BARU</t>
  </si>
  <si>
    <t>MUNTRI GROVES HOTEL</t>
  </si>
  <si>
    <t>127,129,131,131-A -13F LEBUH MUNTRI</t>
  </si>
  <si>
    <t>MUNTRI MEWS HOTEL</t>
  </si>
  <si>
    <t>77A &amp; B  LEBUH MUNTRI</t>
  </si>
  <si>
    <t>MEI HOTEL</t>
  </si>
  <si>
    <t>MEI MAN REALTY SDN BHD
50 LORONG ABU SITI</t>
  </si>
  <si>
    <t>MUSEUM HOTEL</t>
  </si>
  <si>
    <t>FROM ONE SDN BHD
62-74 &amp; 78 JALAN A.S.MANSOR</t>
  </si>
  <si>
    <t>MERCHANT HOTEL PENANG</t>
  </si>
  <si>
    <t>MERCHANT COURT SDN BHD
55 JALAN PENANG</t>
  </si>
  <si>
    <t>MACALISTER TERRACES</t>
  </si>
  <si>
    <t>MYHAVEN DEVELOPMENT SDN.BHD
67, 69, 71 &amp; 73 LORONG MACALISTER</t>
  </si>
  <si>
    <t>NAM KENG HOTEL</t>
  </si>
  <si>
    <t>HOO KIM HOTELS SDN BHD
15,17,19 LEBUH CINTRA</t>
  </si>
  <si>
    <t>NAM SENG HOTEL</t>
  </si>
  <si>
    <t>HOO KIM HOTELS SDN BHD
124 LORONG HUTTON</t>
  </si>
  <si>
    <t xml:space="preserve">NOORDIN MEWS </t>
  </si>
  <si>
    <t>ABUNDANT HERITAGE SDN BHD
53, 57, 57A &amp; 57K LEBUH NOORDIN</t>
  </si>
  <si>
    <t>NEW SAVOY HOTEL</t>
  </si>
  <si>
    <t>156 LORONG HUTTON</t>
  </si>
  <si>
    <t>ONE PACIFIC HOTEL SDN BHD
177 JALAN MACALISTER</t>
  </si>
  <si>
    <t>ORIENTAL HOTEL</t>
  </si>
  <si>
    <t>ORIENTAL HOTEL SDN BHD
105 JALAN PENANG</t>
  </si>
  <si>
    <t>OLIVE TREE HOTEL</t>
  </si>
  <si>
    <t>OLIVE TREE CONCEPTS SDN. BHD.
76 JALAN MAHSURI</t>
  </si>
  <si>
    <t xml:space="preserve">OLD PENANG HOTEL </t>
  </si>
  <si>
    <t>OLD PENANG HOTEL SDN BHD
3 &amp; 5 JALAN KAMPUNG JAWA LAMA</t>
  </si>
  <si>
    <t>PARAMOUNT HOTEL PENANG</t>
  </si>
  <si>
    <t>48-F JALAN SULTAN AHMAD SHAH</t>
  </si>
  <si>
    <t>PARIS HOTEL</t>
  </si>
  <si>
    <t>2 JALAN IRVING</t>
  </si>
  <si>
    <t>PARKROYAL PENANG</t>
  </si>
  <si>
    <t>PRESIDENT HOTEL SDN BHD
JALAN BATU FERRINGHI</t>
  </si>
  <si>
    <t>PEKING HOTEL</t>
  </si>
  <si>
    <t>PEKING HOTEL SDN BHD
50-A JALAN PENANG</t>
  </si>
  <si>
    <t>PIN SENG HOTEL</t>
  </si>
  <si>
    <t>80A &amp; 82 LOVE LANE</t>
  </si>
  <si>
    <t>PINGSA HOTEL</t>
  </si>
  <si>
    <t>17 M TAMAN SERI DAMAI</t>
  </si>
  <si>
    <t>PP ISLAND HOTEL</t>
  </si>
  <si>
    <t>33-A LORONG ABU SITI</t>
  </si>
  <si>
    <t>RAINBOW PARADISE BEACH RESORT</t>
  </si>
  <si>
    <t xml:space="preserve">
PARADISE SANDY BEACH RESORT
527 JALAN TANJUNG BUNGAH</t>
  </si>
  <si>
    <t>ROPEWALK PIAZZA</t>
  </si>
  <si>
    <t xml:space="preserve"> WORLD CLASS LAND SDN BHD
134 - 156 JALAN PINTAL TALI</t>
  </si>
  <si>
    <t xml:space="preserve">ROYALE CHULAN PENANG </t>
  </si>
  <si>
    <t>BOUSTEAD WELD QUAY SDN BHD
1 &amp; 2  PENGKALAN WELD</t>
  </si>
  <si>
    <t>RAIA HOTEL PENANG</t>
  </si>
  <si>
    <t xml:space="preserve">TH HOTEL &amp; RESIDENCE SDN BHD
LOT 5789 &amp; 5790 JALAN DATO' ISMAIL HASHIM
</t>
  </si>
  <si>
    <t xml:space="preserve">          -</t>
  </si>
  <si>
    <t>RED ROCK HOTEL</t>
  </si>
  <si>
    <t>RED ROCK HOTEL SDN BHD
202 &amp; 202-A JALAN MACALISTER</t>
  </si>
  <si>
    <t>SAVV HOTEL</t>
  </si>
  <si>
    <t>SAVV MANAGEMENT SERVICES SDN BH
39 C PENGKALAN WELD</t>
  </si>
  <si>
    <t>SEVEN TERRACES HOTEL</t>
  </si>
  <si>
    <t>2 - 16 LORONG STEWART</t>
  </si>
  <si>
    <t>SHANGRI-LA'S RASA SAYANG</t>
  </si>
  <si>
    <t>3SHANGRI_LA HOTELS (M) BERHAD
3 LORONG BARU</t>
  </si>
  <si>
    <t>SPICES HOTEL PENANG</t>
  </si>
  <si>
    <t>3,5,7,9 LORONG LUMUT</t>
  </si>
  <si>
    <t xml:space="preserve">            -</t>
  </si>
  <si>
    <t>SRI SAYANG RESORT SERVICE APARTMENT</t>
  </si>
  <si>
    <t>188 JALAN BATU FERRINGHI</t>
  </si>
  <si>
    <t>STALLION SERVICE APARTMENT</t>
  </si>
  <si>
    <t>3-A TINGKAT BUKIT DUMBAR</t>
  </si>
  <si>
    <t>SUNWAY HOTEL GEORGETOWN PENANG</t>
  </si>
  <si>
    <t>SUNWAY BIZ HOTEL SDN BHD
33 LORONG BARU</t>
  </si>
  <si>
    <t>SWEET CILI HOTEL</t>
  </si>
  <si>
    <t>4,6,8 GAT LEBUH MELAY</t>
  </si>
  <si>
    <t>SUPER EIGHT HOTELS (GEORGE TOWN)</t>
  </si>
  <si>
    <t>SUPER EIGHT HOTELS (M) SDN BHD
81 LEBUH TYE SIN</t>
  </si>
  <si>
    <t>SUPER EIGHT HOTELS (BAYAN BARU)</t>
  </si>
  <si>
    <t>SUPER EIGHT HOTELS (M) SDN BHD
2-G-2 SOLOK MAYANG PASIR</t>
  </si>
  <si>
    <t>SUMMER TREE HOTEL</t>
  </si>
  <si>
    <t>52 JALAN RANGOON</t>
  </si>
  <si>
    <t>KOMTAR HOTEL SDN BHD
JALAN MAGAZINE</t>
  </si>
  <si>
    <t>133 JALAN MASJID KAPITAN KELING</t>
  </si>
  <si>
    <t xml:space="preserve">THE CORUM VIEW HOTEL </t>
  </si>
  <si>
    <t>THE CORUM VIEW HOTEL SDN BHD
90 JALAN MAYANG PASIR</t>
  </si>
  <si>
    <t>SALIENT GLORY CITY SDN.BHD
183 JALAN MAGAZINE</t>
  </si>
  <si>
    <t>TIEN HOTEL SDN BHD (SKY HOTEL)</t>
  </si>
  <si>
    <t>TIEN HOTEL SDN BHD
348     LEBUH CHULIA</t>
  </si>
  <si>
    <t>THE EDISON GEORGETOWN</t>
  </si>
  <si>
    <t>15 LEBUH LEITH</t>
  </si>
  <si>
    <t>TRAVELODGE GEORGETOWN PENANG</t>
  </si>
  <si>
    <t>THE NOMAD HOTEL PENANG SDN BHD
101 JALAN MACALISTER</t>
  </si>
  <si>
    <t>TUNES HOTEL DOWNTOWN PENANG</t>
  </si>
  <si>
    <t>TUNE HOTELS SDN BHD 
100 JALAN BURMA</t>
  </si>
  <si>
    <t>TRENDY EXPRESSION SDN BHD
106 ARGYLL ROAD</t>
  </si>
  <si>
    <t>TROPICS EIGHT</t>
  </si>
  <si>
    <t>11A, GOTTLIEB ROAD</t>
  </si>
  <si>
    <t>THE GURNEY RESORT HOTEL &amp; RESIDENCES PENANG</t>
  </si>
  <si>
    <t>PLENITUDE INTERNATIONAL SDN BHD
18 PERSIARAN GURNEY</t>
  </si>
  <si>
    <t xml:space="preserve">THE PRESTIGE HOTEL </t>
  </si>
  <si>
    <t>PPH PLAZA SDN BHD
8 GAT LEBUH GEREJA</t>
  </si>
  <si>
    <t xml:space="preserve">U HOTEL </t>
  </si>
  <si>
    <t>U HOTEL SDN BHD
676 JALAN SUNGAI DUA</t>
  </si>
  <si>
    <t>VICTORIA INN HOTEL</t>
  </si>
  <si>
    <t>ASIAN ESSENTIAL SDN BHD
278 LEBUH VICTORIA</t>
  </si>
  <si>
    <t>VICTORIA GARDEN HOTEL</t>
  </si>
  <si>
    <t>VICTORIA GARDEN MANAGEMENT SDN.BHD
280 LEBUH VICTORIA</t>
  </si>
  <si>
    <t>VISTANA PENANG (REBRANDED TO  AC HOTEL)</t>
  </si>
  <si>
    <t>AC HOTEL BY MARRIOTT
213 JALAN BUKIT GAMBIR</t>
  </si>
  <si>
    <t>VOUK HOTEL SUITES</t>
  </si>
  <si>
    <t>VOUK  HOTEL BY THE BLANKET 
57-G-3 MANSION ONE, JALAN SULTAN AHMAD SHAH</t>
  </si>
  <si>
    <t>WALDORF HOTEL</t>
  </si>
  <si>
    <t>13 LEBUH LEITH</t>
  </si>
  <si>
    <t xml:space="preserve"> HENRY GURNEY INN SDN BHD
75 PERSIARAN GURNEY</t>
  </si>
  <si>
    <t>YENG KENG HOTEL</t>
  </si>
  <si>
    <t>362 LEBUH CHULIA</t>
  </si>
  <si>
    <t>YMCA
211 &amp; 211-B JALAN MACALISTER</t>
  </si>
  <si>
    <t>TOTAL</t>
  </si>
  <si>
    <t xml:space="preserve"> Summary of the Hotel fee Collection January 2020-  November 2020</t>
  </si>
  <si>
    <t>July</t>
  </si>
  <si>
    <t>August</t>
  </si>
  <si>
    <t>September</t>
  </si>
  <si>
    <t>October</t>
  </si>
  <si>
    <t>November</t>
  </si>
  <si>
    <t>A One Hotel </t>
  </si>
  <si>
    <t>No.37-35-33, Lrg Tambun Indah 1
Taman Tambun Indah
14000 Spg Ampat</t>
  </si>
  <si>
    <t xml:space="preserve">Aroma Hotel </t>
  </si>
  <si>
    <t>Aroma Business Hotel Sdn Bhd  
11, Butterworth City Centre 
Jalan Raja Uda
12300 Butterworth</t>
  </si>
  <si>
    <t xml:space="preserve">Bg  Business Hotel </t>
  </si>
  <si>
    <t>Bg Hotel Management Sdn Bhd  
No.11A, Jalan Perniagaan Perda Barat, Kawasan Perniagaan Perda Barat, 14000 
Bukit Mertajam, Penang,</t>
  </si>
  <si>
    <t>Chariton Hotel</t>
  </si>
  <si>
    <t>Chariton Sdn Bhd  
1, Lorong Jermal Indah,, Taman Jermal Indah, , 12300, Butterworth, Penang, Malaysia.</t>
  </si>
  <si>
    <t xml:space="preserve">Chariton Hotel  </t>
  </si>
  <si>
    <t>Chariton Sdn Bhd  
No. 31, Lorong Seri Impian 2,  Taman Seri Impian,, 14000, Bukit Mertajam, Penang, Malaysia.</t>
  </si>
  <si>
    <t xml:space="preserve">D Cozy Hotel   </t>
  </si>
  <si>
    <t>D Cozy Hotel   
1, Lebuh Kurau 5
Taman Chai Leng
13700 Perai, Pulau Pinang</t>
  </si>
  <si>
    <t xml:space="preserve">E-Red Hotel </t>
  </si>
  <si>
    <t>Sas Sdn Bhd (E-Red Hotel)   
G-32 Lorong Seri Alma,
Pusat Perniagaan Seri Alma,
14000 Bukit Mertajam, Pulau Pinang</t>
  </si>
  <si>
    <t>E-Red Hotel</t>
  </si>
  <si>
    <t>Sas Sdn Bhd (E-Red Hotel)  
No 22a, Jalan Bayu Mutiara
Taman Bayu Mutiara
14000 Bukit Mertajam, Pulau Pinang</t>
  </si>
  <si>
    <t>Sas Sdn Bhd (E-Red Hotel)  
40, 42 &amp; 44 Lorong Perda Selatan 1
Bandar Perda
14000 Bukit Mertajam</t>
  </si>
  <si>
    <t>Sas Sdn Bhd (E-Red Hotel)  
No 42 Jalan Todak 4,
Pusat Bandar Sunway,
13700 Perai, Pulau Pinang</t>
  </si>
  <si>
    <t xml:space="preserve">Golden Wheel Hotel  </t>
  </si>
  <si>
    <t xml:space="preserve">Galaxy Star Hotel Sdn Bhd  
42 Lorong Tambun Permai 1
Pusat Perniagaan Tambun Permai
14100 Simpang Ampat
</t>
  </si>
  <si>
    <t xml:space="preserve">Grand De'Garden Hotel </t>
  </si>
  <si>
    <t>Grand De'' Garden Hotel Sdn Bhd  
Lorong Cempa (Off Jalan Telaga Air)
12000 Butterworth</t>
  </si>
  <si>
    <t xml:space="preserve">Golden Nasmir Hotel </t>
  </si>
  <si>
    <t>Golden Nasmir Hotel Sdn Bhd  
1639&amp;1640 Jln Perusahaan Bukit Tengah Taman Pelangi
13600 Perai</t>
  </si>
  <si>
    <t>Galaxy Hotel</t>
  </si>
  <si>
    <t>Galaxy Star Hotel Sdn. Bhd,  
42 Lorong Tambun Permai 1
Pusat Perniagaan Tambun Permai
14100 Simpang Ampat</t>
  </si>
  <si>
    <t>Hotel Fuhow </t>
  </si>
  <si>
    <t>Hotel Fuhow  
No.4121,Jalan B.H.Oon,Off Jalan Telekom,
12000 Butterworth
Pulau Pinang</t>
  </si>
  <si>
    <t>Hotel Alpha </t>
  </si>
  <si>
    <t>Hotel Alpha  Sdn Bhd
8 &amp; 10, Jalan Perda Barat,
Bandar Perda,
14000 Bukit Mertajam</t>
  </si>
  <si>
    <t>Hotel No.31 Maple Inn </t>
  </si>
  <si>
    <t>Hotel No.31 Maple Inn  
No.31,Jalan Bukit Tambun,
Taman Tambun Indah,
14100 Simpang Ampat</t>
  </si>
  <si>
    <t>Hotel Prai Jaya </t>
  </si>
  <si>
    <t>Hotel Prai Jaya  
2791, Jln Chain Ferry
Taman Inderawasih
13600 Perai</t>
  </si>
  <si>
    <t>Hotel Seri Malaysia </t>
  </si>
  <si>
    <t>Rangkaian Hotel Seri Malaysia Sdn. Bhd.
Jalan Usahawan 5
13200 Kepala Batas
Pulau Pinang</t>
  </si>
  <si>
    <t xml:space="preserve">Hotel Palm Inn </t>
  </si>
  <si>
    <t xml:space="preserve">Hotel Palm Inn (M) Sdn. Bhd.  
No.4802 Jalan Bagan Luar
12000 Butterworth
Pulau Pinang
</t>
  </si>
  <si>
    <t>Hotel Palm Inn (M) Sdn. Bhd.  
No.1620 &amp; 1621 Jalan Permatang Batu
Jln Industri Pmtg Batu
14000 Bukit Mertajam</t>
  </si>
  <si>
    <t xml:space="preserve">Hotel Prai Jaya  </t>
  </si>
  <si>
    <t xml:space="preserve">Iconic Hotel </t>
  </si>
  <si>
    <t>Lucky 888 Sdn Bhd 
71, Jalan Icon City
Icon City
14000 Bukit Mertajam, Penang</t>
  </si>
  <si>
    <t>Ixora Hotel</t>
  </si>
  <si>
    <t>Ixora Hotel Sdn Bhd  
3096 Jalan Baru 
Bandar Perai Jaya
13600 Perai, Penang</t>
  </si>
  <si>
    <t xml:space="preserve">Jannah Hotel </t>
  </si>
  <si>
    <t>Jannah Izan Enterprise  
No.51&amp;49 Jln Dagangan 10
Bandar Bertam Perdana
13200 Kepala Batas</t>
  </si>
  <si>
    <t>Jj Hotel </t>
  </si>
  <si>
    <t>Jj Hotel   
59a, Jalan Raja Uda
12300 Butterworth, P.Pinang</t>
  </si>
  <si>
    <t>Juru Hotel </t>
  </si>
  <si>
    <t>Juru Hotel  
655 Jln Juru,
Tmn Mengkudu
14100 Simpang Ampat</t>
  </si>
  <si>
    <t>Lapan Puluh Lapan Motel </t>
  </si>
  <si>
    <t>Lapan Puluh Lapan Motel  
No.7,Lorong Kelasah 1,
Taman Kelasah,
13700 Seberang Jaya,Perai</t>
  </si>
  <si>
    <t>Lodge 18 Sdn Bhd </t>
  </si>
  <si>
    <t>Lodge 18 Sdn Bhd 
1, Lorong Bagan Luar Satu
12000 Butterworth</t>
  </si>
  <si>
    <t>My Hotel</t>
  </si>
  <si>
    <t xml:space="preserve">Harvest Golden World Sdn. Bhd.  
No.2,Lrg Seri Jaya
Tmn Seri Jaya
14000 Bukit Mertajam
</t>
  </si>
  <si>
    <t>Marina Oriental Hotel </t>
  </si>
  <si>
    <t>4907, Jalan Kampung Benggali
12200 Butterworth</t>
  </si>
  <si>
    <t>Marvelton Hotel  </t>
  </si>
  <si>
    <t>No.1 &amp; 3,Lorong Kelasah 2,
Taman Kelasah,
13700 Seberang Jaya.</t>
  </si>
  <si>
    <t>Pearl View Hotel </t>
  </si>
  <si>
    <t>Pearl View Hotel Sdn Bhd
2933 Jalan Baru
13700 Perai</t>
  </si>
  <si>
    <t>Pice Hotel </t>
  </si>
  <si>
    <t>No 11a, Medan Limau Emas,
Pusat Perniagaan Limau Emas,
14000 Bukit Mertajam</t>
  </si>
  <si>
    <t>Se Four Hotel </t>
  </si>
  <si>
    <t>28 Tkt Talang 1
Taman Emas
13700 Perai</t>
  </si>
  <si>
    <t>Se One Hotel </t>
  </si>
  <si>
    <t>1276 Jln Baru 
Taman Emas
13700 Perai</t>
  </si>
  <si>
    <t>Se Three Hotel </t>
  </si>
  <si>
    <t>1279 Jalan Baru 
Taman Emas
13700 Sebrang Jaya</t>
  </si>
  <si>
    <t>Spring Motel </t>
  </si>
  <si>
    <t>No. 8, Jalan Usahawan 2,
Kompleks Dato'' Kailan
13200 Kepala Batas</t>
  </si>
  <si>
    <t xml:space="preserve"> -</t>
  </si>
  <si>
    <t xml:space="preserve">Sunway Hotel Seberang </t>
  </si>
  <si>
    <t> 
Sunway Hotel Seberang Jaya Sdn Bhd  
11 Lebuh Tenggiri Dua
Pusat Bandar Seberang Jaya
13700 Perai</t>
  </si>
  <si>
    <t>Summit Hotel Bm </t>
  </si>
  <si>
    <t>Teraju Menang Sdn Bhd 
566 Jln Arumugam Pillai
14000 Bukit Mertajam</t>
  </si>
  <si>
    <t>Starway Hotel </t>
  </si>
  <si>
    <t>Starway Hotel  
No18,20,22,24,Jln Bukit Minyak,
Tmn Bukit Minyak
14100 Bukit Mertajam</t>
  </si>
  <si>
    <t xml:space="preserve">The Light Hotel </t>
  </si>
  <si>
    <t>The Light Hotel (M) Sdn Bhd  
Lebuh Tenggiri 2
Bandar Seberang Jaya
13700 Perai</t>
  </si>
  <si>
    <t xml:space="preserve">U Design Hotel </t>
  </si>
  <si>
    <t>U Design Hotel Sdn Bhd  
2638, Jalan Maju Pusat Perniagaan Maju 
Jaya, 14000 Bukit Mertajam</t>
  </si>
  <si>
    <t xml:space="preserve">Vangohh Eminent Hotel &amp; Spa </t>
  </si>
  <si>
    <t>Gtm Assets Management Sdn Bhd (Glomex Resort Sdn.Bhd)
No 3406, Jalan Machang Bubok 2,
14020 Bukit Mertajam,
Pulau Pinang.</t>
  </si>
  <si>
    <t>Wah Toh Hotel </t>
  </si>
  <si>
    <t>Wah Toh Hotel  
4805, Jalan Chain Ferry
12100 Butterworth
Penang</t>
  </si>
  <si>
    <t>Zing Motel </t>
  </si>
  <si>
    <t>Zing Motel  
17 Jln Sinar
Kampung Gajah
12300 Butterworth</t>
  </si>
  <si>
    <t>Number of rooms owned</t>
  </si>
  <si>
    <t>Total</t>
  </si>
  <si>
    <t>Payment collected each month</t>
  </si>
  <si>
    <t>ANGGERIK LODGE (AG HOTEL)</t>
  </si>
  <si>
    <t>ESQ FERRINGHI HOTEL</t>
  </si>
  <si>
    <t>BERJAYA PENANG HOTEL</t>
  </si>
  <si>
    <t xml:space="preserve">HOLIDAY INN RESORT PENANG </t>
  </si>
  <si>
    <t>HUTTON CENTRAL II</t>
  </si>
  <si>
    <t>WIFI HOTEL</t>
  </si>
  <si>
    <t xml:space="preserve">KE-LAN-TAN HOUSE </t>
  </si>
  <si>
    <t xml:space="preserve">KIMBERLEY HOTEL </t>
  </si>
  <si>
    <t xml:space="preserve">MACALISTER VISTA HOTEL </t>
  </si>
  <si>
    <t xml:space="preserve">MACALLUM CENTRAL HOTEL </t>
  </si>
  <si>
    <t xml:space="preserve">MAGAZINE VISTA HOTEL </t>
  </si>
  <si>
    <t>ONE PACIFIC SERVICED APARTMENT</t>
  </si>
  <si>
    <t>THE MIL BOUTIQUE RESIDENCE HOTEL</t>
  </si>
  <si>
    <t>ST.GILES WEMBLEY</t>
  </si>
  <si>
    <t xml:space="preserve">TIDO HOSTEL </t>
  </si>
  <si>
    <t>JEN HOTEL</t>
  </si>
  <si>
    <t xml:space="preserve">WANG'S HOTEL </t>
  </si>
  <si>
    <t>YMCA OF PENANG</t>
  </si>
  <si>
    <t>7 (13)</t>
  </si>
  <si>
    <t>365 (396)</t>
  </si>
  <si>
    <t>333 (320)</t>
  </si>
  <si>
    <t>51 (23)</t>
  </si>
  <si>
    <t>12 (11)</t>
  </si>
  <si>
    <t>316 (345)</t>
  </si>
  <si>
    <t>232 (101)</t>
  </si>
  <si>
    <t>368 (376)</t>
  </si>
  <si>
    <t>320 (323)</t>
  </si>
  <si>
    <t>56 (57)</t>
  </si>
  <si>
    <t>347 (203)</t>
  </si>
  <si>
    <t>231 (116)</t>
  </si>
  <si>
    <t>662 (684)</t>
  </si>
  <si>
    <t>276 (279)</t>
  </si>
  <si>
    <t>14 (10)</t>
  </si>
  <si>
    <t>117 (118)</t>
  </si>
  <si>
    <t>221 (222)</t>
  </si>
  <si>
    <t>89 (96)</t>
  </si>
  <si>
    <t>13 (20)</t>
  </si>
  <si>
    <t>8 (16)</t>
  </si>
  <si>
    <t>100 (96)</t>
  </si>
  <si>
    <t>16 (9)</t>
  </si>
  <si>
    <t>29 (20)</t>
  </si>
  <si>
    <t>23 (30)</t>
  </si>
  <si>
    <t>246 (252)</t>
  </si>
  <si>
    <t>90 (50)</t>
  </si>
  <si>
    <t>310 (329)</t>
  </si>
  <si>
    <t>62 (45)</t>
  </si>
  <si>
    <t>252 (134)</t>
  </si>
  <si>
    <t>295 (310)</t>
  </si>
  <si>
    <t>131 (127)</t>
  </si>
  <si>
    <t>12 (23)</t>
  </si>
  <si>
    <t>179 (180)</t>
  </si>
  <si>
    <t>43 (46)</t>
  </si>
  <si>
    <t>15 (8)</t>
  </si>
  <si>
    <t>24 (25)</t>
  </si>
  <si>
    <t>70 (28)</t>
  </si>
  <si>
    <t>250 (271)</t>
  </si>
  <si>
    <t>15 (67)</t>
  </si>
  <si>
    <t>443 (445)</t>
  </si>
  <si>
    <t>131 (96)</t>
  </si>
  <si>
    <t>246 (258)</t>
  </si>
  <si>
    <t>32 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</si>
</sst>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M&quot;#,##0;[Red]\-&quot;RM&quot;#,##0"/>
    <numFmt numFmtId="165" formatCode="[$RM]#,##0.00"/>
  </numFmts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u/>
      <sz val="11"/>
      <color rgb="FF000000"/>
      <name val="Calibri"/>
      <family val="2"/>
      <scheme val="major"/>
    </font>
    <font>
      <b/>
      <sz val="11"/>
      <color rgb="FF000000"/>
      <name val="Calibri"/>
      <family val="2"/>
      <scheme val="major"/>
    </font>
    <font>
      <sz val="11"/>
      <color rgb="FF000000"/>
      <name val="Calibri"/>
      <family val="2"/>
      <scheme val="major"/>
    </font>
    <font>
      <i/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  <font>
      <sz val="11"/>
      <name val="Calibri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FFFF00"/>
      </patternFill>
    </fill>
    <fill>
      <patternFill patternType="solid">
        <fgColor theme="0"/>
        <bgColor rgb="FFFFC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0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64" fontId="3" fillId="6" borderId="12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0" fontId="2" fillId="2" borderId="4" xfId="0" applyFont="1" applyFill="1" applyBorder="1" applyAlignment="1">
      <alignment horizontal="center" vertical="center"/>
    </xf>
    <xf numFmtId="164" fontId="7" fillId="0" borderId="0" xfId="0" applyNumberFormat="1" applyFont="1"/>
    <xf numFmtId="164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8" borderId="14" xfId="0" applyFont="1" applyFill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8"/>
  <sheetViews>
    <sheetView tabSelected="1" zoomScaleNormal="100" workbookViewId="0">
      <pane ySplit="3" topLeftCell="A115" activePane="bottomLeft" state="frozen"/>
      <selection pane="bottomLeft" activeCell="D132" sqref="D132"/>
    </sheetView>
  </sheetViews>
  <sheetFormatPr defaultColWidth="12.625" defaultRowHeight="14.25" x14ac:dyDescent="0.2"/>
  <cols>
    <col min="1" max="1" width="3.5" style="1" bestFit="1" customWidth="1"/>
    <col min="2" max="2" width="21.75" style="1" customWidth="1"/>
    <col min="3" max="3" width="32.125" style="1" customWidth="1"/>
    <col min="4" max="4" width="14.625" style="1" bestFit="1" customWidth="1"/>
    <col min="5" max="5" width="10.5" style="1" bestFit="1" customWidth="1"/>
    <col min="6" max="6" width="11.25" style="1" bestFit="1" customWidth="1"/>
    <col min="7" max="7" width="9.125" style="1" bestFit="1" customWidth="1"/>
    <col min="8" max="8" width="8.25" style="1" bestFit="1" customWidth="1"/>
    <col min="9" max="9" width="9.125" style="1" bestFit="1" customWidth="1"/>
    <col min="10" max="10" width="8.25" style="1" bestFit="1" customWidth="1"/>
    <col min="11" max="11" width="10.5" style="1" bestFit="1" customWidth="1"/>
    <col min="12" max="28" width="7.625" style="1" customWidth="1"/>
    <col min="29" max="16384" width="12.625" style="1"/>
  </cols>
  <sheetData>
    <row r="1" spans="1:11" ht="15.75" customHeight="1" thickBot="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5.75" customHeight="1" thickBot="1" x14ac:dyDescent="0.25">
      <c r="A2" s="7"/>
      <c r="B2" s="79" t="s">
        <v>2</v>
      </c>
      <c r="C2" s="79" t="s">
        <v>3</v>
      </c>
      <c r="D2" s="79" t="s">
        <v>343</v>
      </c>
      <c r="E2" s="81" t="s">
        <v>345</v>
      </c>
      <c r="F2" s="81"/>
      <c r="G2" s="81"/>
      <c r="H2" s="81"/>
      <c r="I2" s="81"/>
      <c r="J2" s="81"/>
      <c r="K2" s="81"/>
    </row>
    <row r="3" spans="1:11" ht="15.75" thickBot="1" x14ac:dyDescent="0.25">
      <c r="A3" s="22" t="s">
        <v>1</v>
      </c>
      <c r="B3" s="79"/>
      <c r="C3" s="79"/>
      <c r="D3" s="79"/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22" t="s">
        <v>344</v>
      </c>
    </row>
    <row r="4" spans="1:11" ht="45" x14ac:dyDescent="0.2">
      <c r="A4" s="10">
        <v>1</v>
      </c>
      <c r="B4" s="9" t="s">
        <v>10</v>
      </c>
      <c r="C4" s="9" t="s">
        <v>11</v>
      </c>
      <c r="D4" s="10">
        <v>10</v>
      </c>
      <c r="E4" s="11">
        <f>597+681+519</f>
        <v>1797</v>
      </c>
      <c r="F4" s="10" t="s">
        <v>12</v>
      </c>
      <c r="G4" s="11">
        <f>420+516+456+624</f>
        <v>2016</v>
      </c>
      <c r="H4" s="11" t="s">
        <v>12</v>
      </c>
      <c r="I4" s="10" t="s">
        <v>12</v>
      </c>
      <c r="J4" s="10" t="s">
        <v>12</v>
      </c>
      <c r="K4" s="24">
        <f>SUM(E4:J4)</f>
        <v>3813</v>
      </c>
    </row>
    <row r="5" spans="1:11" ht="30" x14ac:dyDescent="0.2">
      <c r="A5" s="13">
        <f>A4+1</f>
        <v>2</v>
      </c>
      <c r="B5" s="12" t="s">
        <v>13</v>
      </c>
      <c r="C5" s="12" t="s">
        <v>14</v>
      </c>
      <c r="D5" s="74">
        <v>6</v>
      </c>
      <c r="E5" s="14">
        <f>81+147</f>
        <v>228</v>
      </c>
      <c r="F5" s="13" t="s">
        <v>12</v>
      </c>
      <c r="G5" s="14">
        <f>255+159</f>
        <v>414</v>
      </c>
      <c r="H5" s="14" t="s">
        <v>12</v>
      </c>
      <c r="I5" s="14">
        <f>33</f>
        <v>33</v>
      </c>
      <c r="J5" s="13" t="s">
        <v>12</v>
      </c>
      <c r="K5" s="20">
        <f t="shared" ref="K5:K68" si="0">SUM(E5:J5)</f>
        <v>675</v>
      </c>
    </row>
    <row r="6" spans="1:11" ht="30" x14ac:dyDescent="0.2">
      <c r="A6" s="13">
        <f t="shared" ref="A6:A69" si="1">A5+1</f>
        <v>3</v>
      </c>
      <c r="B6" s="72" t="s">
        <v>346</v>
      </c>
      <c r="C6" s="12" t="s">
        <v>15</v>
      </c>
      <c r="D6" s="73">
        <v>30</v>
      </c>
      <c r="E6" s="14">
        <f>64+64</f>
        <v>128</v>
      </c>
      <c r="F6" s="13" t="s">
        <v>12</v>
      </c>
      <c r="G6" s="14">
        <f>52+38</f>
        <v>90</v>
      </c>
      <c r="H6" s="14" t="s">
        <v>12</v>
      </c>
      <c r="I6" s="13" t="s">
        <v>12</v>
      </c>
      <c r="J6" s="13" t="s">
        <v>12</v>
      </c>
      <c r="K6" s="20">
        <f t="shared" si="0"/>
        <v>218</v>
      </c>
    </row>
    <row r="7" spans="1:11" ht="30" x14ac:dyDescent="0.2">
      <c r="A7" s="13">
        <f t="shared" si="1"/>
        <v>4</v>
      </c>
      <c r="B7" s="12" t="s">
        <v>16</v>
      </c>
      <c r="C7" s="12" t="s">
        <v>17</v>
      </c>
      <c r="D7" s="73">
        <v>48</v>
      </c>
      <c r="E7" s="14">
        <f>1990+2492</f>
        <v>4482</v>
      </c>
      <c r="F7" s="13" t="s">
        <v>12</v>
      </c>
      <c r="G7" s="13" t="s">
        <v>12</v>
      </c>
      <c r="H7" s="14" t="s">
        <v>12</v>
      </c>
      <c r="I7" s="14">
        <f>2366+1658</f>
        <v>4024</v>
      </c>
      <c r="J7" s="14">
        <f>676</f>
        <v>676</v>
      </c>
      <c r="K7" s="20">
        <f t="shared" si="0"/>
        <v>9182</v>
      </c>
    </row>
    <row r="8" spans="1:11" ht="30" x14ac:dyDescent="0.2">
      <c r="A8" s="13">
        <f t="shared" si="1"/>
        <v>5</v>
      </c>
      <c r="B8" s="12" t="s">
        <v>18</v>
      </c>
      <c r="C8" s="12" t="s">
        <v>19</v>
      </c>
      <c r="D8" s="13">
        <v>92</v>
      </c>
      <c r="E8" s="14">
        <f>9340+9350</f>
        <v>18690</v>
      </c>
      <c r="F8" s="13" t="s">
        <v>12</v>
      </c>
      <c r="G8" s="13" t="s">
        <v>12</v>
      </c>
      <c r="H8" s="14" t="s">
        <v>12</v>
      </c>
      <c r="I8" s="13" t="s">
        <v>12</v>
      </c>
      <c r="J8" s="13" t="s">
        <v>12</v>
      </c>
      <c r="K8" s="20">
        <f t="shared" si="0"/>
        <v>18690</v>
      </c>
    </row>
    <row r="9" spans="1:11" ht="45" x14ac:dyDescent="0.2">
      <c r="A9" s="13">
        <f t="shared" si="1"/>
        <v>6</v>
      </c>
      <c r="B9" s="12" t="s">
        <v>20</v>
      </c>
      <c r="C9" s="12" t="s">
        <v>21</v>
      </c>
      <c r="D9" s="73" t="s">
        <v>364</v>
      </c>
      <c r="E9" s="14">
        <f>358+408+362+428</f>
        <v>1556</v>
      </c>
      <c r="F9" s="13" t="s">
        <v>12</v>
      </c>
      <c r="G9" s="13" t="s">
        <v>12</v>
      </c>
      <c r="H9" s="14" t="s">
        <v>12</v>
      </c>
      <c r="I9" s="13" t="s">
        <v>12</v>
      </c>
      <c r="J9" s="14">
        <f>378+304</f>
        <v>682</v>
      </c>
      <c r="K9" s="20">
        <f t="shared" si="0"/>
        <v>2238</v>
      </c>
    </row>
    <row r="10" spans="1:11" ht="30" x14ac:dyDescent="0.2">
      <c r="A10" s="13">
        <f t="shared" si="1"/>
        <v>7</v>
      </c>
      <c r="B10" s="12" t="s">
        <v>22</v>
      </c>
      <c r="C10" s="12" t="s">
        <v>23</v>
      </c>
      <c r="D10" s="73" t="s">
        <v>365</v>
      </c>
      <c r="E10" s="14">
        <f>13455+27330</f>
        <v>40785</v>
      </c>
      <c r="F10" s="13" t="s">
        <v>12</v>
      </c>
      <c r="G10" s="14">
        <f>22353+16131</f>
        <v>38484</v>
      </c>
      <c r="H10" s="14" t="s">
        <v>12</v>
      </c>
      <c r="I10" s="14">
        <f>6048</f>
        <v>6048</v>
      </c>
      <c r="J10" s="13" t="s">
        <v>12</v>
      </c>
      <c r="K10" s="20">
        <f t="shared" si="0"/>
        <v>85317</v>
      </c>
    </row>
    <row r="11" spans="1:11" ht="30" x14ac:dyDescent="0.2">
      <c r="A11" s="13">
        <f t="shared" si="1"/>
        <v>8</v>
      </c>
      <c r="B11" s="12" t="s">
        <v>24</v>
      </c>
      <c r="C11" s="12" t="s">
        <v>25</v>
      </c>
      <c r="D11" s="73" t="s">
        <v>366</v>
      </c>
      <c r="E11" s="14">
        <f>14076+19884</f>
        <v>33960</v>
      </c>
      <c r="F11" s="13" t="s">
        <v>12</v>
      </c>
      <c r="G11" s="14">
        <f>13890+13152</f>
        <v>27042</v>
      </c>
      <c r="H11" s="14" t="s">
        <v>12</v>
      </c>
      <c r="I11" s="14">
        <f>6528</f>
        <v>6528</v>
      </c>
      <c r="J11" s="13" t="s">
        <v>12</v>
      </c>
      <c r="K11" s="20">
        <f t="shared" si="0"/>
        <v>67530</v>
      </c>
    </row>
    <row r="12" spans="1:11" ht="30" x14ac:dyDescent="0.2">
      <c r="A12" s="13">
        <f t="shared" si="1"/>
        <v>9</v>
      </c>
      <c r="B12" s="12" t="s">
        <v>26</v>
      </c>
      <c r="C12" s="12" t="s">
        <v>27</v>
      </c>
      <c r="D12" s="13">
        <v>5</v>
      </c>
      <c r="E12" s="13" t="s">
        <v>12</v>
      </c>
      <c r="F12" s="14">
        <f>88+112+132+128</f>
        <v>460</v>
      </c>
      <c r="G12" s="13" t="s">
        <v>12</v>
      </c>
      <c r="H12" s="14" t="s">
        <v>12</v>
      </c>
      <c r="I12" s="13" t="s">
        <v>12</v>
      </c>
      <c r="J12" s="13" t="s">
        <v>12</v>
      </c>
      <c r="K12" s="20">
        <f t="shared" si="0"/>
        <v>460</v>
      </c>
    </row>
    <row r="13" spans="1:11" ht="30" x14ac:dyDescent="0.2">
      <c r="A13" s="13">
        <f t="shared" si="1"/>
        <v>10</v>
      </c>
      <c r="B13" s="12" t="s">
        <v>28</v>
      </c>
      <c r="C13" s="12" t="s">
        <v>29</v>
      </c>
      <c r="D13" s="73" t="s">
        <v>367</v>
      </c>
      <c r="E13" s="14" t="s">
        <v>12</v>
      </c>
      <c r="F13" s="14" t="s">
        <v>12</v>
      </c>
      <c r="G13" s="13" t="s">
        <v>12</v>
      </c>
      <c r="H13" s="14" t="s">
        <v>12</v>
      </c>
      <c r="I13" s="14">
        <f>260+358</f>
        <v>618</v>
      </c>
      <c r="J13" s="14">
        <f>46</f>
        <v>46</v>
      </c>
      <c r="K13" s="20">
        <f t="shared" si="0"/>
        <v>664</v>
      </c>
    </row>
    <row r="14" spans="1:11" ht="30" x14ac:dyDescent="0.2">
      <c r="A14" s="13">
        <f t="shared" si="1"/>
        <v>11</v>
      </c>
      <c r="B14" s="12" t="s">
        <v>30</v>
      </c>
      <c r="C14" s="12" t="s">
        <v>31</v>
      </c>
      <c r="D14" s="73" t="s">
        <v>368</v>
      </c>
      <c r="E14" s="14">
        <f>132+186+208</f>
        <v>526</v>
      </c>
      <c r="F14" s="14" t="s">
        <v>12</v>
      </c>
      <c r="G14" s="13" t="s">
        <v>12</v>
      </c>
      <c r="H14" s="14" t="s">
        <v>12</v>
      </c>
      <c r="I14" s="13" t="s">
        <v>12</v>
      </c>
      <c r="J14" s="14">
        <f>304+300+92</f>
        <v>696</v>
      </c>
      <c r="K14" s="20">
        <f t="shared" si="0"/>
        <v>1222</v>
      </c>
    </row>
    <row r="15" spans="1:11" ht="30" x14ac:dyDescent="0.2">
      <c r="A15" s="13">
        <f t="shared" si="1"/>
        <v>12</v>
      </c>
      <c r="B15" s="12" t="s">
        <v>32</v>
      </c>
      <c r="C15" s="12" t="s">
        <v>33</v>
      </c>
      <c r="D15" s="13">
        <v>43</v>
      </c>
      <c r="E15" s="14" t="s">
        <v>12</v>
      </c>
      <c r="F15" s="14">
        <f>1582+1648</f>
        <v>3230</v>
      </c>
      <c r="G15" s="13" t="s">
        <v>12</v>
      </c>
      <c r="H15" s="14" t="s">
        <v>12</v>
      </c>
      <c r="I15" s="13" t="s">
        <v>12</v>
      </c>
      <c r="J15" s="13" t="s">
        <v>12</v>
      </c>
      <c r="K15" s="20">
        <f t="shared" si="0"/>
        <v>3230</v>
      </c>
    </row>
    <row r="16" spans="1:11" ht="30" x14ac:dyDescent="0.2">
      <c r="A16" s="13">
        <f t="shared" si="1"/>
        <v>13</v>
      </c>
      <c r="B16" s="12" t="s">
        <v>36</v>
      </c>
      <c r="C16" s="12" t="s">
        <v>37</v>
      </c>
      <c r="D16" s="13">
        <v>234</v>
      </c>
      <c r="E16" s="14" t="s">
        <v>12</v>
      </c>
      <c r="F16" s="14">
        <f>11630+7736</f>
        <v>19366</v>
      </c>
      <c r="G16" s="13" t="s">
        <v>12</v>
      </c>
      <c r="H16" s="14" t="s">
        <v>12</v>
      </c>
      <c r="I16" s="14">
        <f>6340+2674</f>
        <v>9014</v>
      </c>
      <c r="J16" s="13" t="s">
        <v>12</v>
      </c>
      <c r="K16" s="20">
        <f t="shared" si="0"/>
        <v>28380</v>
      </c>
    </row>
    <row r="17" spans="1:11" ht="30" x14ac:dyDescent="0.2">
      <c r="A17" s="13">
        <f t="shared" si="1"/>
        <v>14</v>
      </c>
      <c r="B17" s="12" t="s">
        <v>34</v>
      </c>
      <c r="C17" s="12" t="s">
        <v>35</v>
      </c>
      <c r="D17" s="13">
        <v>451</v>
      </c>
      <c r="E17" s="14">
        <f>18111+21825</f>
        <v>39936</v>
      </c>
      <c r="F17" s="14" t="s">
        <v>12</v>
      </c>
      <c r="G17" s="13" t="s">
        <v>12</v>
      </c>
      <c r="H17" s="14" t="s">
        <v>12</v>
      </c>
      <c r="I17" s="14">
        <f>12555+15630+8067+330</f>
        <v>36582</v>
      </c>
      <c r="J17" s="13" t="s">
        <v>12</v>
      </c>
      <c r="K17" s="20">
        <f t="shared" si="0"/>
        <v>76518</v>
      </c>
    </row>
    <row r="18" spans="1:11" ht="30" x14ac:dyDescent="0.2">
      <c r="A18" s="13">
        <f t="shared" si="1"/>
        <v>15</v>
      </c>
      <c r="B18" s="12" t="s">
        <v>38</v>
      </c>
      <c r="C18" s="12" t="s">
        <v>39</v>
      </c>
      <c r="D18" s="13">
        <v>318</v>
      </c>
      <c r="E18" s="14">
        <f>11661+18831</f>
        <v>30492</v>
      </c>
      <c r="F18" s="14" t="s">
        <v>12</v>
      </c>
      <c r="G18" s="13" t="s">
        <v>12</v>
      </c>
      <c r="H18" s="14" t="s">
        <v>12</v>
      </c>
      <c r="I18" s="14">
        <f>10149+10503+3939+27</f>
        <v>24618</v>
      </c>
      <c r="J18" s="13" t="s">
        <v>12</v>
      </c>
      <c r="K18" s="20">
        <f t="shared" si="0"/>
        <v>55110</v>
      </c>
    </row>
    <row r="19" spans="1:11" ht="30" x14ac:dyDescent="0.2">
      <c r="A19" s="13">
        <f t="shared" si="1"/>
        <v>16</v>
      </c>
      <c r="B19" s="12" t="s">
        <v>40</v>
      </c>
      <c r="C19" s="12" t="s">
        <v>41</v>
      </c>
      <c r="D19" s="73" t="s">
        <v>369</v>
      </c>
      <c r="E19" s="14">
        <v>24705</v>
      </c>
      <c r="F19" s="14">
        <f>23586</f>
        <v>23586</v>
      </c>
      <c r="G19" s="14" t="s">
        <v>12</v>
      </c>
      <c r="H19" s="14" t="s">
        <v>12</v>
      </c>
      <c r="I19" s="14">
        <f>14730+7488+96</f>
        <v>22314</v>
      </c>
      <c r="J19" s="14">
        <f>93</f>
        <v>93</v>
      </c>
      <c r="K19" s="20">
        <f t="shared" si="0"/>
        <v>70698</v>
      </c>
    </row>
    <row r="20" spans="1:11" ht="30" x14ac:dyDescent="0.2">
      <c r="A20" s="13">
        <f t="shared" si="1"/>
        <v>17</v>
      </c>
      <c r="B20" s="12" t="s">
        <v>42</v>
      </c>
      <c r="C20" s="12" t="s">
        <v>43</v>
      </c>
      <c r="D20" s="73" t="s">
        <v>370</v>
      </c>
      <c r="E20" s="14">
        <f>9834+12612</f>
        <v>22446</v>
      </c>
      <c r="F20" s="14" t="s">
        <v>12</v>
      </c>
      <c r="G20" s="14" t="s">
        <v>12</v>
      </c>
      <c r="H20" s="14" t="s">
        <v>12</v>
      </c>
      <c r="I20" s="14" t="s">
        <v>12</v>
      </c>
      <c r="J20" s="14">
        <f>4515</f>
        <v>4515</v>
      </c>
      <c r="K20" s="20">
        <f t="shared" si="0"/>
        <v>26961</v>
      </c>
    </row>
    <row r="21" spans="1:11" ht="30" x14ac:dyDescent="0.2">
      <c r="A21" s="13">
        <f t="shared" si="1"/>
        <v>18</v>
      </c>
      <c r="B21" s="12" t="s">
        <v>44</v>
      </c>
      <c r="C21" s="12" t="s">
        <v>45</v>
      </c>
      <c r="D21" s="13">
        <v>328</v>
      </c>
      <c r="E21" s="14">
        <f>22131+18996</f>
        <v>41127</v>
      </c>
      <c r="F21" s="14" t="s">
        <v>12</v>
      </c>
      <c r="G21" s="14">
        <f>16080+9720</f>
        <v>25800</v>
      </c>
      <c r="H21" s="14" t="s">
        <v>12</v>
      </c>
      <c r="I21" s="14">
        <f>4686+39</f>
        <v>4725</v>
      </c>
      <c r="J21" s="13" t="s">
        <v>12</v>
      </c>
      <c r="K21" s="20">
        <f t="shared" si="0"/>
        <v>71652</v>
      </c>
    </row>
    <row r="22" spans="1:11" ht="15" x14ac:dyDescent="0.2">
      <c r="A22" s="13">
        <f t="shared" si="1"/>
        <v>19</v>
      </c>
      <c r="B22" s="12" t="s">
        <v>46</v>
      </c>
      <c r="C22" s="12" t="s">
        <v>47</v>
      </c>
      <c r="D22" s="13">
        <v>16</v>
      </c>
      <c r="E22" s="14">
        <f>76+76</f>
        <v>152</v>
      </c>
      <c r="F22" s="14" t="s">
        <v>12</v>
      </c>
      <c r="G22" s="14">
        <f>66+60</f>
        <v>126</v>
      </c>
      <c r="H22" s="14" t="s">
        <v>12</v>
      </c>
      <c r="I22" s="13" t="s">
        <v>12</v>
      </c>
      <c r="J22" s="13" t="s">
        <v>12</v>
      </c>
      <c r="K22" s="20">
        <f t="shared" si="0"/>
        <v>278</v>
      </c>
    </row>
    <row r="23" spans="1:11" ht="30" x14ac:dyDescent="0.2">
      <c r="A23" s="13">
        <f t="shared" si="1"/>
        <v>20</v>
      </c>
      <c r="B23" s="72" t="s">
        <v>347</v>
      </c>
      <c r="C23" s="12" t="s">
        <v>48</v>
      </c>
      <c r="D23" s="13">
        <v>68</v>
      </c>
      <c r="E23" s="14">
        <f>2086+3288</f>
        <v>5374</v>
      </c>
      <c r="F23" s="14" t="s">
        <v>12</v>
      </c>
      <c r="G23" s="14">
        <f>2508+2508</f>
        <v>5016</v>
      </c>
      <c r="H23" s="14" t="s">
        <v>12</v>
      </c>
      <c r="I23" s="14">
        <f>1246</f>
        <v>1246</v>
      </c>
      <c r="J23" s="13" t="s">
        <v>12</v>
      </c>
      <c r="K23" s="20">
        <f t="shared" si="0"/>
        <v>11636</v>
      </c>
    </row>
    <row r="24" spans="1:11" ht="30" x14ac:dyDescent="0.2">
      <c r="A24" s="13">
        <f t="shared" si="1"/>
        <v>21</v>
      </c>
      <c r="B24" s="12" t="s">
        <v>49</v>
      </c>
      <c r="C24" s="12" t="s">
        <v>50</v>
      </c>
      <c r="D24" s="73" t="s">
        <v>371</v>
      </c>
      <c r="E24" s="14">
        <f>17379+23262</f>
        <v>40641</v>
      </c>
      <c r="F24" s="14" t="s">
        <v>12</v>
      </c>
      <c r="G24" s="14">
        <f>15846+9183</f>
        <v>25029</v>
      </c>
      <c r="H24" s="14" t="s">
        <v>12</v>
      </c>
      <c r="I24" s="14">
        <f>4626+357</f>
        <v>4983</v>
      </c>
      <c r="J24" s="13" t="s">
        <v>12</v>
      </c>
      <c r="K24" s="20">
        <f t="shared" si="0"/>
        <v>70653</v>
      </c>
    </row>
    <row r="25" spans="1:11" ht="30" x14ac:dyDescent="0.2">
      <c r="A25" s="13">
        <f t="shared" si="1"/>
        <v>22</v>
      </c>
      <c r="B25" s="12" t="s">
        <v>51</v>
      </c>
      <c r="C25" s="12" t="s">
        <v>52</v>
      </c>
      <c r="D25" s="13">
        <v>280</v>
      </c>
      <c r="E25" s="14">
        <f>11403+18648</f>
        <v>30051</v>
      </c>
      <c r="F25" s="14" t="s">
        <v>12</v>
      </c>
      <c r="G25" s="14">
        <f>11817+8004</f>
        <v>19821</v>
      </c>
      <c r="H25" s="14" t="s">
        <v>12</v>
      </c>
      <c r="I25" s="13" t="s">
        <v>12</v>
      </c>
      <c r="J25" s="13" t="s">
        <v>12</v>
      </c>
      <c r="K25" s="20">
        <f t="shared" si="0"/>
        <v>49872</v>
      </c>
    </row>
    <row r="26" spans="1:11" ht="30" x14ac:dyDescent="0.2">
      <c r="A26" s="13">
        <f t="shared" si="1"/>
        <v>23</v>
      </c>
      <c r="B26" s="12" t="s">
        <v>53</v>
      </c>
      <c r="C26" s="12" t="s">
        <v>54</v>
      </c>
      <c r="D26" s="13">
        <v>312</v>
      </c>
      <c r="E26" s="14">
        <f>34746+36936</f>
        <v>71682</v>
      </c>
      <c r="F26" s="14" t="s">
        <v>12</v>
      </c>
      <c r="G26" s="14">
        <f>31245+18534</f>
        <v>49779</v>
      </c>
      <c r="H26" s="14" t="s">
        <v>12</v>
      </c>
      <c r="I26" s="14">
        <f>5643+273</f>
        <v>5916</v>
      </c>
      <c r="J26" s="13" t="s">
        <v>12</v>
      </c>
      <c r="K26" s="20">
        <f t="shared" si="0"/>
        <v>127377</v>
      </c>
    </row>
    <row r="27" spans="1:11" ht="45" x14ac:dyDescent="0.2">
      <c r="A27" s="13">
        <f t="shared" si="1"/>
        <v>24</v>
      </c>
      <c r="B27" s="12" t="s">
        <v>55</v>
      </c>
      <c r="C27" s="12" t="s">
        <v>56</v>
      </c>
      <c r="D27" s="13">
        <v>45</v>
      </c>
      <c r="E27" s="14">
        <f>1224+1796</f>
        <v>3020</v>
      </c>
      <c r="F27" s="14" t="s">
        <v>12</v>
      </c>
      <c r="G27" s="14">
        <f>846+810</f>
        <v>1656</v>
      </c>
      <c r="H27" s="14" t="s">
        <v>12</v>
      </c>
      <c r="I27" s="14">
        <f>366</f>
        <v>366</v>
      </c>
      <c r="J27" s="14" t="s">
        <v>12</v>
      </c>
      <c r="K27" s="20">
        <f t="shared" si="0"/>
        <v>5042</v>
      </c>
    </row>
    <row r="28" spans="1:11" ht="30" x14ac:dyDescent="0.2">
      <c r="A28" s="13">
        <f t="shared" si="1"/>
        <v>25</v>
      </c>
      <c r="B28" s="12" t="s">
        <v>57</v>
      </c>
      <c r="C28" s="12" t="s">
        <v>58</v>
      </c>
      <c r="D28" s="13">
        <v>54</v>
      </c>
      <c r="E28" s="14" t="s">
        <v>12</v>
      </c>
      <c r="F28" s="14">
        <f>2774+2374</f>
        <v>5148</v>
      </c>
      <c r="G28" s="14">
        <f>1524+3296</f>
        <v>4820</v>
      </c>
      <c r="H28" s="14" t="s">
        <v>12</v>
      </c>
      <c r="I28" s="14">
        <f>536</f>
        <v>536</v>
      </c>
      <c r="J28" s="13" t="s">
        <v>12</v>
      </c>
      <c r="K28" s="20">
        <f t="shared" si="0"/>
        <v>10504</v>
      </c>
    </row>
    <row r="29" spans="1:11" ht="30" x14ac:dyDescent="0.2">
      <c r="A29" s="13">
        <f t="shared" si="1"/>
        <v>26</v>
      </c>
      <c r="B29" s="72" t="s">
        <v>348</v>
      </c>
      <c r="C29" s="12" t="s">
        <v>59</v>
      </c>
      <c r="D29" s="73" t="s">
        <v>372</v>
      </c>
      <c r="E29" s="14">
        <f>17289+20265</f>
        <v>37554</v>
      </c>
      <c r="F29" s="14" t="s">
        <v>12</v>
      </c>
      <c r="G29" s="14">
        <f>13734+11625</f>
        <v>25359</v>
      </c>
      <c r="H29" s="14" t="s">
        <v>12</v>
      </c>
      <c r="I29" s="14">
        <f>4842</f>
        <v>4842</v>
      </c>
      <c r="J29" s="13" t="s">
        <v>12</v>
      </c>
      <c r="K29" s="20">
        <f t="shared" si="0"/>
        <v>67755</v>
      </c>
    </row>
    <row r="30" spans="1:11" ht="45" x14ac:dyDescent="0.2">
      <c r="A30" s="13">
        <f t="shared" si="1"/>
        <v>27</v>
      </c>
      <c r="B30" s="12" t="s">
        <v>60</v>
      </c>
      <c r="C30" s="12" t="s">
        <v>61</v>
      </c>
      <c r="D30" s="13">
        <v>387</v>
      </c>
      <c r="E30" s="14">
        <f>21411+33351</f>
        <v>54762</v>
      </c>
      <c r="F30" s="14" t="s">
        <v>12</v>
      </c>
      <c r="G30" s="14">
        <f>32355+19128</f>
        <v>51483</v>
      </c>
      <c r="H30" s="14" t="s">
        <v>12</v>
      </c>
      <c r="I30" s="14">
        <f>10407</f>
        <v>10407</v>
      </c>
      <c r="J30" s="13" t="s">
        <v>12</v>
      </c>
      <c r="K30" s="20">
        <f t="shared" si="0"/>
        <v>116652</v>
      </c>
    </row>
    <row r="31" spans="1:11" ht="30" x14ac:dyDescent="0.2">
      <c r="A31" s="13">
        <f t="shared" si="1"/>
        <v>28</v>
      </c>
      <c r="B31" s="12" t="s">
        <v>62</v>
      </c>
      <c r="C31" s="12" t="s">
        <v>63</v>
      </c>
      <c r="D31" s="73">
        <v>43</v>
      </c>
      <c r="E31" s="14">
        <f>1340+1872</f>
        <v>3212</v>
      </c>
      <c r="F31" s="14" t="s">
        <v>12</v>
      </c>
      <c r="G31" s="14">
        <f>14055+11265</f>
        <v>25320</v>
      </c>
      <c r="H31" s="14" t="s">
        <v>12</v>
      </c>
      <c r="I31" s="14">
        <f>454</f>
        <v>454</v>
      </c>
      <c r="J31" s="13" t="s">
        <v>12</v>
      </c>
      <c r="K31" s="20">
        <f t="shared" si="0"/>
        <v>28986</v>
      </c>
    </row>
    <row r="32" spans="1:11" ht="30" x14ac:dyDescent="0.2">
      <c r="A32" s="13">
        <f t="shared" si="1"/>
        <v>29</v>
      </c>
      <c r="B32" s="12" t="s">
        <v>64</v>
      </c>
      <c r="C32" s="12" t="s">
        <v>65</v>
      </c>
      <c r="D32" s="73" t="s">
        <v>373</v>
      </c>
      <c r="E32" s="14">
        <f>1662+2148</f>
        <v>3810</v>
      </c>
      <c r="F32" s="14" t="s">
        <v>12</v>
      </c>
      <c r="G32" s="14">
        <f>1410+1276</f>
        <v>2686</v>
      </c>
      <c r="H32" s="14" t="s">
        <v>12</v>
      </c>
      <c r="I32" s="14">
        <f>610</f>
        <v>610</v>
      </c>
      <c r="J32" s="13" t="s">
        <v>12</v>
      </c>
      <c r="K32" s="20">
        <f t="shared" si="0"/>
        <v>7106</v>
      </c>
    </row>
    <row r="33" spans="1:14" ht="15" x14ac:dyDescent="0.2">
      <c r="A33" s="13">
        <f t="shared" si="1"/>
        <v>30</v>
      </c>
      <c r="B33" s="12" t="s">
        <v>66</v>
      </c>
      <c r="C33" s="12" t="s">
        <v>67</v>
      </c>
      <c r="D33" s="13">
        <v>14</v>
      </c>
      <c r="E33" s="14">
        <f>130+104</f>
        <v>234</v>
      </c>
      <c r="F33" s="14" t="s">
        <v>12</v>
      </c>
      <c r="G33" s="14">
        <f>180+106</f>
        <v>286</v>
      </c>
      <c r="H33" s="14" t="s">
        <v>12</v>
      </c>
      <c r="I33" s="14">
        <f>116</f>
        <v>116</v>
      </c>
      <c r="J33" s="13" t="s">
        <v>12</v>
      </c>
      <c r="K33" s="20">
        <f t="shared" si="0"/>
        <v>636</v>
      </c>
    </row>
    <row r="34" spans="1:14" ht="30" x14ac:dyDescent="0.2">
      <c r="A34" s="13">
        <f t="shared" si="1"/>
        <v>31</v>
      </c>
      <c r="B34" s="12" t="s">
        <v>68</v>
      </c>
      <c r="C34" s="12" t="s">
        <v>69</v>
      </c>
      <c r="D34" s="13">
        <v>249</v>
      </c>
      <c r="E34" s="14">
        <f>18513+22137</f>
        <v>40650</v>
      </c>
      <c r="F34" s="14" t="s">
        <v>12</v>
      </c>
      <c r="G34" s="14">
        <f>19173+15786</f>
        <v>34959</v>
      </c>
      <c r="H34" s="14" t="s">
        <v>12</v>
      </c>
      <c r="I34" s="14" t="s">
        <v>12</v>
      </c>
      <c r="J34" s="14">
        <f>8088</f>
        <v>8088</v>
      </c>
      <c r="K34" s="20">
        <f t="shared" si="0"/>
        <v>83697</v>
      </c>
    </row>
    <row r="35" spans="1:14" ht="30" x14ac:dyDescent="0.2">
      <c r="A35" s="13">
        <f t="shared" si="1"/>
        <v>32</v>
      </c>
      <c r="B35" s="72" t="s">
        <v>349</v>
      </c>
      <c r="C35" s="12" t="s">
        <v>70</v>
      </c>
      <c r="D35" s="73" t="s">
        <v>374</v>
      </c>
      <c r="E35" s="14">
        <f>16818+27840</f>
        <v>44658</v>
      </c>
      <c r="F35" s="14" t="s">
        <v>12</v>
      </c>
      <c r="G35" s="14">
        <f>24495+12519</f>
        <v>37014</v>
      </c>
      <c r="H35" s="14" t="s">
        <v>12</v>
      </c>
      <c r="I35" s="14">
        <f>5991</f>
        <v>5991</v>
      </c>
      <c r="J35" s="13" t="s">
        <v>12</v>
      </c>
      <c r="K35" s="20">
        <f t="shared" si="0"/>
        <v>87663</v>
      </c>
    </row>
    <row r="36" spans="1:14" ht="30" x14ac:dyDescent="0.2">
      <c r="A36" s="13">
        <f t="shared" si="1"/>
        <v>33</v>
      </c>
      <c r="B36" s="12" t="s">
        <v>93</v>
      </c>
      <c r="C36" s="12" t="s">
        <v>94</v>
      </c>
      <c r="D36" s="13">
        <v>240</v>
      </c>
      <c r="E36" s="14" t="s">
        <v>12</v>
      </c>
      <c r="F36" s="14" t="s">
        <v>12</v>
      </c>
      <c r="G36" s="14" t="s">
        <v>12</v>
      </c>
      <c r="H36" s="14" t="s">
        <v>12</v>
      </c>
      <c r="I36" s="14">
        <f>16419+13863</f>
        <v>30282</v>
      </c>
      <c r="J36" s="13" t="s">
        <v>12</v>
      </c>
      <c r="K36" s="20">
        <f t="shared" si="0"/>
        <v>30282</v>
      </c>
    </row>
    <row r="37" spans="1:14" ht="15" x14ac:dyDescent="0.2">
      <c r="A37" s="13">
        <f t="shared" si="1"/>
        <v>34</v>
      </c>
      <c r="B37" s="12" t="s">
        <v>71</v>
      </c>
      <c r="C37" s="12" t="s">
        <v>72</v>
      </c>
      <c r="D37" s="13">
        <v>22</v>
      </c>
      <c r="E37" s="14">
        <f>220+316</f>
        <v>536</v>
      </c>
      <c r="F37" s="14" t="s">
        <v>12</v>
      </c>
      <c r="G37" s="14">
        <f>284+254</f>
        <v>538</v>
      </c>
      <c r="H37" s="14" t="s">
        <v>12</v>
      </c>
      <c r="I37" s="14">
        <f>140</f>
        <v>140</v>
      </c>
      <c r="J37" s="13" t="s">
        <v>12</v>
      </c>
      <c r="K37" s="20">
        <f t="shared" si="0"/>
        <v>1214</v>
      </c>
    </row>
    <row r="38" spans="1:14" ht="30" x14ac:dyDescent="0.2">
      <c r="A38" s="13">
        <f t="shared" si="1"/>
        <v>35</v>
      </c>
      <c r="B38" s="12" t="s">
        <v>73</v>
      </c>
      <c r="C38" s="12" t="s">
        <v>74</v>
      </c>
      <c r="D38" s="73" t="s">
        <v>375</v>
      </c>
      <c r="E38" s="14">
        <f>5834+7598</f>
        <v>13432</v>
      </c>
      <c r="F38" s="14" t="s">
        <v>12</v>
      </c>
      <c r="G38" s="14">
        <f>3444+3282</f>
        <v>6726</v>
      </c>
      <c r="H38" s="14" t="s">
        <v>12</v>
      </c>
      <c r="I38" s="14">
        <f>1466</f>
        <v>1466</v>
      </c>
      <c r="J38" s="13" t="s">
        <v>12</v>
      </c>
      <c r="K38" s="20">
        <f t="shared" si="0"/>
        <v>21624</v>
      </c>
    </row>
    <row r="39" spans="1:14" ht="45" x14ac:dyDescent="0.2">
      <c r="A39" s="13">
        <f t="shared" si="1"/>
        <v>36</v>
      </c>
      <c r="B39" s="12" t="s">
        <v>75</v>
      </c>
      <c r="C39" s="12" t="s">
        <v>76</v>
      </c>
      <c r="D39" s="73" t="s">
        <v>376</v>
      </c>
      <c r="E39" s="14">
        <f>24009+22332</f>
        <v>46341</v>
      </c>
      <c r="F39" s="14" t="s">
        <v>12</v>
      </c>
      <c r="G39" s="14">
        <f>21492+10563</f>
        <v>32055</v>
      </c>
      <c r="H39" s="14" t="s">
        <v>12</v>
      </c>
      <c r="I39" s="14">
        <f>5250+1551</f>
        <v>6801</v>
      </c>
      <c r="J39" s="13" t="s">
        <v>12</v>
      </c>
      <c r="K39" s="20">
        <f t="shared" si="0"/>
        <v>85197</v>
      </c>
    </row>
    <row r="40" spans="1:14" ht="30" x14ac:dyDescent="0.2">
      <c r="A40" s="13">
        <f t="shared" si="1"/>
        <v>37</v>
      </c>
      <c r="B40" s="12" t="s">
        <v>98</v>
      </c>
      <c r="C40" s="12" t="s">
        <v>99</v>
      </c>
      <c r="D40" s="13">
        <v>27</v>
      </c>
      <c r="E40" s="14" t="s">
        <v>12</v>
      </c>
      <c r="F40" s="14">
        <f>2228+1454</f>
        <v>3682</v>
      </c>
      <c r="G40" s="14" t="s">
        <v>12</v>
      </c>
      <c r="H40" s="14" t="s">
        <v>12</v>
      </c>
      <c r="I40" s="14">
        <f>1480+748</f>
        <v>2228</v>
      </c>
      <c r="J40" s="14">
        <f>64+118</f>
        <v>182</v>
      </c>
      <c r="K40" s="20">
        <f t="shared" si="0"/>
        <v>6092</v>
      </c>
    </row>
    <row r="41" spans="1:14" ht="30" x14ac:dyDescent="0.2">
      <c r="A41" s="13">
        <f t="shared" si="1"/>
        <v>38</v>
      </c>
      <c r="B41" s="12" t="s">
        <v>77</v>
      </c>
      <c r="C41" s="12" t="s">
        <v>78</v>
      </c>
      <c r="D41" s="13">
        <v>126</v>
      </c>
      <c r="E41" s="14">
        <v>6956</v>
      </c>
      <c r="F41" s="14">
        <f>4200</f>
        <v>4200</v>
      </c>
      <c r="G41" s="14">
        <f>4180</f>
        <v>4180</v>
      </c>
      <c r="H41" s="14" t="s">
        <v>12</v>
      </c>
      <c r="I41" s="14">
        <f>2056</f>
        <v>2056</v>
      </c>
      <c r="J41" s="14">
        <f>108</f>
        <v>108</v>
      </c>
      <c r="K41" s="20">
        <f t="shared" si="0"/>
        <v>17500</v>
      </c>
      <c r="N41" s="2"/>
    </row>
    <row r="42" spans="1:14" ht="15" x14ac:dyDescent="0.2">
      <c r="A42" s="13">
        <f t="shared" si="1"/>
        <v>39</v>
      </c>
      <c r="B42" s="12" t="s">
        <v>104</v>
      </c>
      <c r="C42" s="12" t="s">
        <v>105</v>
      </c>
      <c r="D42" s="13">
        <v>52</v>
      </c>
      <c r="E42" s="14" t="s">
        <v>12</v>
      </c>
      <c r="F42" s="14" t="s">
        <v>12</v>
      </c>
      <c r="G42" s="14" t="s">
        <v>12</v>
      </c>
      <c r="H42" s="14" t="s">
        <v>12</v>
      </c>
      <c r="I42" s="14">
        <f>1578+1578</f>
        <v>3156</v>
      </c>
      <c r="J42" s="13" t="s">
        <v>12</v>
      </c>
      <c r="K42" s="20">
        <f t="shared" si="0"/>
        <v>3156</v>
      </c>
    </row>
    <row r="43" spans="1:14" ht="30" x14ac:dyDescent="0.2">
      <c r="A43" s="13">
        <f t="shared" si="1"/>
        <v>40</v>
      </c>
      <c r="B43" s="12" t="s">
        <v>100</v>
      </c>
      <c r="C43" s="12" t="s">
        <v>101</v>
      </c>
      <c r="D43" s="13">
        <v>196</v>
      </c>
      <c r="E43" s="14" t="s">
        <v>12</v>
      </c>
      <c r="F43" s="14">
        <f>9284+6622</f>
        <v>15906</v>
      </c>
      <c r="G43" s="14" t="s">
        <v>12</v>
      </c>
      <c r="H43" s="14" t="s">
        <v>12</v>
      </c>
      <c r="I43" s="14">
        <f>6000+2988</f>
        <v>8988</v>
      </c>
      <c r="J43" s="14">
        <f>60+220</f>
        <v>280</v>
      </c>
      <c r="K43" s="20">
        <f t="shared" si="0"/>
        <v>25174</v>
      </c>
    </row>
    <row r="44" spans="1:14" ht="15" x14ac:dyDescent="0.2">
      <c r="A44" s="13">
        <f t="shared" si="1"/>
        <v>41</v>
      </c>
      <c r="B44" s="12" t="s">
        <v>79</v>
      </c>
      <c r="C44" s="12" t="s">
        <v>80</v>
      </c>
      <c r="D44" s="13">
        <v>25</v>
      </c>
      <c r="E44" s="14">
        <v>1200</v>
      </c>
      <c r="F44" s="14">
        <f>1138</f>
        <v>1138</v>
      </c>
      <c r="G44" s="14">
        <f>988</f>
        <v>988</v>
      </c>
      <c r="H44" s="14" t="s">
        <v>12</v>
      </c>
      <c r="I44" s="14">
        <f>620+90</f>
        <v>710</v>
      </c>
      <c r="J44" s="14">
        <f>132</f>
        <v>132</v>
      </c>
      <c r="K44" s="20">
        <f t="shared" si="0"/>
        <v>4168</v>
      </c>
    </row>
    <row r="45" spans="1:14" ht="15" x14ac:dyDescent="0.2">
      <c r="A45" s="13">
        <f t="shared" si="1"/>
        <v>42</v>
      </c>
      <c r="B45" s="12" t="s">
        <v>81</v>
      </c>
      <c r="C45" s="12" t="s">
        <v>82</v>
      </c>
      <c r="D45" s="13">
        <v>32</v>
      </c>
      <c r="E45" s="14">
        <f>1560+2175</f>
        <v>3735</v>
      </c>
      <c r="F45" s="14" t="s">
        <v>12</v>
      </c>
      <c r="G45" s="14" t="s">
        <v>12</v>
      </c>
      <c r="H45" s="14" t="s">
        <v>12</v>
      </c>
      <c r="I45" s="14" t="s">
        <v>12</v>
      </c>
      <c r="J45" s="13" t="s">
        <v>12</v>
      </c>
      <c r="K45" s="20">
        <f t="shared" si="0"/>
        <v>3735</v>
      </c>
    </row>
    <row r="46" spans="1:14" ht="30" x14ac:dyDescent="0.2">
      <c r="A46" s="13">
        <f t="shared" si="1"/>
        <v>43</v>
      </c>
      <c r="B46" s="12" t="s">
        <v>83</v>
      </c>
      <c r="C46" s="12" t="s">
        <v>84</v>
      </c>
      <c r="D46" s="13">
        <v>64</v>
      </c>
      <c r="E46" s="14">
        <v>3152</v>
      </c>
      <c r="F46" s="14">
        <f>1240</f>
        <v>1240</v>
      </c>
      <c r="G46" s="14">
        <f>1246</f>
        <v>1246</v>
      </c>
      <c r="H46" s="14" t="s">
        <v>12</v>
      </c>
      <c r="I46" s="14">
        <f>838</f>
        <v>838</v>
      </c>
      <c r="J46" s="15">
        <f>302</f>
        <v>302</v>
      </c>
      <c r="K46" s="20">
        <f t="shared" si="0"/>
        <v>6778</v>
      </c>
    </row>
    <row r="47" spans="1:14" ht="15" x14ac:dyDescent="0.2">
      <c r="A47" s="13">
        <f t="shared" si="1"/>
        <v>44</v>
      </c>
      <c r="B47" s="12" t="s">
        <v>85</v>
      </c>
      <c r="C47" s="12" t="s">
        <v>86</v>
      </c>
      <c r="D47" s="73" t="s">
        <v>377</v>
      </c>
      <c r="E47" s="14">
        <f>11808+15792</f>
        <v>27600</v>
      </c>
      <c r="F47" s="14" t="s">
        <v>12</v>
      </c>
      <c r="G47" s="14">
        <f>10353+7644</f>
        <v>17997</v>
      </c>
      <c r="H47" s="14" t="s">
        <v>12</v>
      </c>
      <c r="I47" s="14">
        <f>3048</f>
        <v>3048</v>
      </c>
      <c r="J47" s="13" t="s">
        <v>12</v>
      </c>
      <c r="K47" s="20">
        <f t="shared" si="0"/>
        <v>48645</v>
      </c>
    </row>
    <row r="48" spans="1:14" ht="45" x14ac:dyDescent="0.2">
      <c r="A48" s="13">
        <f t="shared" si="1"/>
        <v>45</v>
      </c>
      <c r="B48" s="12" t="s">
        <v>87</v>
      </c>
      <c r="C48" s="12" t="s">
        <v>88</v>
      </c>
      <c r="D48" s="13">
        <v>137</v>
      </c>
      <c r="E48" s="14">
        <f>5972+7372</f>
        <v>13344</v>
      </c>
      <c r="F48" s="14" t="s">
        <v>12</v>
      </c>
      <c r="G48" s="14">
        <f>5558+4634</f>
        <v>10192</v>
      </c>
      <c r="H48" s="14" t="s">
        <v>12</v>
      </c>
      <c r="I48" s="14">
        <f>3134+648</f>
        <v>3782</v>
      </c>
      <c r="J48" s="13" t="s">
        <v>12</v>
      </c>
      <c r="K48" s="20">
        <f t="shared" si="0"/>
        <v>27318</v>
      </c>
    </row>
    <row r="49" spans="1:11" ht="45" x14ac:dyDescent="0.2">
      <c r="A49" s="13">
        <f t="shared" si="1"/>
        <v>46</v>
      </c>
      <c r="B49" s="12" t="s">
        <v>89</v>
      </c>
      <c r="C49" s="12" t="s">
        <v>90</v>
      </c>
      <c r="D49" s="13">
        <v>126</v>
      </c>
      <c r="E49" s="14">
        <f>6286+7150</f>
        <v>13436</v>
      </c>
      <c r="F49" s="14" t="s">
        <v>12</v>
      </c>
      <c r="G49" s="14">
        <f>6358+5500</f>
        <v>11858</v>
      </c>
      <c r="H49" s="14" t="s">
        <v>12</v>
      </c>
      <c r="I49" s="14">
        <f>3180</f>
        <v>3180</v>
      </c>
      <c r="J49" s="13" t="s">
        <v>12</v>
      </c>
      <c r="K49" s="20">
        <f t="shared" si="0"/>
        <v>28474</v>
      </c>
    </row>
    <row r="50" spans="1:11" ht="15" x14ac:dyDescent="0.2">
      <c r="A50" s="13">
        <f t="shared" si="1"/>
        <v>47</v>
      </c>
      <c r="B50" s="12" t="s">
        <v>102</v>
      </c>
      <c r="C50" s="12" t="s">
        <v>103</v>
      </c>
      <c r="D50" s="13">
        <v>150</v>
      </c>
      <c r="E50" s="14" t="s">
        <v>12</v>
      </c>
      <c r="F50" s="14">
        <f>5208+6364</f>
        <v>11572</v>
      </c>
      <c r="G50" s="14" t="s">
        <v>12</v>
      </c>
      <c r="H50" s="14" t="s">
        <v>12</v>
      </c>
      <c r="I50" s="14">
        <f>3712+3712</f>
        <v>7424</v>
      </c>
      <c r="J50" s="13" t="s">
        <v>12</v>
      </c>
      <c r="K50" s="20">
        <f t="shared" si="0"/>
        <v>18996</v>
      </c>
    </row>
    <row r="51" spans="1:11" ht="30" x14ac:dyDescent="0.2">
      <c r="A51" s="13">
        <f>A50+1</f>
        <v>48</v>
      </c>
      <c r="B51" s="12" t="s">
        <v>91</v>
      </c>
      <c r="C51" s="12" t="s">
        <v>92</v>
      </c>
      <c r="D51" s="13">
        <v>50</v>
      </c>
      <c r="E51" s="14">
        <f>1038+1828</f>
        <v>2866</v>
      </c>
      <c r="F51" s="14" t="s">
        <v>12</v>
      </c>
      <c r="G51" s="14">
        <f>816+898</f>
        <v>1714</v>
      </c>
      <c r="H51" s="14" t="s">
        <v>12</v>
      </c>
      <c r="I51" s="14">
        <f>608</f>
        <v>608</v>
      </c>
      <c r="J51" s="13" t="s">
        <v>12</v>
      </c>
      <c r="K51" s="20">
        <f t="shared" si="0"/>
        <v>5188</v>
      </c>
    </row>
    <row r="52" spans="1:11" ht="30" x14ac:dyDescent="0.2">
      <c r="A52" s="13">
        <f t="shared" si="1"/>
        <v>49</v>
      </c>
      <c r="B52" s="12" t="s">
        <v>95</v>
      </c>
      <c r="C52" s="12" t="s">
        <v>96</v>
      </c>
      <c r="D52" s="73">
        <v>5</v>
      </c>
      <c r="E52" s="14">
        <f>172+200+186+246</f>
        <v>804</v>
      </c>
      <c r="F52" s="14" t="s">
        <v>12</v>
      </c>
      <c r="G52" s="14" t="s">
        <v>12</v>
      </c>
      <c r="H52" s="14" t="s">
        <v>12</v>
      </c>
      <c r="I52" s="14" t="s">
        <v>12</v>
      </c>
      <c r="J52" s="15">
        <f>418+410</f>
        <v>828</v>
      </c>
      <c r="K52" s="20">
        <f t="shared" si="0"/>
        <v>1632</v>
      </c>
    </row>
    <row r="53" spans="1:11" ht="30" x14ac:dyDescent="0.2">
      <c r="A53" s="13">
        <f t="shared" si="1"/>
        <v>50</v>
      </c>
      <c r="B53" s="72" t="s">
        <v>350</v>
      </c>
      <c r="C53" s="12" t="s">
        <v>97</v>
      </c>
      <c r="D53" s="13">
        <v>8</v>
      </c>
      <c r="E53" s="14">
        <f>452+470+444+482</f>
        <v>1848</v>
      </c>
      <c r="F53" s="14" t="s">
        <v>12</v>
      </c>
      <c r="G53" s="14" t="s">
        <v>12</v>
      </c>
      <c r="H53" s="14" t="s">
        <v>12</v>
      </c>
      <c r="I53" s="14" t="s">
        <v>12</v>
      </c>
      <c r="J53" s="14">
        <f>218+178</f>
        <v>396</v>
      </c>
      <c r="K53" s="20">
        <f t="shared" si="0"/>
        <v>2244</v>
      </c>
    </row>
    <row r="54" spans="1:11" ht="15" x14ac:dyDescent="0.2">
      <c r="A54" s="13">
        <f t="shared" si="1"/>
        <v>51</v>
      </c>
      <c r="B54" s="72" t="s">
        <v>351</v>
      </c>
      <c r="C54" s="12" t="s">
        <v>106</v>
      </c>
      <c r="D54" s="73">
        <v>43</v>
      </c>
      <c r="E54" s="14">
        <f>270+710</f>
        <v>980</v>
      </c>
      <c r="F54" s="14" t="s">
        <v>12</v>
      </c>
      <c r="G54" s="14" t="s">
        <v>12</v>
      </c>
      <c r="H54" s="14" t="s">
        <v>12</v>
      </c>
      <c r="I54" s="14">
        <f>216+212+134+78</f>
        <v>640</v>
      </c>
      <c r="J54" s="13" t="s">
        <v>12</v>
      </c>
      <c r="K54" s="20">
        <f t="shared" si="0"/>
        <v>1620</v>
      </c>
    </row>
    <row r="55" spans="1:11" ht="15" x14ac:dyDescent="0.2">
      <c r="A55" s="13">
        <f t="shared" si="1"/>
        <v>52</v>
      </c>
      <c r="B55" s="12" t="s">
        <v>107</v>
      </c>
      <c r="C55" s="12" t="s">
        <v>108</v>
      </c>
      <c r="D55" s="13">
        <v>11</v>
      </c>
      <c r="E55" s="14">
        <f>296+258</f>
        <v>554</v>
      </c>
      <c r="F55" s="14" t="s">
        <v>12</v>
      </c>
      <c r="G55" s="14">
        <f>188+196</f>
        <v>384</v>
      </c>
      <c r="H55" s="14" t="s">
        <v>12</v>
      </c>
      <c r="I55" s="13" t="s">
        <v>12</v>
      </c>
      <c r="J55" s="13" t="s">
        <v>12</v>
      </c>
      <c r="K55" s="20">
        <f t="shared" si="0"/>
        <v>938</v>
      </c>
    </row>
    <row r="56" spans="1:11" ht="30" x14ac:dyDescent="0.2">
      <c r="A56" s="13">
        <f t="shared" si="1"/>
        <v>53</v>
      </c>
      <c r="B56" s="12" t="s">
        <v>109</v>
      </c>
      <c r="C56" s="12" t="s">
        <v>110</v>
      </c>
      <c r="D56" s="73" t="s">
        <v>378</v>
      </c>
      <c r="E56" s="14" t="s">
        <v>12</v>
      </c>
      <c r="F56" s="14" t="s">
        <v>12</v>
      </c>
      <c r="G56" s="14" t="s">
        <v>12</v>
      </c>
      <c r="H56" s="14" t="s">
        <v>12</v>
      </c>
      <c r="I56" s="14">
        <f>698+720+548+696+802+794+510+656+482+716</f>
        <v>6622</v>
      </c>
      <c r="J56" s="14">
        <f>772+610+312</f>
        <v>1694</v>
      </c>
      <c r="K56" s="20">
        <f t="shared" si="0"/>
        <v>8316</v>
      </c>
    </row>
    <row r="57" spans="1:11" ht="30" x14ac:dyDescent="0.2">
      <c r="A57" s="13">
        <f t="shared" si="1"/>
        <v>54</v>
      </c>
      <c r="B57" s="72" t="s">
        <v>352</v>
      </c>
      <c r="C57" s="12" t="s">
        <v>111</v>
      </c>
      <c r="D57" s="73">
        <v>10</v>
      </c>
      <c r="E57" s="14">
        <f>136+230</f>
        <v>366</v>
      </c>
      <c r="F57" s="14" t="s">
        <v>12</v>
      </c>
      <c r="G57" s="14" t="s">
        <v>12</v>
      </c>
      <c r="H57" s="14" t="s">
        <v>12</v>
      </c>
      <c r="I57" s="13" t="s">
        <v>12</v>
      </c>
      <c r="J57" s="13" t="s">
        <v>12</v>
      </c>
      <c r="K57" s="20">
        <f t="shared" si="0"/>
        <v>366</v>
      </c>
    </row>
    <row r="58" spans="1:11" ht="30" x14ac:dyDescent="0.2">
      <c r="A58" s="13">
        <f t="shared" si="1"/>
        <v>55</v>
      </c>
      <c r="B58" s="72" t="s">
        <v>353</v>
      </c>
      <c r="C58" s="12" t="s">
        <v>112</v>
      </c>
      <c r="D58" s="73" t="s">
        <v>379</v>
      </c>
      <c r="E58" s="14">
        <v>6056</v>
      </c>
      <c r="F58" s="14">
        <f>5246</f>
        <v>5246</v>
      </c>
      <c r="G58" s="14" t="s">
        <v>12</v>
      </c>
      <c r="H58" s="14" t="s">
        <v>12</v>
      </c>
      <c r="I58" s="14">
        <f>4818+2550</f>
        <v>7368</v>
      </c>
      <c r="J58" s="14">
        <f>98+138</f>
        <v>236</v>
      </c>
      <c r="K58" s="20">
        <f t="shared" si="0"/>
        <v>18906</v>
      </c>
    </row>
    <row r="59" spans="1:11" ht="30" x14ac:dyDescent="0.2">
      <c r="A59" s="13">
        <f t="shared" si="1"/>
        <v>56</v>
      </c>
      <c r="B59" s="12" t="s">
        <v>113</v>
      </c>
      <c r="C59" s="12" t="s">
        <v>114</v>
      </c>
      <c r="D59" s="13">
        <v>20</v>
      </c>
      <c r="E59" s="14" t="s">
        <v>12</v>
      </c>
      <c r="F59" s="14">
        <f>678+728</f>
        <v>1406</v>
      </c>
      <c r="G59" s="14" t="s">
        <v>12</v>
      </c>
      <c r="H59" s="14" t="s">
        <v>12</v>
      </c>
      <c r="I59" s="13" t="s">
        <v>12</v>
      </c>
      <c r="J59" s="13" t="s">
        <v>12</v>
      </c>
      <c r="K59" s="20">
        <f t="shared" si="0"/>
        <v>1406</v>
      </c>
    </row>
    <row r="60" spans="1:11" ht="30" x14ac:dyDescent="0.2">
      <c r="A60" s="13">
        <f t="shared" si="1"/>
        <v>57</v>
      </c>
      <c r="B60" s="12" t="s">
        <v>119</v>
      </c>
      <c r="C60" s="12" t="s">
        <v>120</v>
      </c>
      <c r="D60" s="13">
        <v>33</v>
      </c>
      <c r="E60" s="14" t="s">
        <v>12</v>
      </c>
      <c r="F60" s="14">
        <f>1440+998</f>
        <v>2438</v>
      </c>
      <c r="G60" s="14" t="s">
        <v>12</v>
      </c>
      <c r="H60" s="14" t="s">
        <v>12</v>
      </c>
      <c r="I60" s="14" t="s">
        <v>12</v>
      </c>
      <c r="J60" s="14">
        <f>1034+406</f>
        <v>1440</v>
      </c>
      <c r="K60" s="20">
        <f t="shared" si="0"/>
        <v>3878</v>
      </c>
    </row>
    <row r="61" spans="1:11" ht="45" x14ac:dyDescent="0.2">
      <c r="A61" s="13">
        <f t="shared" si="1"/>
        <v>58</v>
      </c>
      <c r="B61" s="12" t="s">
        <v>115</v>
      </c>
      <c r="C61" s="12" t="s">
        <v>116</v>
      </c>
      <c r="D61" s="73" t="s">
        <v>380</v>
      </c>
      <c r="E61" s="14">
        <f>9978+10353+10494+17133</f>
        <v>47958</v>
      </c>
      <c r="F61" s="14" t="s">
        <v>12</v>
      </c>
      <c r="G61" s="14" t="s">
        <v>12</v>
      </c>
      <c r="H61" s="14" t="s">
        <v>12</v>
      </c>
      <c r="I61" s="14" t="s">
        <v>12</v>
      </c>
      <c r="J61" s="13" t="s">
        <v>12</v>
      </c>
      <c r="K61" s="20">
        <f t="shared" si="0"/>
        <v>47958</v>
      </c>
    </row>
    <row r="62" spans="1:11" ht="30" x14ac:dyDescent="0.2">
      <c r="A62" s="13">
        <f t="shared" si="1"/>
        <v>59</v>
      </c>
      <c r="B62" s="12" t="s">
        <v>117</v>
      </c>
      <c r="C62" s="12" t="s">
        <v>118</v>
      </c>
      <c r="D62" s="13">
        <v>90</v>
      </c>
      <c r="E62" s="14">
        <f>5031+6669</f>
        <v>11700</v>
      </c>
      <c r="F62" s="14" t="s">
        <v>12</v>
      </c>
      <c r="G62" s="14">
        <f>6003+4101</f>
        <v>10104</v>
      </c>
      <c r="H62" s="14" t="s">
        <v>12</v>
      </c>
      <c r="I62" s="14">
        <f>2361</f>
        <v>2361</v>
      </c>
      <c r="J62" s="13" t="s">
        <v>12</v>
      </c>
      <c r="K62" s="20">
        <f t="shared" si="0"/>
        <v>24165</v>
      </c>
    </row>
    <row r="63" spans="1:11" ht="30" x14ac:dyDescent="0.2">
      <c r="A63" s="13">
        <f t="shared" si="1"/>
        <v>60</v>
      </c>
      <c r="B63" s="12" t="s">
        <v>121</v>
      </c>
      <c r="C63" s="12" t="s">
        <v>122</v>
      </c>
      <c r="D63" s="13">
        <v>140</v>
      </c>
      <c r="E63" s="14">
        <f>876+3550</f>
        <v>4426</v>
      </c>
      <c r="F63" s="14">
        <f>2870</f>
        <v>2870</v>
      </c>
      <c r="G63" s="14">
        <f>2962</f>
        <v>2962</v>
      </c>
      <c r="H63" s="14" t="s">
        <v>12</v>
      </c>
      <c r="I63" s="14">
        <f>1692+26</f>
        <v>1718</v>
      </c>
      <c r="J63" s="14">
        <f>70</f>
        <v>70</v>
      </c>
      <c r="K63" s="20">
        <f t="shared" si="0"/>
        <v>12046</v>
      </c>
    </row>
    <row r="64" spans="1:11" ht="30" x14ac:dyDescent="0.2">
      <c r="A64" s="13">
        <f t="shared" si="1"/>
        <v>61</v>
      </c>
      <c r="B64" s="12" t="s">
        <v>124</v>
      </c>
      <c r="C64" s="12" t="s">
        <v>125</v>
      </c>
      <c r="D64" s="73" t="s">
        <v>381</v>
      </c>
      <c r="E64" s="14" t="s">
        <v>12</v>
      </c>
      <c r="F64" s="14">
        <f>4514+3366</f>
        <v>7880</v>
      </c>
      <c r="G64" s="14" t="s">
        <v>12</v>
      </c>
      <c r="H64" s="14" t="s">
        <v>12</v>
      </c>
      <c r="I64" s="14" t="s">
        <v>12</v>
      </c>
      <c r="J64" s="14">
        <f>2668+1290+2+178</f>
        <v>4138</v>
      </c>
      <c r="K64" s="20">
        <f t="shared" si="0"/>
        <v>12018</v>
      </c>
    </row>
    <row r="65" spans="1:11" ht="30" x14ac:dyDescent="0.2">
      <c r="A65" s="13">
        <f t="shared" si="1"/>
        <v>62</v>
      </c>
      <c r="B65" s="72" t="s">
        <v>354</v>
      </c>
      <c r="C65" s="12" t="s">
        <v>123</v>
      </c>
      <c r="D65" s="13">
        <v>11</v>
      </c>
      <c r="E65" s="14">
        <f>1398+1470+1352+1560</f>
        <v>5780</v>
      </c>
      <c r="F65" s="14" t="s">
        <v>12</v>
      </c>
      <c r="G65" s="14" t="s">
        <v>12</v>
      </c>
      <c r="H65" s="14" t="s">
        <v>12</v>
      </c>
      <c r="I65" s="14" t="s">
        <v>12</v>
      </c>
      <c r="J65" s="14">
        <f>1468+1138</f>
        <v>2606</v>
      </c>
      <c r="K65" s="20">
        <f t="shared" si="0"/>
        <v>8386</v>
      </c>
    </row>
    <row r="66" spans="1:11" ht="30" x14ac:dyDescent="0.2">
      <c r="A66" s="13">
        <f t="shared" si="1"/>
        <v>63</v>
      </c>
      <c r="B66" s="12" t="s">
        <v>146</v>
      </c>
      <c r="C66" s="12" t="s">
        <v>147</v>
      </c>
      <c r="D66" s="73" t="s">
        <v>382</v>
      </c>
      <c r="E66" s="14" t="s">
        <v>12</v>
      </c>
      <c r="F66" s="16" t="s">
        <v>12</v>
      </c>
      <c r="G66" s="14">
        <f>54+198</f>
        <v>252</v>
      </c>
      <c r="H66" s="14" t="s">
        <v>12</v>
      </c>
      <c r="I66" s="14" t="s">
        <v>12</v>
      </c>
      <c r="J66" s="14">
        <f>130+130</f>
        <v>260</v>
      </c>
      <c r="K66" s="20">
        <f t="shared" si="0"/>
        <v>512</v>
      </c>
    </row>
    <row r="67" spans="1:11" ht="30" x14ac:dyDescent="0.2">
      <c r="A67" s="13">
        <f t="shared" si="1"/>
        <v>64</v>
      </c>
      <c r="B67" s="72" t="s">
        <v>355</v>
      </c>
      <c r="C67" s="12" t="s">
        <v>126</v>
      </c>
      <c r="D67" s="13">
        <v>10</v>
      </c>
      <c r="E67" s="14">
        <f>518+572+544+612</f>
        <v>2246</v>
      </c>
      <c r="F67" s="14" t="s">
        <v>12</v>
      </c>
      <c r="G67" s="14" t="s">
        <v>12</v>
      </c>
      <c r="H67" s="14" t="s">
        <v>12</v>
      </c>
      <c r="I67" s="14" t="s">
        <v>12</v>
      </c>
      <c r="J67" s="14">
        <f>548+510</f>
        <v>1058</v>
      </c>
      <c r="K67" s="20">
        <f t="shared" si="0"/>
        <v>3304</v>
      </c>
    </row>
    <row r="68" spans="1:11" ht="30" x14ac:dyDescent="0.2">
      <c r="A68" s="13">
        <f t="shared" si="1"/>
        <v>65</v>
      </c>
      <c r="B68" s="72" t="s">
        <v>356</v>
      </c>
      <c r="C68" s="12" t="s">
        <v>127</v>
      </c>
      <c r="D68" s="13">
        <v>4</v>
      </c>
      <c r="E68" s="14">
        <f>220+226+216+242</f>
        <v>904</v>
      </c>
      <c r="F68" s="14" t="s">
        <v>12</v>
      </c>
      <c r="G68" s="14" t="s">
        <v>12</v>
      </c>
      <c r="H68" s="14" t="s">
        <v>12</v>
      </c>
      <c r="I68" s="14" t="s">
        <v>12</v>
      </c>
      <c r="J68" s="14">
        <f>226+190</f>
        <v>416</v>
      </c>
      <c r="K68" s="20">
        <f t="shared" si="0"/>
        <v>1320</v>
      </c>
    </row>
    <row r="69" spans="1:11" ht="30" x14ac:dyDescent="0.2">
      <c r="A69" s="13">
        <f t="shared" si="1"/>
        <v>66</v>
      </c>
      <c r="B69" s="12" t="s">
        <v>128</v>
      </c>
      <c r="C69" s="12" t="s">
        <v>129</v>
      </c>
      <c r="D69" s="73" t="s">
        <v>383</v>
      </c>
      <c r="E69" s="14">
        <f>168</f>
        <v>168</v>
      </c>
      <c r="F69" s="14">
        <f>114</f>
        <v>114</v>
      </c>
      <c r="G69" s="14">
        <f>88</f>
        <v>88</v>
      </c>
      <c r="H69" s="14" t="s">
        <v>12</v>
      </c>
      <c r="I69" s="14">
        <f>52</f>
        <v>52</v>
      </c>
      <c r="J69" s="14">
        <f>12</f>
        <v>12</v>
      </c>
      <c r="K69" s="20">
        <f t="shared" ref="K69:K129" si="2">SUM(E69:J69)</f>
        <v>434</v>
      </c>
    </row>
    <row r="70" spans="1:11" ht="15" x14ac:dyDescent="0.2">
      <c r="A70" s="13">
        <f t="shared" ref="A70:A129" si="3">A69+1</f>
        <v>67</v>
      </c>
      <c r="B70" s="12" t="s">
        <v>134</v>
      </c>
      <c r="C70" s="12" t="s">
        <v>135</v>
      </c>
      <c r="D70" s="13">
        <v>22</v>
      </c>
      <c r="E70" s="14">
        <f>28+292</f>
        <v>320</v>
      </c>
      <c r="F70" s="14" t="s">
        <v>12</v>
      </c>
      <c r="G70" s="14">
        <f>264+168</f>
        <v>432</v>
      </c>
      <c r="H70" s="14" t="s">
        <v>12</v>
      </c>
      <c r="I70" s="13" t="s">
        <v>12</v>
      </c>
      <c r="J70" s="14">
        <f>198</f>
        <v>198</v>
      </c>
      <c r="K70" s="20">
        <f t="shared" si="2"/>
        <v>950</v>
      </c>
    </row>
    <row r="71" spans="1:11" ht="45" x14ac:dyDescent="0.2">
      <c r="A71" s="13">
        <f t="shared" si="3"/>
        <v>68</v>
      </c>
      <c r="B71" s="12" t="s">
        <v>130</v>
      </c>
      <c r="C71" s="12" t="s">
        <v>131</v>
      </c>
      <c r="D71" s="73">
        <v>9</v>
      </c>
      <c r="E71" s="14">
        <v>36</v>
      </c>
      <c r="F71" s="14">
        <f>32</f>
        <v>32</v>
      </c>
      <c r="G71" s="14">
        <f>28</f>
        <v>28</v>
      </c>
      <c r="H71" s="14">
        <f>8</f>
        <v>8</v>
      </c>
      <c r="I71" s="13" t="s">
        <v>12</v>
      </c>
      <c r="J71" s="13" t="s">
        <v>12</v>
      </c>
      <c r="K71" s="20">
        <f t="shared" si="2"/>
        <v>104</v>
      </c>
    </row>
    <row r="72" spans="1:11" ht="30" x14ac:dyDescent="0.2">
      <c r="A72" s="13">
        <f t="shared" si="3"/>
        <v>69</v>
      </c>
      <c r="B72" s="12" t="s">
        <v>140</v>
      </c>
      <c r="C72" s="12" t="s">
        <v>141</v>
      </c>
      <c r="D72" s="73" t="s">
        <v>384</v>
      </c>
      <c r="E72" s="14" t="s">
        <v>12</v>
      </c>
      <c r="F72" s="14">
        <f>4870+3544</f>
        <v>8414</v>
      </c>
      <c r="G72" s="14" t="s">
        <v>12</v>
      </c>
      <c r="H72" s="14" t="s">
        <v>12</v>
      </c>
      <c r="I72" s="14" t="s">
        <v>12</v>
      </c>
      <c r="J72" s="14">
        <f>2852+1188</f>
        <v>4040</v>
      </c>
      <c r="K72" s="20">
        <f t="shared" si="2"/>
        <v>12454</v>
      </c>
    </row>
    <row r="73" spans="1:11" ht="30" x14ac:dyDescent="0.2">
      <c r="A73" s="13">
        <f t="shared" si="3"/>
        <v>70</v>
      </c>
      <c r="B73" s="12" t="s">
        <v>144</v>
      </c>
      <c r="C73" s="12" t="s">
        <v>145</v>
      </c>
      <c r="D73" s="13">
        <v>76</v>
      </c>
      <c r="E73" s="14" t="s">
        <v>12</v>
      </c>
      <c r="F73" s="14">
        <f>2880+2996</f>
        <v>5876</v>
      </c>
      <c r="G73" s="14" t="s">
        <v>12</v>
      </c>
      <c r="H73" s="14" t="s">
        <v>12</v>
      </c>
      <c r="I73" s="14" t="s">
        <v>12</v>
      </c>
      <c r="J73" s="14">
        <f>3040+4192</f>
        <v>7232</v>
      </c>
      <c r="K73" s="20">
        <f t="shared" si="2"/>
        <v>13108</v>
      </c>
    </row>
    <row r="74" spans="1:11" ht="30" x14ac:dyDescent="0.2">
      <c r="A74" s="13">
        <f t="shared" si="3"/>
        <v>71</v>
      </c>
      <c r="B74" s="12" t="s">
        <v>132</v>
      </c>
      <c r="C74" s="12" t="s">
        <v>133</v>
      </c>
      <c r="D74" s="13">
        <v>220</v>
      </c>
      <c r="E74" s="14" t="s">
        <v>12</v>
      </c>
      <c r="F74" s="14">
        <f>14205+9957</f>
        <v>24162</v>
      </c>
      <c r="G74" s="14" t="s">
        <v>12</v>
      </c>
      <c r="H74" s="14" t="s">
        <v>12</v>
      </c>
      <c r="I74" s="14" t="s">
        <v>12</v>
      </c>
      <c r="J74" s="14">
        <f>5400+3492</f>
        <v>8892</v>
      </c>
      <c r="K74" s="20">
        <f t="shared" si="2"/>
        <v>33054</v>
      </c>
    </row>
    <row r="75" spans="1:11" ht="15" x14ac:dyDescent="0.2">
      <c r="A75" s="13">
        <f t="shared" si="3"/>
        <v>72</v>
      </c>
      <c r="B75" s="12" t="s">
        <v>136</v>
      </c>
      <c r="C75" s="12" t="s">
        <v>137</v>
      </c>
      <c r="D75" s="13">
        <v>16</v>
      </c>
      <c r="E75" s="14">
        <f>716+806</f>
        <v>1522</v>
      </c>
      <c r="F75" s="14" t="s">
        <v>12</v>
      </c>
      <c r="G75" s="14">
        <f>756+634</f>
        <v>1390</v>
      </c>
      <c r="H75" s="14" t="s">
        <v>12</v>
      </c>
      <c r="I75" s="14">
        <f>282</f>
        <v>282</v>
      </c>
      <c r="J75" s="13" t="s">
        <v>12</v>
      </c>
      <c r="K75" s="20">
        <f t="shared" si="2"/>
        <v>3194</v>
      </c>
    </row>
    <row r="76" spans="1:11" ht="15" x14ac:dyDescent="0.2">
      <c r="A76" s="13">
        <f t="shared" si="3"/>
        <v>73</v>
      </c>
      <c r="B76" s="12" t="s">
        <v>138</v>
      </c>
      <c r="C76" s="12" t="s">
        <v>139</v>
      </c>
      <c r="D76" s="73" t="s">
        <v>385</v>
      </c>
      <c r="E76" s="14" t="s">
        <v>12</v>
      </c>
      <c r="F76" s="14" t="s">
        <v>12</v>
      </c>
      <c r="G76" s="14" t="s">
        <v>12</v>
      </c>
      <c r="H76" s="14" t="s">
        <v>12</v>
      </c>
      <c r="I76" s="14">
        <f>662+796+578+852+1042+1082+882+752+788+874</f>
        <v>8308</v>
      </c>
      <c r="J76" s="14">
        <f>808+760+256</f>
        <v>1824</v>
      </c>
      <c r="K76" s="20">
        <f t="shared" si="2"/>
        <v>10132</v>
      </c>
    </row>
    <row r="77" spans="1:11" ht="30" x14ac:dyDescent="0.2">
      <c r="A77" s="13">
        <f t="shared" si="3"/>
        <v>74</v>
      </c>
      <c r="B77" s="12" t="s">
        <v>142</v>
      </c>
      <c r="C77" s="12" t="s">
        <v>143</v>
      </c>
      <c r="D77" s="73" t="s">
        <v>386</v>
      </c>
      <c r="E77" s="14" t="s">
        <v>12</v>
      </c>
      <c r="F77" s="14">
        <f>580+610</f>
        <v>1190</v>
      </c>
      <c r="G77" s="14" t="s">
        <v>12</v>
      </c>
      <c r="H77" s="14" t="s">
        <v>12</v>
      </c>
      <c r="I77" s="14" t="s">
        <v>12</v>
      </c>
      <c r="J77" s="13" t="s">
        <v>12</v>
      </c>
      <c r="K77" s="20">
        <f t="shared" si="2"/>
        <v>1190</v>
      </c>
    </row>
    <row r="78" spans="1:11" ht="30" x14ac:dyDescent="0.2">
      <c r="A78" s="13">
        <f t="shared" si="3"/>
        <v>75</v>
      </c>
      <c r="B78" s="12" t="s">
        <v>148</v>
      </c>
      <c r="C78" s="12" t="s">
        <v>149</v>
      </c>
      <c r="D78" s="13">
        <v>8</v>
      </c>
      <c r="E78" s="14">
        <f>276+280</f>
        <v>556</v>
      </c>
      <c r="F78" s="16" t="s">
        <v>12</v>
      </c>
      <c r="G78" s="14">
        <f>350+266</f>
        <v>616</v>
      </c>
      <c r="H78" s="14" t="s">
        <v>12</v>
      </c>
      <c r="I78" s="14">
        <f>114</f>
        <v>114</v>
      </c>
      <c r="J78" s="13" t="s">
        <v>12</v>
      </c>
      <c r="K78" s="20">
        <f t="shared" si="2"/>
        <v>1286</v>
      </c>
    </row>
    <row r="79" spans="1:11" ht="30" x14ac:dyDescent="0.2">
      <c r="A79" s="13">
        <f t="shared" si="3"/>
        <v>76</v>
      </c>
      <c r="B79" s="12" t="s">
        <v>150</v>
      </c>
      <c r="C79" s="12" t="s">
        <v>151</v>
      </c>
      <c r="D79" s="13">
        <v>5</v>
      </c>
      <c r="E79" s="14">
        <f>6+6</f>
        <v>12</v>
      </c>
      <c r="F79" s="16" t="s">
        <v>12</v>
      </c>
      <c r="G79" s="14">
        <f>6+6</f>
        <v>12</v>
      </c>
      <c r="H79" s="14" t="s">
        <v>12</v>
      </c>
      <c r="I79" s="14" t="s">
        <v>12</v>
      </c>
      <c r="J79" s="13"/>
      <c r="K79" s="20">
        <f t="shared" si="2"/>
        <v>24</v>
      </c>
    </row>
    <row r="80" spans="1:11" ht="15" x14ac:dyDescent="0.2">
      <c r="A80" s="13">
        <f t="shared" si="3"/>
        <v>77</v>
      </c>
      <c r="B80" s="12" t="s">
        <v>154</v>
      </c>
      <c r="C80" s="12" t="s">
        <v>155</v>
      </c>
      <c r="D80" s="13">
        <v>20</v>
      </c>
      <c r="E80" s="14" t="s">
        <v>12</v>
      </c>
      <c r="F80" s="14">
        <f>744+412</f>
        <v>1156</v>
      </c>
      <c r="G80" s="14" t="s">
        <v>12</v>
      </c>
      <c r="H80" s="14" t="s">
        <v>12</v>
      </c>
      <c r="I80" s="13" t="s">
        <v>12</v>
      </c>
      <c r="J80" s="14">
        <f>440+228</f>
        <v>668</v>
      </c>
      <c r="K80" s="20">
        <f t="shared" si="2"/>
        <v>1824</v>
      </c>
    </row>
    <row r="81" spans="1:11" ht="30" x14ac:dyDescent="0.2">
      <c r="A81" s="13">
        <f t="shared" si="3"/>
        <v>78</v>
      </c>
      <c r="B81" s="12" t="s">
        <v>152</v>
      </c>
      <c r="C81" s="12" t="s">
        <v>153</v>
      </c>
      <c r="D81" s="13">
        <v>16</v>
      </c>
      <c r="E81" s="14">
        <f>484+504</f>
        <v>988</v>
      </c>
      <c r="F81" s="16" t="s">
        <v>12</v>
      </c>
      <c r="G81" s="14">
        <f>672+588</f>
        <v>1260</v>
      </c>
      <c r="H81" s="14" t="s">
        <v>12</v>
      </c>
      <c r="I81" s="14">
        <f>206</f>
        <v>206</v>
      </c>
      <c r="J81" s="13"/>
      <c r="K81" s="20">
        <f t="shared" si="2"/>
        <v>2454</v>
      </c>
    </row>
    <row r="82" spans="1:11" ht="30" x14ac:dyDescent="0.2">
      <c r="A82" s="13">
        <f t="shared" si="3"/>
        <v>79</v>
      </c>
      <c r="B82" s="12" t="s">
        <v>161</v>
      </c>
      <c r="C82" s="12" t="s">
        <v>162</v>
      </c>
      <c r="D82" s="73" t="s">
        <v>387</v>
      </c>
      <c r="E82" s="14" t="s">
        <v>12</v>
      </c>
      <c r="F82" s="14">
        <f>1684+1630</f>
        <v>3314</v>
      </c>
      <c r="G82" s="14" t="s">
        <v>12</v>
      </c>
      <c r="H82" s="14" t="s">
        <v>12</v>
      </c>
      <c r="I82" s="14">
        <f>1538+802</f>
        <v>2340</v>
      </c>
      <c r="J82" s="14">
        <f>20</f>
        <v>20</v>
      </c>
      <c r="K82" s="20">
        <f t="shared" si="2"/>
        <v>5674</v>
      </c>
    </row>
    <row r="83" spans="1:11" ht="30" x14ac:dyDescent="0.2">
      <c r="A83" s="13">
        <f t="shared" si="3"/>
        <v>80</v>
      </c>
      <c r="B83" s="12" t="s">
        <v>159</v>
      </c>
      <c r="C83" s="12" t="s">
        <v>160</v>
      </c>
      <c r="D83" s="73" t="s">
        <v>388</v>
      </c>
      <c r="E83" s="14" t="s">
        <v>12</v>
      </c>
      <c r="F83" s="14">
        <f>16455+12201</f>
        <v>28656</v>
      </c>
      <c r="G83" s="14" t="s">
        <v>12</v>
      </c>
      <c r="H83" s="14" t="s">
        <v>12</v>
      </c>
      <c r="I83" s="14" t="s">
        <v>12</v>
      </c>
      <c r="J83" s="13" t="s">
        <v>12</v>
      </c>
      <c r="K83" s="20">
        <f t="shared" si="2"/>
        <v>28656</v>
      </c>
    </row>
    <row r="84" spans="1:11" ht="30" x14ac:dyDescent="0.2">
      <c r="A84" s="13">
        <f t="shared" si="3"/>
        <v>81</v>
      </c>
      <c r="B84" s="72" t="s">
        <v>357</v>
      </c>
      <c r="C84" s="12" t="s">
        <v>156</v>
      </c>
      <c r="D84" s="73" t="s">
        <v>389</v>
      </c>
      <c r="E84" s="14">
        <f>3566+4466</f>
        <v>8032</v>
      </c>
      <c r="F84" s="14" t="s">
        <v>12</v>
      </c>
      <c r="G84" s="14">
        <f>3402+2144</f>
        <v>5546</v>
      </c>
      <c r="H84" s="14" t="s">
        <v>12</v>
      </c>
      <c r="I84" s="14">
        <f>900</f>
        <v>900</v>
      </c>
      <c r="J84" s="13" t="s">
        <v>12</v>
      </c>
      <c r="K84" s="20">
        <f t="shared" si="2"/>
        <v>14478</v>
      </c>
    </row>
    <row r="85" spans="1:11" ht="30" x14ac:dyDescent="0.2">
      <c r="A85" s="13">
        <f t="shared" si="3"/>
        <v>82</v>
      </c>
      <c r="B85" s="12" t="s">
        <v>157</v>
      </c>
      <c r="C85" s="12" t="s">
        <v>158</v>
      </c>
      <c r="D85" s="13">
        <v>97</v>
      </c>
      <c r="E85" s="14">
        <f>1262+2398</f>
        <v>3660</v>
      </c>
      <c r="F85" s="14" t="s">
        <v>12</v>
      </c>
      <c r="G85" s="14">
        <f>1228+1112</f>
        <v>2340</v>
      </c>
      <c r="H85" s="14" t="s">
        <v>12</v>
      </c>
      <c r="I85" s="14">
        <f>582</f>
        <v>582</v>
      </c>
      <c r="J85" s="13" t="s">
        <v>12</v>
      </c>
      <c r="K85" s="20">
        <f t="shared" si="2"/>
        <v>6582</v>
      </c>
    </row>
    <row r="86" spans="1:11" ht="30" x14ac:dyDescent="0.2">
      <c r="A86" s="13">
        <f t="shared" si="3"/>
        <v>83</v>
      </c>
      <c r="B86" s="12" t="s">
        <v>163</v>
      </c>
      <c r="C86" s="12" t="s">
        <v>164</v>
      </c>
      <c r="D86" s="13">
        <v>31</v>
      </c>
      <c r="E86" s="14">
        <f>320+584</f>
        <v>904</v>
      </c>
      <c r="F86" s="14" t="s">
        <v>12</v>
      </c>
      <c r="G86" s="14">
        <f>344+224</f>
        <v>568</v>
      </c>
      <c r="H86" s="14" t="s">
        <v>12</v>
      </c>
      <c r="I86" s="14">
        <f>160+120</f>
        <v>280</v>
      </c>
      <c r="J86" s="13" t="s">
        <v>12</v>
      </c>
      <c r="K86" s="20">
        <f t="shared" si="2"/>
        <v>1752</v>
      </c>
    </row>
    <row r="87" spans="1:11" ht="15" x14ac:dyDescent="0.2">
      <c r="A87" s="13">
        <f t="shared" si="3"/>
        <v>84</v>
      </c>
      <c r="B87" s="12" t="s">
        <v>165</v>
      </c>
      <c r="C87" s="12" t="s">
        <v>166</v>
      </c>
      <c r="D87" s="13">
        <v>18</v>
      </c>
      <c r="E87" s="14">
        <f>52+60</f>
        <v>112</v>
      </c>
      <c r="F87" s="14" t="s">
        <v>12</v>
      </c>
      <c r="G87" s="14">
        <f>52+50</f>
        <v>102</v>
      </c>
      <c r="H87" s="14" t="s">
        <v>12</v>
      </c>
      <c r="I87" s="14" t="s">
        <v>12</v>
      </c>
      <c r="J87" s="13" t="s">
        <v>12</v>
      </c>
      <c r="K87" s="20">
        <f t="shared" si="2"/>
        <v>214</v>
      </c>
    </row>
    <row r="88" spans="1:11" ht="30" x14ac:dyDescent="0.2">
      <c r="A88" s="13">
        <f t="shared" si="3"/>
        <v>85</v>
      </c>
      <c r="B88" s="12" t="s">
        <v>167</v>
      </c>
      <c r="C88" s="12" t="s">
        <v>168</v>
      </c>
      <c r="D88" s="73" t="s">
        <v>390</v>
      </c>
      <c r="E88" s="14">
        <f>18723+24261</f>
        <v>42984</v>
      </c>
      <c r="F88" s="14" t="s">
        <v>12</v>
      </c>
      <c r="G88" s="14">
        <f>24870+15300</f>
        <v>40170</v>
      </c>
      <c r="H88" s="14" t="s">
        <v>12</v>
      </c>
      <c r="I88" s="14">
        <f>6501</f>
        <v>6501</v>
      </c>
      <c r="J88" s="13" t="s">
        <v>12</v>
      </c>
      <c r="K88" s="20">
        <f t="shared" si="2"/>
        <v>89655</v>
      </c>
    </row>
    <row r="89" spans="1:11" ht="30" x14ac:dyDescent="0.2">
      <c r="A89" s="13">
        <f t="shared" si="3"/>
        <v>86</v>
      </c>
      <c r="B89" s="12" t="s">
        <v>169</v>
      </c>
      <c r="C89" s="12" t="s">
        <v>170</v>
      </c>
      <c r="D89" s="13">
        <v>62</v>
      </c>
      <c r="E89" s="14">
        <f>910</f>
        <v>910</v>
      </c>
      <c r="F89" s="14">
        <f>604</f>
        <v>604</v>
      </c>
      <c r="G89" s="14">
        <f>500</f>
        <v>500</v>
      </c>
      <c r="H89" s="14" t="s">
        <v>12</v>
      </c>
      <c r="I89" s="14">
        <f>240</f>
        <v>240</v>
      </c>
      <c r="J89" s="13" t="s">
        <v>12</v>
      </c>
      <c r="K89" s="20">
        <f t="shared" si="2"/>
        <v>2254</v>
      </c>
    </row>
    <row r="90" spans="1:11" ht="15" x14ac:dyDescent="0.2">
      <c r="A90" s="13">
        <f t="shared" si="3"/>
        <v>87</v>
      </c>
      <c r="B90" s="12" t="s">
        <v>171</v>
      </c>
      <c r="C90" s="12" t="s">
        <v>172</v>
      </c>
      <c r="D90" s="13">
        <v>24</v>
      </c>
      <c r="E90" s="14">
        <f>496</f>
        <v>496</v>
      </c>
      <c r="F90" s="14" t="s">
        <v>12</v>
      </c>
      <c r="G90" s="14">
        <f>470</f>
        <v>470</v>
      </c>
      <c r="H90" s="14" t="s">
        <v>12</v>
      </c>
      <c r="I90" s="14">
        <f>164</f>
        <v>164</v>
      </c>
      <c r="J90" s="13" t="s">
        <v>12</v>
      </c>
      <c r="K90" s="20">
        <f t="shared" si="2"/>
        <v>1130</v>
      </c>
    </row>
    <row r="91" spans="1:11" ht="15" x14ac:dyDescent="0.2">
      <c r="A91" s="13">
        <f t="shared" si="3"/>
        <v>88</v>
      </c>
      <c r="B91" s="12" t="s">
        <v>173</v>
      </c>
      <c r="C91" s="12" t="s">
        <v>174</v>
      </c>
      <c r="D91" s="13">
        <v>32</v>
      </c>
      <c r="E91" s="14">
        <f>858+1216</f>
        <v>2074</v>
      </c>
      <c r="F91" s="14" t="s">
        <v>12</v>
      </c>
      <c r="G91" s="14">
        <f>1054+764</f>
        <v>1818</v>
      </c>
      <c r="H91" s="14" t="s">
        <v>12</v>
      </c>
      <c r="I91" s="14" t="s">
        <v>12</v>
      </c>
      <c r="J91" s="13" t="s">
        <v>12</v>
      </c>
      <c r="K91" s="20">
        <f t="shared" si="2"/>
        <v>3892</v>
      </c>
    </row>
    <row r="92" spans="1:11" ht="15" x14ac:dyDescent="0.2">
      <c r="A92" s="13">
        <f t="shared" si="3"/>
        <v>89</v>
      </c>
      <c r="B92" s="12" t="s">
        <v>175</v>
      </c>
      <c r="C92" s="12" t="s">
        <v>176</v>
      </c>
      <c r="D92" s="73" t="s">
        <v>391</v>
      </c>
      <c r="E92" s="14">
        <f>1694+2032</f>
        <v>3726</v>
      </c>
      <c r="F92" s="14">
        <f>1748+1564</f>
        <v>3312</v>
      </c>
      <c r="G92" s="14" t="s">
        <v>12</v>
      </c>
      <c r="H92" s="14" t="s">
        <v>12</v>
      </c>
      <c r="I92" s="14" t="s">
        <v>12</v>
      </c>
      <c r="J92" s="14" t="s">
        <v>12</v>
      </c>
      <c r="K92" s="20">
        <f t="shared" si="2"/>
        <v>7038</v>
      </c>
    </row>
    <row r="93" spans="1:11" ht="60" x14ac:dyDescent="0.2">
      <c r="A93" s="13">
        <f t="shared" si="3"/>
        <v>90</v>
      </c>
      <c r="B93" s="12" t="s">
        <v>183</v>
      </c>
      <c r="C93" s="12" t="s">
        <v>184</v>
      </c>
      <c r="D93" s="73" t="s">
        <v>392</v>
      </c>
      <c r="E93" s="14" t="s">
        <v>12</v>
      </c>
      <c r="F93" s="14">
        <f>3908+3224+3878</f>
        <v>11010</v>
      </c>
      <c r="G93" s="14" t="s">
        <v>12</v>
      </c>
      <c r="H93" s="14" t="s">
        <v>12</v>
      </c>
      <c r="I93" s="14" t="s">
        <v>185</v>
      </c>
      <c r="J93" s="14" t="s">
        <v>12</v>
      </c>
      <c r="K93" s="20">
        <f t="shared" si="2"/>
        <v>11010</v>
      </c>
    </row>
    <row r="94" spans="1:11" ht="45" x14ac:dyDescent="0.2">
      <c r="A94" s="13">
        <f t="shared" si="3"/>
        <v>91</v>
      </c>
      <c r="B94" s="12" t="s">
        <v>177</v>
      </c>
      <c r="C94" s="12" t="s">
        <v>178</v>
      </c>
      <c r="D94" s="73" t="s">
        <v>393</v>
      </c>
      <c r="E94" s="14">
        <f>8817+14568</f>
        <v>23385</v>
      </c>
      <c r="F94" s="14" t="s">
        <v>12</v>
      </c>
      <c r="G94" s="14">
        <f>11973+10554</f>
        <v>22527</v>
      </c>
      <c r="H94" s="14" t="s">
        <v>12</v>
      </c>
      <c r="I94" s="14" t="s">
        <v>12</v>
      </c>
      <c r="J94" s="14">
        <f>4059+30</f>
        <v>4089</v>
      </c>
      <c r="K94" s="20">
        <f t="shared" si="2"/>
        <v>50001</v>
      </c>
    </row>
    <row r="95" spans="1:11" ht="30" x14ac:dyDescent="0.2">
      <c r="A95" s="13">
        <f t="shared" si="3"/>
        <v>92</v>
      </c>
      <c r="B95" s="12" t="s">
        <v>186</v>
      </c>
      <c r="C95" s="12" t="s">
        <v>187</v>
      </c>
      <c r="D95" s="73" t="s">
        <v>394</v>
      </c>
      <c r="E95" s="14" t="s">
        <v>12</v>
      </c>
      <c r="F95" s="14">
        <f>6168+3666</f>
        <v>9834</v>
      </c>
      <c r="G95" s="14" t="s">
        <v>12</v>
      </c>
      <c r="H95" s="14" t="s">
        <v>12</v>
      </c>
      <c r="I95" s="14">
        <f>2474+1572</f>
        <v>4046</v>
      </c>
      <c r="J95" s="15">
        <f>80+18</f>
        <v>98</v>
      </c>
      <c r="K95" s="20">
        <f t="shared" si="2"/>
        <v>13978</v>
      </c>
    </row>
    <row r="96" spans="1:11" ht="30" x14ac:dyDescent="0.2">
      <c r="A96" s="13">
        <f t="shared" si="3"/>
        <v>93</v>
      </c>
      <c r="B96" s="12" t="s">
        <v>179</v>
      </c>
      <c r="C96" s="12" t="s">
        <v>180</v>
      </c>
      <c r="D96" s="73" t="s">
        <v>395</v>
      </c>
      <c r="E96" s="14">
        <f>606+654+680+716</f>
        <v>2656</v>
      </c>
      <c r="F96" s="14" t="s">
        <v>12</v>
      </c>
      <c r="G96" s="14" t="s">
        <v>12</v>
      </c>
      <c r="H96" s="14" t="s">
        <v>12</v>
      </c>
      <c r="I96" s="14" t="s">
        <v>12</v>
      </c>
      <c r="J96" s="14">
        <f>634+538</f>
        <v>1172</v>
      </c>
      <c r="K96" s="20">
        <f t="shared" si="2"/>
        <v>3828</v>
      </c>
    </row>
    <row r="97" spans="1:30" ht="30" x14ac:dyDescent="0.2">
      <c r="A97" s="13">
        <f t="shared" si="3"/>
        <v>94</v>
      </c>
      <c r="B97" s="12" t="s">
        <v>181</v>
      </c>
      <c r="C97" s="12" t="s">
        <v>182</v>
      </c>
      <c r="D97" s="73" t="s">
        <v>396</v>
      </c>
      <c r="E97" s="14">
        <f>13137+15318</f>
        <v>28455</v>
      </c>
      <c r="F97" s="14" t="s">
        <v>12</v>
      </c>
      <c r="G97" s="14" t="s">
        <v>12</v>
      </c>
      <c r="H97" s="14" t="s">
        <v>12</v>
      </c>
      <c r="I97" s="14">
        <f>12261+11223</f>
        <v>23484</v>
      </c>
      <c r="J97" s="14" t="s">
        <v>12</v>
      </c>
      <c r="K97" s="20">
        <f t="shared" si="2"/>
        <v>51939</v>
      </c>
    </row>
    <row r="98" spans="1:30" ht="30" x14ac:dyDescent="0.2">
      <c r="A98" s="13">
        <f t="shared" si="3"/>
        <v>95</v>
      </c>
      <c r="B98" s="12" t="s">
        <v>188</v>
      </c>
      <c r="C98" s="12" t="s">
        <v>189</v>
      </c>
      <c r="D98" s="73" t="s">
        <v>397</v>
      </c>
      <c r="E98" s="14">
        <f>924+1606</f>
        <v>2530</v>
      </c>
      <c r="F98" s="14" t="s">
        <v>12</v>
      </c>
      <c r="G98" s="14" t="s">
        <v>12</v>
      </c>
      <c r="H98" s="14" t="s">
        <v>12</v>
      </c>
      <c r="I98" s="14">
        <f>1324+1012+410</f>
        <v>2746</v>
      </c>
      <c r="J98" s="13"/>
      <c r="K98" s="20">
        <f t="shared" si="2"/>
        <v>5276</v>
      </c>
    </row>
    <row r="99" spans="1:30" ht="15" x14ac:dyDescent="0.2">
      <c r="A99" s="13">
        <f t="shared" si="3"/>
        <v>96</v>
      </c>
      <c r="B99" s="12" t="s">
        <v>190</v>
      </c>
      <c r="C99" s="12" t="s">
        <v>191</v>
      </c>
      <c r="D99" s="13">
        <v>18</v>
      </c>
      <c r="E99" s="14">
        <f>628+810</f>
        <v>1438</v>
      </c>
      <c r="F99" s="14" t="s">
        <v>12</v>
      </c>
      <c r="G99" s="14">
        <f>794+630</f>
        <v>1424</v>
      </c>
      <c r="H99" s="14" t="s">
        <v>12</v>
      </c>
      <c r="I99" s="14">
        <f>250</f>
        <v>250</v>
      </c>
      <c r="J99" s="14" t="s">
        <v>12</v>
      </c>
      <c r="K99" s="20">
        <f t="shared" si="2"/>
        <v>3112</v>
      </c>
    </row>
    <row r="100" spans="1:30" ht="30" x14ac:dyDescent="0.2">
      <c r="A100" s="13">
        <f t="shared" si="3"/>
        <v>97</v>
      </c>
      <c r="B100" s="12" t="s">
        <v>192</v>
      </c>
      <c r="C100" s="12" t="s">
        <v>193</v>
      </c>
      <c r="D100" s="13">
        <v>304</v>
      </c>
      <c r="E100" s="14">
        <f>16113+22797</f>
        <v>38910</v>
      </c>
      <c r="F100" s="14" t="s">
        <v>12</v>
      </c>
      <c r="G100" s="14">
        <f>23739+17616</f>
        <v>41355</v>
      </c>
      <c r="H100" s="14" t="s">
        <v>12</v>
      </c>
      <c r="I100" s="14">
        <f>8319+36</f>
        <v>8355</v>
      </c>
      <c r="J100" s="14" t="s">
        <v>12</v>
      </c>
      <c r="K100" s="20">
        <f t="shared" si="2"/>
        <v>88620</v>
      </c>
    </row>
    <row r="101" spans="1:30" ht="15" x14ac:dyDescent="0.2">
      <c r="A101" s="13">
        <f t="shared" si="3"/>
        <v>98</v>
      </c>
      <c r="B101" s="12" t="s">
        <v>194</v>
      </c>
      <c r="C101" s="12" t="s">
        <v>195</v>
      </c>
      <c r="D101" s="73" t="s">
        <v>398</v>
      </c>
      <c r="E101" s="14">
        <f>278+340+190+568</f>
        <v>1376</v>
      </c>
      <c r="F101" s="14" t="s">
        <v>12</v>
      </c>
      <c r="G101" s="14" t="s">
        <v>196</v>
      </c>
      <c r="H101" s="14" t="s">
        <v>12</v>
      </c>
      <c r="I101" s="14" t="s">
        <v>12</v>
      </c>
      <c r="J101" s="14" t="s">
        <v>12</v>
      </c>
      <c r="K101" s="20">
        <f t="shared" si="2"/>
        <v>1376</v>
      </c>
    </row>
    <row r="102" spans="1:30" ht="30" x14ac:dyDescent="0.2">
      <c r="A102" s="13">
        <f t="shared" si="3"/>
        <v>99</v>
      </c>
      <c r="B102" s="12" t="s">
        <v>197</v>
      </c>
      <c r="C102" s="12" t="s">
        <v>198</v>
      </c>
      <c r="D102" s="73" t="s">
        <v>399</v>
      </c>
      <c r="E102" s="14">
        <f>732+1362</f>
        <v>2094</v>
      </c>
      <c r="F102" s="14" t="s">
        <v>12</v>
      </c>
      <c r="G102" s="14">
        <f>690+512</f>
        <v>1202</v>
      </c>
      <c r="H102" s="14" t="s">
        <v>12</v>
      </c>
      <c r="I102" s="14" t="s">
        <v>12</v>
      </c>
      <c r="J102" s="14" t="s">
        <v>12</v>
      </c>
      <c r="K102" s="20">
        <f t="shared" si="2"/>
        <v>3296</v>
      </c>
    </row>
    <row r="103" spans="1:30" ht="30" x14ac:dyDescent="0.2">
      <c r="A103" s="13">
        <f t="shared" si="3"/>
        <v>100</v>
      </c>
      <c r="B103" s="12" t="s">
        <v>199</v>
      </c>
      <c r="C103" s="12" t="s">
        <v>200</v>
      </c>
      <c r="D103" s="73" t="s">
        <v>400</v>
      </c>
      <c r="E103" s="14">
        <f>1180+1576</f>
        <v>2756</v>
      </c>
      <c r="F103" s="14" t="s">
        <v>12</v>
      </c>
      <c r="G103" s="14">
        <f>658+888</f>
        <v>1546</v>
      </c>
      <c r="H103" s="14" t="s">
        <v>12</v>
      </c>
      <c r="I103" s="14">
        <f>288</f>
        <v>288</v>
      </c>
      <c r="J103" s="14" t="s">
        <v>12</v>
      </c>
      <c r="K103" s="20">
        <f t="shared" si="2"/>
        <v>4590</v>
      </c>
    </row>
    <row r="104" spans="1:30" ht="15" x14ac:dyDescent="0.2">
      <c r="A104" s="13">
        <f t="shared" si="3"/>
        <v>101</v>
      </c>
      <c r="B104" s="12" t="s">
        <v>209</v>
      </c>
      <c r="C104" s="12" t="s">
        <v>210</v>
      </c>
      <c r="D104" s="13">
        <v>78</v>
      </c>
      <c r="E104" s="14" t="s">
        <v>12</v>
      </c>
      <c r="F104" s="14">
        <f>3526+4622</f>
        <v>8148</v>
      </c>
      <c r="G104" s="14" t="s">
        <v>12</v>
      </c>
      <c r="H104" s="14" t="s">
        <v>12</v>
      </c>
      <c r="I104" s="14" t="s">
        <v>185</v>
      </c>
      <c r="J104" s="14" t="s">
        <v>12</v>
      </c>
      <c r="K104" s="20">
        <f t="shared" si="2"/>
        <v>8148</v>
      </c>
    </row>
    <row r="105" spans="1:30" ht="30" x14ac:dyDescent="0.2">
      <c r="A105" s="13">
        <f t="shared" si="3"/>
        <v>102</v>
      </c>
      <c r="B105" s="12" t="s">
        <v>201</v>
      </c>
      <c r="C105" s="12" t="s">
        <v>202</v>
      </c>
      <c r="D105" s="73" t="s">
        <v>401</v>
      </c>
      <c r="E105" s="14">
        <f>17946+19428</f>
        <v>37374</v>
      </c>
      <c r="F105" s="14" t="s">
        <v>12</v>
      </c>
      <c r="G105" s="14">
        <f>15045+8127</f>
        <v>23172</v>
      </c>
      <c r="H105" s="14" t="s">
        <v>12</v>
      </c>
      <c r="I105" s="14">
        <f>4038</f>
        <v>4038</v>
      </c>
      <c r="J105" s="14" t="s">
        <v>12</v>
      </c>
      <c r="K105" s="20">
        <f t="shared" si="2"/>
        <v>64584</v>
      </c>
    </row>
    <row r="106" spans="1:30" ht="30" x14ac:dyDescent="0.2">
      <c r="A106" s="13">
        <f t="shared" si="3"/>
        <v>103</v>
      </c>
      <c r="B106" s="12" t="s">
        <v>207</v>
      </c>
      <c r="C106" s="12" t="s">
        <v>208</v>
      </c>
      <c r="D106" s="13">
        <v>40</v>
      </c>
      <c r="E106" s="14" t="s">
        <v>12</v>
      </c>
      <c r="F106" s="14">
        <f>2024+1862</f>
        <v>3886</v>
      </c>
      <c r="G106" s="14">
        <f>2154+2146</f>
        <v>4300</v>
      </c>
      <c r="H106" s="14" t="s">
        <v>12</v>
      </c>
      <c r="I106" s="14">
        <f>2042+2242</f>
        <v>4284</v>
      </c>
      <c r="J106" s="14" t="s">
        <v>12</v>
      </c>
      <c r="K106" s="20">
        <f t="shared" si="2"/>
        <v>12470</v>
      </c>
    </row>
    <row r="107" spans="1:30" ht="30" x14ac:dyDescent="0.2">
      <c r="A107" s="13">
        <f t="shared" si="3"/>
        <v>104</v>
      </c>
      <c r="B107" s="12" t="s">
        <v>205</v>
      </c>
      <c r="C107" s="12" t="s">
        <v>206</v>
      </c>
      <c r="D107" s="13">
        <v>50</v>
      </c>
      <c r="E107" s="14" t="s">
        <v>12</v>
      </c>
      <c r="F107" s="14">
        <f>1922+1970</f>
        <v>3892</v>
      </c>
      <c r="G107" s="14">
        <f>1786+1604</f>
        <v>3390</v>
      </c>
      <c r="H107" s="14" t="s">
        <v>12</v>
      </c>
      <c r="I107" s="14">
        <f>1574+2244</f>
        <v>3818</v>
      </c>
      <c r="J107" s="14" t="s">
        <v>12</v>
      </c>
      <c r="K107" s="20">
        <f t="shared" si="2"/>
        <v>11100</v>
      </c>
    </row>
    <row r="108" spans="1:30" ht="15" x14ac:dyDescent="0.2">
      <c r="A108" s="13">
        <f t="shared" si="3"/>
        <v>105</v>
      </c>
      <c r="B108" s="12" t="s">
        <v>203</v>
      </c>
      <c r="C108" s="12" t="s">
        <v>204</v>
      </c>
      <c r="D108" s="73" t="s">
        <v>402</v>
      </c>
      <c r="E108" s="14">
        <f>134+116+58</f>
        <v>308</v>
      </c>
      <c r="F108" s="14" t="s">
        <v>12</v>
      </c>
      <c r="G108" s="14" t="s">
        <v>12</v>
      </c>
      <c r="H108" s="14" t="s">
        <v>12</v>
      </c>
      <c r="I108" s="14" t="s">
        <v>12</v>
      </c>
      <c r="J108" s="14" t="s">
        <v>12</v>
      </c>
      <c r="K108" s="20">
        <f t="shared" si="2"/>
        <v>308</v>
      </c>
    </row>
    <row r="109" spans="1:30" ht="30" x14ac:dyDescent="0.2">
      <c r="A109" s="13">
        <f t="shared" si="3"/>
        <v>106</v>
      </c>
      <c r="B109" s="72" t="s">
        <v>358</v>
      </c>
      <c r="C109" s="12" t="s">
        <v>212</v>
      </c>
      <c r="D109" s="13">
        <v>10</v>
      </c>
      <c r="E109" s="14">
        <f>404</f>
        <v>404</v>
      </c>
      <c r="F109" s="14">
        <f>312</f>
        <v>312</v>
      </c>
      <c r="G109" s="14" t="s">
        <v>12</v>
      </c>
      <c r="H109" s="14" t="s">
        <v>12</v>
      </c>
      <c r="I109" s="14">
        <f>230+74</f>
        <v>304</v>
      </c>
      <c r="J109" s="14" t="s">
        <v>12</v>
      </c>
      <c r="K109" s="20">
        <f t="shared" si="2"/>
        <v>1020</v>
      </c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30" x14ac:dyDescent="0.2">
      <c r="A110" s="13">
        <f t="shared" si="3"/>
        <v>107</v>
      </c>
      <c r="B110" s="12" t="s">
        <v>213</v>
      </c>
      <c r="C110" s="12" t="s">
        <v>214</v>
      </c>
      <c r="D110" s="73">
        <v>44</v>
      </c>
      <c r="E110" s="14" t="s">
        <v>12</v>
      </c>
      <c r="F110" s="14">
        <f>1408+1620</f>
        <v>3028</v>
      </c>
      <c r="G110" s="14" t="s">
        <v>12</v>
      </c>
      <c r="H110" s="14" t="s">
        <v>12</v>
      </c>
      <c r="I110" s="14">
        <f>1376+1250+678</f>
        <v>3304</v>
      </c>
      <c r="J110" s="14" t="s">
        <v>12</v>
      </c>
      <c r="K110" s="20">
        <f t="shared" si="2"/>
        <v>6332</v>
      </c>
    </row>
    <row r="111" spans="1:30" ht="30" x14ac:dyDescent="0.2">
      <c r="A111" s="13">
        <f t="shared" si="3"/>
        <v>108</v>
      </c>
      <c r="B111" s="12" t="s">
        <v>218</v>
      </c>
      <c r="C111" s="12" t="s">
        <v>219</v>
      </c>
      <c r="D111" s="13">
        <v>35</v>
      </c>
      <c r="E111" s="14">
        <f>1782+1977</f>
        <v>3759</v>
      </c>
      <c r="F111" s="14" t="s">
        <v>12</v>
      </c>
      <c r="G111" s="14" t="s">
        <v>12</v>
      </c>
      <c r="H111" s="14" t="s">
        <v>12</v>
      </c>
      <c r="I111" s="14" t="s">
        <v>12</v>
      </c>
      <c r="J111" s="14" t="s">
        <v>12</v>
      </c>
      <c r="K111" s="20">
        <f t="shared" si="2"/>
        <v>3759</v>
      </c>
    </row>
    <row r="112" spans="1:30" ht="45" x14ac:dyDescent="0.2">
      <c r="A112" s="13">
        <f t="shared" si="3"/>
        <v>109</v>
      </c>
      <c r="B112" s="12" t="s">
        <v>227</v>
      </c>
      <c r="C112" s="12" t="s">
        <v>228</v>
      </c>
      <c r="D112" s="13">
        <v>259</v>
      </c>
      <c r="E112" s="14">
        <f>11529+16878</f>
        <v>28407</v>
      </c>
      <c r="F112" s="14" t="s">
        <v>12</v>
      </c>
      <c r="G112" s="14" t="s">
        <v>12</v>
      </c>
      <c r="H112" s="14" t="s">
        <v>12</v>
      </c>
      <c r="I112" s="14">
        <f>8820+6798</f>
        <v>15618</v>
      </c>
      <c r="J112" s="14" t="s">
        <v>12</v>
      </c>
      <c r="K112" s="20">
        <f t="shared" si="2"/>
        <v>44025</v>
      </c>
    </row>
    <row r="113" spans="1:30" ht="30" x14ac:dyDescent="0.2">
      <c r="A113" s="13">
        <f t="shared" si="3"/>
        <v>110</v>
      </c>
      <c r="B113" s="12" t="s">
        <v>229</v>
      </c>
      <c r="C113" s="12" t="s">
        <v>230</v>
      </c>
      <c r="D113" s="13">
        <v>162</v>
      </c>
      <c r="E113" s="14">
        <f>8925+10797</f>
        <v>19722</v>
      </c>
      <c r="F113" s="14" t="s">
        <v>12</v>
      </c>
      <c r="G113" s="14" t="s">
        <v>12</v>
      </c>
      <c r="H113" s="14">
        <f>9831+7263</f>
        <v>17094</v>
      </c>
      <c r="I113" s="14">
        <f>3921</f>
        <v>3921</v>
      </c>
      <c r="J113" s="14" t="s">
        <v>12</v>
      </c>
      <c r="K113" s="20">
        <f t="shared" si="2"/>
        <v>40737</v>
      </c>
    </row>
    <row r="114" spans="1:30" ht="30" x14ac:dyDescent="0.2">
      <c r="A114" s="13">
        <f t="shared" si="3"/>
        <v>111</v>
      </c>
      <c r="B114" s="72" t="s">
        <v>359</v>
      </c>
      <c r="C114" s="12" t="s">
        <v>215</v>
      </c>
      <c r="D114" s="13">
        <v>415</v>
      </c>
      <c r="E114" s="14" t="s">
        <v>12</v>
      </c>
      <c r="F114" s="14">
        <f>25140+18915</f>
        <v>44055</v>
      </c>
      <c r="G114" s="14" t="s">
        <v>12</v>
      </c>
      <c r="H114" s="14" t="s">
        <v>12</v>
      </c>
      <c r="I114" s="14">
        <f>11097+5193</f>
        <v>16290</v>
      </c>
      <c r="J114" s="14" t="s">
        <v>12</v>
      </c>
      <c r="K114" s="20">
        <f t="shared" si="2"/>
        <v>60345</v>
      </c>
    </row>
    <row r="115" spans="1:30" ht="30" x14ac:dyDescent="0.2">
      <c r="A115" s="13">
        <f t="shared" si="3"/>
        <v>112</v>
      </c>
      <c r="B115" s="72" t="s">
        <v>360</v>
      </c>
      <c r="C115" s="12" t="s">
        <v>224</v>
      </c>
      <c r="D115" s="13">
        <v>16</v>
      </c>
      <c r="E115" s="14">
        <f>688+746</f>
        <v>1434</v>
      </c>
      <c r="F115" s="14" t="s">
        <v>12</v>
      </c>
      <c r="G115" s="14">
        <f>676+674</f>
        <v>1350</v>
      </c>
      <c r="H115" s="14" t="s">
        <v>12</v>
      </c>
      <c r="I115" s="14" t="s">
        <v>12</v>
      </c>
      <c r="J115" s="14" t="s">
        <v>12</v>
      </c>
      <c r="K115" s="20">
        <f t="shared" si="2"/>
        <v>2784</v>
      </c>
    </row>
    <row r="116" spans="1:30" ht="30" x14ac:dyDescent="0.2">
      <c r="A116" s="13">
        <f t="shared" si="3"/>
        <v>113</v>
      </c>
      <c r="B116" s="12" t="s">
        <v>216</v>
      </c>
      <c r="C116" s="12" t="s">
        <v>217</v>
      </c>
      <c r="D116" s="13">
        <v>11</v>
      </c>
      <c r="E116" s="14">
        <f>364+406</f>
        <v>770</v>
      </c>
      <c r="F116" s="14">
        <f>470+420</f>
        <v>890</v>
      </c>
      <c r="G116" s="14" t="s">
        <v>12</v>
      </c>
      <c r="H116" s="14" t="s">
        <v>12</v>
      </c>
      <c r="I116" s="14" t="s">
        <v>12</v>
      </c>
      <c r="J116" s="14" t="s">
        <v>12</v>
      </c>
      <c r="K116" s="20">
        <f t="shared" si="2"/>
        <v>1660</v>
      </c>
    </row>
    <row r="117" spans="1:30" ht="30" x14ac:dyDescent="0.2">
      <c r="A117" s="13">
        <f t="shared" si="3"/>
        <v>114</v>
      </c>
      <c r="B117" s="72" t="s">
        <v>361</v>
      </c>
      <c r="C117" s="12" t="s">
        <v>211</v>
      </c>
      <c r="D117" s="73" t="s">
        <v>403</v>
      </c>
      <c r="E117" s="14">
        <f>30627+31554</f>
        <v>62181</v>
      </c>
      <c r="F117" s="14" t="s">
        <v>12</v>
      </c>
      <c r="G117" s="14">
        <f>30603+22404</f>
        <v>53007</v>
      </c>
      <c r="H117" s="14" t="s">
        <v>12</v>
      </c>
      <c r="I117" s="14">
        <f>10854+804</f>
        <v>11658</v>
      </c>
      <c r="J117" s="13" t="s">
        <v>12</v>
      </c>
      <c r="K117" s="20">
        <f t="shared" si="2"/>
        <v>126846</v>
      </c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spans="1:30" ht="30" x14ac:dyDescent="0.2">
      <c r="A118" s="13">
        <f t="shared" si="3"/>
        <v>115</v>
      </c>
      <c r="B118" s="12" t="s">
        <v>220</v>
      </c>
      <c r="C118" s="12" t="s">
        <v>221</v>
      </c>
      <c r="D118" s="73" t="s">
        <v>404</v>
      </c>
      <c r="E118" s="14">
        <f>5306+4634</f>
        <v>9940</v>
      </c>
      <c r="F118" s="14" t="s">
        <v>12</v>
      </c>
      <c r="G118" s="14">
        <f>4634+6004</f>
        <v>10638</v>
      </c>
      <c r="H118" s="14" t="s">
        <v>12</v>
      </c>
      <c r="I118" s="14" t="s">
        <v>12</v>
      </c>
      <c r="J118" s="14">
        <f>5222+4394</f>
        <v>9616</v>
      </c>
      <c r="K118" s="20">
        <f t="shared" si="2"/>
        <v>30194</v>
      </c>
    </row>
    <row r="119" spans="1:30" ht="15" x14ac:dyDescent="0.2">
      <c r="A119" s="13">
        <f t="shared" si="3"/>
        <v>116</v>
      </c>
      <c r="B119" s="12" t="s">
        <v>225</v>
      </c>
      <c r="C119" s="12" t="s">
        <v>226</v>
      </c>
      <c r="D119" s="13" t="s">
        <v>12</v>
      </c>
      <c r="E119" s="14">
        <f>4168+4724</f>
        <v>8892</v>
      </c>
      <c r="F119" s="14" t="s">
        <v>12</v>
      </c>
      <c r="G119" s="14">
        <f>676+674</f>
        <v>1350</v>
      </c>
      <c r="H119" s="14" t="s">
        <v>12</v>
      </c>
      <c r="I119" s="14" t="s">
        <v>12</v>
      </c>
      <c r="J119" s="14" t="s">
        <v>12</v>
      </c>
      <c r="K119" s="20">
        <f t="shared" si="2"/>
        <v>10242</v>
      </c>
    </row>
    <row r="120" spans="1:30" ht="30" x14ac:dyDescent="0.2">
      <c r="A120" s="13">
        <f t="shared" si="3"/>
        <v>117</v>
      </c>
      <c r="B120" s="12" t="s">
        <v>222</v>
      </c>
      <c r="C120" s="12" t="s">
        <v>223</v>
      </c>
      <c r="D120" s="73" t="s">
        <v>405</v>
      </c>
      <c r="E120" s="14">
        <f>9460+12234</f>
        <v>21694</v>
      </c>
      <c r="F120" s="14" t="s">
        <v>12</v>
      </c>
      <c r="G120" s="14">
        <f>8122+8122</f>
        <v>16244</v>
      </c>
      <c r="H120" s="14" t="s">
        <v>12</v>
      </c>
      <c r="I120" s="14">
        <f>3588</f>
        <v>3588</v>
      </c>
      <c r="J120" s="14" t="s">
        <v>12</v>
      </c>
      <c r="K120" s="20">
        <f t="shared" si="2"/>
        <v>41526</v>
      </c>
    </row>
    <row r="121" spans="1:30" ht="30" x14ac:dyDescent="0.2">
      <c r="A121" s="13">
        <f t="shared" si="3"/>
        <v>118</v>
      </c>
      <c r="B121" s="12" t="s">
        <v>231</v>
      </c>
      <c r="C121" s="12" t="s">
        <v>232</v>
      </c>
      <c r="D121" s="73">
        <v>128</v>
      </c>
      <c r="E121" s="14">
        <f>6100+6752</f>
        <v>12852</v>
      </c>
      <c r="F121" s="14" t="s">
        <v>12</v>
      </c>
      <c r="G121" s="14">
        <f>5060+4904</f>
        <v>9964</v>
      </c>
      <c r="H121" s="14" t="s">
        <v>12</v>
      </c>
      <c r="I121" s="14">
        <f>2478</f>
        <v>2478</v>
      </c>
      <c r="J121" s="14" t="s">
        <v>12</v>
      </c>
      <c r="K121" s="20">
        <f t="shared" si="2"/>
        <v>25294</v>
      </c>
    </row>
    <row r="122" spans="1:30" ht="45" x14ac:dyDescent="0.2">
      <c r="A122" s="13">
        <f t="shared" si="3"/>
        <v>119</v>
      </c>
      <c r="B122" s="12" t="s">
        <v>235</v>
      </c>
      <c r="C122" s="12" t="s">
        <v>236</v>
      </c>
      <c r="D122" s="13">
        <v>80</v>
      </c>
      <c r="E122" s="14">
        <f>2094+3018</f>
        <v>5112</v>
      </c>
      <c r="F122" s="14" t="s">
        <v>12</v>
      </c>
      <c r="G122" s="14">
        <f>2308+1682</f>
        <v>3990</v>
      </c>
      <c r="H122" s="14" t="s">
        <v>12</v>
      </c>
      <c r="I122" s="14">
        <f>482</f>
        <v>482</v>
      </c>
      <c r="J122" s="14" t="s">
        <v>12</v>
      </c>
      <c r="K122" s="20">
        <f t="shared" si="2"/>
        <v>9584</v>
      </c>
    </row>
    <row r="123" spans="1:30" ht="30" x14ac:dyDescent="0.2">
      <c r="A123" s="13">
        <f t="shared" si="3"/>
        <v>120</v>
      </c>
      <c r="B123" s="12" t="s">
        <v>233</v>
      </c>
      <c r="C123" s="12" t="s">
        <v>234</v>
      </c>
      <c r="D123" s="73" t="s">
        <v>406</v>
      </c>
      <c r="E123" s="14">
        <f>620+948</f>
        <v>1568</v>
      </c>
      <c r="F123" s="13" t="s">
        <v>12</v>
      </c>
      <c r="G123" s="13" t="s">
        <v>12</v>
      </c>
      <c r="H123" s="14" t="s">
        <v>12</v>
      </c>
      <c r="I123" s="14">
        <f>508+448+178</f>
        <v>1134</v>
      </c>
      <c r="J123" s="13" t="s">
        <v>12</v>
      </c>
      <c r="K123" s="20">
        <f t="shared" si="2"/>
        <v>2702</v>
      </c>
    </row>
    <row r="124" spans="1:30" ht="45" x14ac:dyDescent="0.2">
      <c r="A124" s="13">
        <f t="shared" si="3"/>
        <v>121</v>
      </c>
      <c r="B124" s="12" t="s">
        <v>237</v>
      </c>
      <c r="C124" s="12" t="s">
        <v>238</v>
      </c>
      <c r="D124" s="13">
        <v>238</v>
      </c>
      <c r="E124" s="14">
        <f>15136+16630</f>
        <v>31766</v>
      </c>
      <c r="F124" s="14" t="s">
        <v>12</v>
      </c>
      <c r="G124" s="14" t="s">
        <v>196</v>
      </c>
      <c r="H124" s="14" t="s">
        <v>12</v>
      </c>
      <c r="I124" s="14" t="s">
        <v>12</v>
      </c>
      <c r="J124" s="14">
        <f>10774+9946+5450+424</f>
        <v>26594</v>
      </c>
      <c r="K124" s="20">
        <f t="shared" si="2"/>
        <v>58360</v>
      </c>
    </row>
    <row r="125" spans="1:30" ht="45" x14ac:dyDescent="0.2">
      <c r="A125" s="13">
        <f t="shared" si="3"/>
        <v>122</v>
      </c>
      <c r="B125" s="12" t="s">
        <v>239</v>
      </c>
      <c r="C125" s="12" t="s">
        <v>240</v>
      </c>
      <c r="D125" s="13">
        <v>231</v>
      </c>
      <c r="E125" s="14">
        <f>15099+13455</f>
        <v>28554</v>
      </c>
      <c r="F125" s="14" t="s">
        <v>12</v>
      </c>
      <c r="G125" s="14">
        <f>12693+11499</f>
        <v>24192</v>
      </c>
      <c r="H125" s="14" t="s">
        <v>12</v>
      </c>
      <c r="I125" s="14" t="s">
        <v>12</v>
      </c>
      <c r="J125" s="14" t="s">
        <v>12</v>
      </c>
      <c r="K125" s="20">
        <f t="shared" si="2"/>
        <v>52746</v>
      </c>
    </row>
    <row r="126" spans="1:30" ht="15" x14ac:dyDescent="0.2">
      <c r="A126" s="13">
        <f t="shared" si="3"/>
        <v>123</v>
      </c>
      <c r="B126" s="12" t="s">
        <v>241</v>
      </c>
      <c r="C126" s="12" t="s">
        <v>242</v>
      </c>
      <c r="D126" s="13">
        <v>57</v>
      </c>
      <c r="E126" s="14">
        <f>1196+1386</f>
        <v>2582</v>
      </c>
      <c r="F126" s="14" t="s">
        <v>12</v>
      </c>
      <c r="G126" s="14">
        <f>1072+1102</f>
        <v>2174</v>
      </c>
      <c r="H126" s="14" t="s">
        <v>12</v>
      </c>
      <c r="I126" s="15">
        <f>600+120</f>
        <v>720</v>
      </c>
      <c r="J126" s="14" t="s">
        <v>12</v>
      </c>
      <c r="K126" s="20">
        <f t="shared" si="2"/>
        <v>5476</v>
      </c>
    </row>
    <row r="127" spans="1:30" ht="30" x14ac:dyDescent="0.2">
      <c r="A127" s="13">
        <f t="shared" si="3"/>
        <v>124</v>
      </c>
      <c r="B127" s="72" t="s">
        <v>362</v>
      </c>
      <c r="C127" s="12" t="s">
        <v>243</v>
      </c>
      <c r="D127" s="13">
        <v>40</v>
      </c>
      <c r="E127" s="14">
        <f>1724</f>
        <v>1724</v>
      </c>
      <c r="F127" s="14">
        <f>1022</f>
        <v>1022</v>
      </c>
      <c r="G127" s="14" t="s">
        <v>12</v>
      </c>
      <c r="H127" s="14" t="s">
        <v>12</v>
      </c>
      <c r="I127" s="14">
        <f>752+430</f>
        <v>1182</v>
      </c>
      <c r="J127" s="14">
        <f>58</f>
        <v>58</v>
      </c>
      <c r="K127" s="20">
        <f t="shared" si="2"/>
        <v>3986</v>
      </c>
    </row>
    <row r="128" spans="1:30" ht="15" x14ac:dyDescent="0.2">
      <c r="A128" s="13">
        <f t="shared" si="3"/>
        <v>125</v>
      </c>
      <c r="B128" s="12" t="s">
        <v>244</v>
      </c>
      <c r="C128" s="12" t="s">
        <v>245</v>
      </c>
      <c r="D128" s="13">
        <v>20</v>
      </c>
      <c r="E128" s="14">
        <f>366+628</f>
        <v>994</v>
      </c>
      <c r="F128" s="14" t="s">
        <v>12</v>
      </c>
      <c r="G128" s="14">
        <f>750+508</f>
        <v>1258</v>
      </c>
      <c r="H128" s="14" t="s">
        <v>12</v>
      </c>
      <c r="I128" s="14">
        <f>128</f>
        <v>128</v>
      </c>
      <c r="J128" s="14">
        <f>2774+2576+944+6</f>
        <v>6300</v>
      </c>
      <c r="K128" s="20">
        <f t="shared" si="2"/>
        <v>8680</v>
      </c>
    </row>
    <row r="129" spans="1:11" ht="30.75" thickBot="1" x14ac:dyDescent="0.25">
      <c r="A129" s="13">
        <f t="shared" si="3"/>
        <v>126</v>
      </c>
      <c r="B129" s="75" t="s">
        <v>363</v>
      </c>
      <c r="C129" s="17" t="s">
        <v>246</v>
      </c>
      <c r="D129" s="18">
        <v>76</v>
      </c>
      <c r="E129" s="19">
        <f>2712+3312</f>
        <v>6024</v>
      </c>
      <c r="F129" s="19" t="s">
        <v>12</v>
      </c>
      <c r="G129" s="19" t="s">
        <v>12</v>
      </c>
      <c r="H129" s="19" t="s">
        <v>12</v>
      </c>
      <c r="I129" s="19" t="s">
        <v>12</v>
      </c>
      <c r="J129" s="19" t="s">
        <v>12</v>
      </c>
      <c r="K129" s="21">
        <f t="shared" si="2"/>
        <v>6024</v>
      </c>
    </row>
    <row r="130" spans="1:11" ht="15.75" thickBot="1" x14ac:dyDescent="0.25">
      <c r="A130" s="76" t="s">
        <v>247</v>
      </c>
      <c r="B130" s="77"/>
      <c r="C130" s="77"/>
      <c r="D130" s="78"/>
      <c r="E130" s="23">
        <f>SUM(E4:E129)</f>
        <v>1269039</v>
      </c>
      <c r="F130" s="23">
        <f t="shared" ref="F130:K130" si="4">SUM(F4:F129)</f>
        <v>272275</v>
      </c>
      <c r="G130" s="23">
        <f t="shared" si="4"/>
        <v>756819</v>
      </c>
      <c r="H130" s="23">
        <f t="shared" si="4"/>
        <v>17102</v>
      </c>
      <c r="I130" s="23">
        <f t="shared" si="4"/>
        <v>375472</v>
      </c>
      <c r="J130" s="23">
        <f t="shared" si="4"/>
        <v>99755</v>
      </c>
      <c r="K130" s="23">
        <f t="shared" si="4"/>
        <v>2790462</v>
      </c>
    </row>
    <row r="131" spans="1:11" ht="15" x14ac:dyDescent="0.2">
      <c r="B131" s="3"/>
      <c r="C131" s="3"/>
      <c r="D131" s="3"/>
    </row>
    <row r="168" spans="1:1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</row>
  </sheetData>
  <sortState ref="A4:AD129">
    <sortCondition ref="B4:B129"/>
  </sortState>
  <mergeCells count="6">
    <mergeCell ref="A130:D130"/>
    <mergeCell ref="D2:D3"/>
    <mergeCell ref="C2:C3"/>
    <mergeCell ref="B2:B3"/>
    <mergeCell ref="A1:K1"/>
    <mergeCell ref="E2:K2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1"/>
  <sheetViews>
    <sheetView workbookViewId="0">
      <pane ySplit="3" topLeftCell="A4" activePane="bottomLeft" state="frozen"/>
      <selection pane="bottomLeft" activeCell="F7" sqref="F7"/>
    </sheetView>
  </sheetViews>
  <sheetFormatPr defaultColWidth="12.625" defaultRowHeight="15" customHeight="1" x14ac:dyDescent="0.25"/>
  <cols>
    <col min="1" max="1" width="2.875" style="60" bestFit="1" customWidth="1"/>
    <col min="2" max="2" width="24.375" style="60" bestFit="1" customWidth="1"/>
    <col min="3" max="3" width="25.625" style="60" bestFit="1" customWidth="1"/>
    <col min="4" max="4" width="7.375" style="60" bestFit="1" customWidth="1"/>
    <col min="5" max="5" width="9.625" style="60" bestFit="1" customWidth="1"/>
    <col min="6" max="6" width="8.25" style="60" bestFit="1" customWidth="1"/>
    <col min="7" max="7" width="7.375" style="60" bestFit="1" customWidth="1"/>
    <col min="8" max="11" width="8.25" style="60" bestFit="1" customWidth="1"/>
    <col min="12" max="12" width="9.5" style="60" bestFit="1" customWidth="1"/>
    <col min="13" max="13" width="7.375" style="60" bestFit="1" customWidth="1"/>
    <col min="14" max="14" width="9.125" style="60" bestFit="1" customWidth="1"/>
    <col min="15" max="15" width="9.25" style="60" bestFit="1" customWidth="1"/>
    <col min="16" max="26" width="7.625" style="60" customWidth="1"/>
    <col min="27" max="16384" width="12.625" style="60"/>
  </cols>
  <sheetData>
    <row r="1" spans="1:15" ht="15.75" customHeight="1" thickBot="1" x14ac:dyDescent="0.3">
      <c r="A1" s="84" t="s">
        <v>248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15.75" customHeight="1" thickBot="1" x14ac:dyDescent="0.3">
      <c r="A2" s="83" t="s">
        <v>1</v>
      </c>
      <c r="B2" s="83" t="s">
        <v>2</v>
      </c>
      <c r="C2" s="83" t="s">
        <v>3</v>
      </c>
      <c r="D2" s="85" t="s">
        <v>345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15.75" thickBot="1" x14ac:dyDescent="0.3">
      <c r="A3" s="83"/>
      <c r="B3" s="83"/>
      <c r="C3" s="83"/>
      <c r="D3" s="33" t="s">
        <v>4</v>
      </c>
      <c r="E3" s="33" t="s">
        <v>5</v>
      </c>
      <c r="F3" s="33" t="s">
        <v>6</v>
      </c>
      <c r="G3" s="33" t="s">
        <v>7</v>
      </c>
      <c r="H3" s="33" t="s">
        <v>8</v>
      </c>
      <c r="I3" s="33" t="s">
        <v>9</v>
      </c>
      <c r="J3" s="33" t="s">
        <v>249</v>
      </c>
      <c r="K3" s="33" t="s">
        <v>250</v>
      </c>
      <c r="L3" s="33" t="s">
        <v>251</v>
      </c>
      <c r="M3" s="33" t="s">
        <v>252</v>
      </c>
      <c r="N3" s="69" t="s">
        <v>253</v>
      </c>
      <c r="O3" s="33" t="s">
        <v>344</v>
      </c>
    </row>
    <row r="4" spans="1:15" ht="60.75" thickBot="1" x14ac:dyDescent="0.3">
      <c r="A4" s="32">
        <v>1</v>
      </c>
      <c r="B4" s="32" t="s">
        <v>254</v>
      </c>
      <c r="C4" s="32" t="s">
        <v>255</v>
      </c>
      <c r="D4" s="34" t="s">
        <v>12</v>
      </c>
      <c r="E4" s="35">
        <f>1048</f>
        <v>1048</v>
      </c>
      <c r="F4" s="35">
        <f>954</f>
        <v>954</v>
      </c>
      <c r="G4" s="36" t="s">
        <v>12</v>
      </c>
      <c r="H4" s="36" t="s">
        <v>12</v>
      </c>
      <c r="I4" s="34">
        <f>580+280</f>
        <v>860</v>
      </c>
      <c r="J4" s="34">
        <f>676</f>
        <v>676</v>
      </c>
      <c r="K4" s="34">
        <f>1040</f>
        <v>1040</v>
      </c>
      <c r="L4" s="37"/>
      <c r="M4" s="36" t="s">
        <v>12</v>
      </c>
      <c r="N4" s="52" t="s">
        <v>12</v>
      </c>
      <c r="O4" s="70">
        <f>SUM(D4:N4)</f>
        <v>4578</v>
      </c>
    </row>
    <row r="5" spans="1:15" ht="60.75" thickBot="1" x14ac:dyDescent="0.3">
      <c r="A5" s="25">
        <f>A4+1</f>
        <v>2</v>
      </c>
      <c r="B5" s="26" t="s">
        <v>256</v>
      </c>
      <c r="C5" s="25" t="s">
        <v>257</v>
      </c>
      <c r="D5" s="38" t="s">
        <v>12</v>
      </c>
      <c r="E5" s="38" t="s">
        <v>12</v>
      </c>
      <c r="F5" s="38" t="s">
        <v>12</v>
      </c>
      <c r="G5" s="38" t="s">
        <v>12</v>
      </c>
      <c r="H5" s="39">
        <f>11042</f>
        <v>11042</v>
      </c>
      <c r="I5" s="39">
        <f>3256</f>
        <v>3256</v>
      </c>
      <c r="J5" s="39">
        <f>3160</f>
        <v>3160</v>
      </c>
      <c r="K5" s="38" t="s">
        <v>12</v>
      </c>
      <c r="L5" s="40" t="s">
        <v>12</v>
      </c>
      <c r="M5" s="38" t="s">
        <v>12</v>
      </c>
      <c r="N5" s="52" t="s">
        <v>12</v>
      </c>
      <c r="O5" s="70">
        <f t="shared" ref="O5:O49" si="0">SUM(D5:N5)</f>
        <v>17458</v>
      </c>
    </row>
    <row r="6" spans="1:15" ht="75.75" thickBot="1" x14ac:dyDescent="0.3">
      <c r="A6" s="25">
        <f t="shared" ref="A6:A49" si="1">A5+1</f>
        <v>3</v>
      </c>
      <c r="B6" s="26" t="s">
        <v>258</v>
      </c>
      <c r="C6" s="25" t="s">
        <v>259</v>
      </c>
      <c r="D6" s="38" t="s">
        <v>12</v>
      </c>
      <c r="E6" s="39">
        <f>2222</f>
        <v>2222</v>
      </c>
      <c r="F6" s="38" t="s">
        <v>12</v>
      </c>
      <c r="G6" s="38" t="s">
        <v>12</v>
      </c>
      <c r="H6" s="39">
        <f>2148</f>
        <v>2148</v>
      </c>
      <c r="I6" s="39">
        <f>56</f>
        <v>56</v>
      </c>
      <c r="J6" s="38" t="s">
        <v>12</v>
      </c>
      <c r="K6" s="39">
        <f>254</f>
        <v>254</v>
      </c>
      <c r="L6" s="41" t="s">
        <v>12</v>
      </c>
      <c r="M6" s="38" t="s">
        <v>12</v>
      </c>
      <c r="N6" s="52" t="s">
        <v>12</v>
      </c>
      <c r="O6" s="70">
        <f t="shared" si="0"/>
        <v>4680</v>
      </c>
    </row>
    <row r="7" spans="1:15" ht="60.75" thickBot="1" x14ac:dyDescent="0.3">
      <c r="A7" s="25">
        <f t="shared" si="1"/>
        <v>4</v>
      </c>
      <c r="B7" s="26" t="s">
        <v>260</v>
      </c>
      <c r="C7" s="25" t="s">
        <v>261</v>
      </c>
      <c r="D7" s="38" t="s">
        <v>12</v>
      </c>
      <c r="E7" s="38" t="s">
        <v>12</v>
      </c>
      <c r="F7" s="38" t="s">
        <v>12</v>
      </c>
      <c r="G7" s="38" t="s">
        <v>12</v>
      </c>
      <c r="H7" s="38" t="s">
        <v>12</v>
      </c>
      <c r="I7" s="39">
        <f>648+2110</f>
        <v>2758</v>
      </c>
      <c r="J7" s="38" t="s">
        <v>12</v>
      </c>
      <c r="K7" s="39">
        <f>1212</f>
        <v>1212</v>
      </c>
      <c r="L7" s="41" t="s">
        <v>12</v>
      </c>
      <c r="M7" s="38" t="s">
        <v>12</v>
      </c>
      <c r="N7" s="52" t="s">
        <v>12</v>
      </c>
      <c r="O7" s="70">
        <f t="shared" si="0"/>
        <v>3970</v>
      </c>
    </row>
    <row r="8" spans="1:15" ht="75.75" thickBot="1" x14ac:dyDescent="0.3">
      <c r="A8" s="25">
        <f t="shared" si="1"/>
        <v>5</v>
      </c>
      <c r="B8" s="26" t="s">
        <v>262</v>
      </c>
      <c r="C8" s="25" t="s">
        <v>263</v>
      </c>
      <c r="D8" s="38" t="s">
        <v>12</v>
      </c>
      <c r="E8" s="38" t="s">
        <v>12</v>
      </c>
      <c r="F8" s="38" t="s">
        <v>12</v>
      </c>
      <c r="G8" s="38" t="s">
        <v>12</v>
      </c>
      <c r="H8" s="38" t="s">
        <v>12</v>
      </c>
      <c r="I8" s="39">
        <f>2200+802</f>
        <v>3002</v>
      </c>
      <c r="J8" s="38" t="s">
        <v>12</v>
      </c>
      <c r="K8" s="39">
        <f>930</f>
        <v>930</v>
      </c>
      <c r="L8" s="41" t="s">
        <v>12</v>
      </c>
      <c r="M8" s="38" t="s">
        <v>12</v>
      </c>
      <c r="N8" s="52" t="s">
        <v>12</v>
      </c>
      <c r="O8" s="70">
        <f t="shared" si="0"/>
        <v>3932</v>
      </c>
    </row>
    <row r="9" spans="1:15" ht="60.75" thickBot="1" x14ac:dyDescent="0.3">
      <c r="A9" s="25">
        <f t="shared" si="1"/>
        <v>6</v>
      </c>
      <c r="B9" s="26" t="s">
        <v>264</v>
      </c>
      <c r="C9" s="25" t="s">
        <v>265</v>
      </c>
      <c r="D9" s="38" t="s">
        <v>12</v>
      </c>
      <c r="E9" s="38" t="s">
        <v>12</v>
      </c>
      <c r="F9" s="38" t="s">
        <v>12</v>
      </c>
      <c r="G9" s="38" t="s">
        <v>12</v>
      </c>
      <c r="H9" s="38" t="s">
        <v>12</v>
      </c>
      <c r="I9" s="38" t="s">
        <v>12</v>
      </c>
      <c r="J9" s="39">
        <f>1712+630+538</f>
        <v>2880</v>
      </c>
      <c r="K9" s="38" t="s">
        <v>12</v>
      </c>
      <c r="L9" s="40" t="s">
        <v>12</v>
      </c>
      <c r="M9" s="38" t="s">
        <v>12</v>
      </c>
      <c r="N9" s="52" t="s">
        <v>12</v>
      </c>
      <c r="O9" s="70">
        <f t="shared" si="0"/>
        <v>2880</v>
      </c>
    </row>
    <row r="10" spans="1:15" ht="75.75" thickBot="1" x14ac:dyDescent="0.3">
      <c r="A10" s="25">
        <f t="shared" si="1"/>
        <v>7</v>
      </c>
      <c r="B10" s="26" t="s">
        <v>266</v>
      </c>
      <c r="C10" s="25" t="s">
        <v>267</v>
      </c>
      <c r="D10" s="38" t="s">
        <v>12</v>
      </c>
      <c r="E10" s="39">
        <f>2924</f>
        <v>2924</v>
      </c>
      <c r="F10" s="38" t="s">
        <v>12</v>
      </c>
      <c r="G10" s="38" t="s">
        <v>12</v>
      </c>
      <c r="H10" s="38" t="s">
        <v>12</v>
      </c>
      <c r="I10" s="39">
        <f>2320+1124</f>
        <v>3444</v>
      </c>
      <c r="J10" s="38" t="s">
        <v>12</v>
      </c>
      <c r="K10" s="38" t="s">
        <v>12</v>
      </c>
      <c r="L10" s="41">
        <f>50+616+1386</f>
        <v>2052</v>
      </c>
      <c r="M10" s="38" t="s">
        <v>12</v>
      </c>
      <c r="N10" s="52" t="s">
        <v>12</v>
      </c>
      <c r="O10" s="70">
        <f t="shared" si="0"/>
        <v>8420</v>
      </c>
    </row>
    <row r="11" spans="1:15" ht="75.75" thickBot="1" x14ac:dyDescent="0.3">
      <c r="A11" s="25">
        <f t="shared" si="1"/>
        <v>8</v>
      </c>
      <c r="B11" s="26" t="s">
        <v>268</v>
      </c>
      <c r="C11" s="25" t="s">
        <v>269</v>
      </c>
      <c r="D11" s="38" t="s">
        <v>12</v>
      </c>
      <c r="E11" s="39">
        <f>1116</f>
        <v>1116</v>
      </c>
      <c r="F11" s="38" t="s">
        <v>12</v>
      </c>
      <c r="G11" s="38" t="s">
        <v>12</v>
      </c>
      <c r="H11" s="38" t="s">
        <v>12</v>
      </c>
      <c r="I11" s="39" t="s">
        <v>12</v>
      </c>
      <c r="J11" s="38" t="s">
        <v>12</v>
      </c>
      <c r="K11" s="38" t="s">
        <v>12</v>
      </c>
      <c r="L11" s="41">
        <f>606+16+704</f>
        <v>1326</v>
      </c>
      <c r="M11" s="38" t="s">
        <v>12</v>
      </c>
      <c r="N11" s="52" t="s">
        <v>12</v>
      </c>
      <c r="O11" s="70">
        <f t="shared" si="0"/>
        <v>2442</v>
      </c>
    </row>
    <row r="12" spans="1:15" ht="75.75" thickBot="1" x14ac:dyDescent="0.3">
      <c r="A12" s="25">
        <f t="shared" si="1"/>
        <v>9</v>
      </c>
      <c r="B12" s="27" t="s">
        <v>268</v>
      </c>
      <c r="C12" s="28" t="s">
        <v>270</v>
      </c>
      <c r="D12" s="42"/>
      <c r="E12" s="43">
        <f>1994</f>
        <v>1994</v>
      </c>
      <c r="F12" s="42"/>
      <c r="G12" s="42"/>
      <c r="H12" s="42"/>
      <c r="I12" s="43">
        <f>1742</f>
        <v>1742</v>
      </c>
      <c r="J12" s="42"/>
      <c r="K12" s="42"/>
      <c r="L12" s="43">
        <f>984+174+1606</f>
        <v>2764</v>
      </c>
      <c r="M12" s="42"/>
      <c r="N12" s="53"/>
      <c r="O12" s="70">
        <f t="shared" si="0"/>
        <v>6500</v>
      </c>
    </row>
    <row r="13" spans="1:15" ht="60.75" thickBot="1" x14ac:dyDescent="0.3">
      <c r="A13" s="25">
        <f t="shared" si="1"/>
        <v>10</v>
      </c>
      <c r="B13" s="27" t="s">
        <v>268</v>
      </c>
      <c r="C13" s="28" t="s">
        <v>271</v>
      </c>
      <c r="D13" s="42"/>
      <c r="E13" s="43">
        <f>1268</f>
        <v>1268</v>
      </c>
      <c r="F13" s="42"/>
      <c r="G13" s="42"/>
      <c r="H13" s="42"/>
      <c r="I13" s="43">
        <f>1354</f>
        <v>1354</v>
      </c>
      <c r="J13" s="42"/>
      <c r="K13" s="42"/>
      <c r="L13" s="43">
        <f>734+188+1108</f>
        <v>2030</v>
      </c>
      <c r="M13" s="42"/>
      <c r="N13" s="53"/>
      <c r="O13" s="70">
        <f t="shared" si="0"/>
        <v>4652</v>
      </c>
    </row>
    <row r="14" spans="1:15" ht="90.75" thickBot="1" x14ac:dyDescent="0.3">
      <c r="A14" s="25">
        <f t="shared" si="1"/>
        <v>11</v>
      </c>
      <c r="B14" s="26" t="s">
        <v>272</v>
      </c>
      <c r="C14" s="25" t="s">
        <v>273</v>
      </c>
      <c r="D14" s="38" t="s">
        <v>12</v>
      </c>
      <c r="E14" s="38" t="s">
        <v>12</v>
      </c>
      <c r="F14" s="39">
        <f>708</f>
        <v>708</v>
      </c>
      <c r="G14" s="38" t="s">
        <v>12</v>
      </c>
      <c r="H14" s="39">
        <f>226</f>
        <v>226</v>
      </c>
      <c r="I14" s="38" t="s">
        <v>12</v>
      </c>
      <c r="J14" s="39">
        <f>168</f>
        <v>168</v>
      </c>
      <c r="K14" s="38" t="s">
        <v>12</v>
      </c>
      <c r="L14" s="38" t="s">
        <v>12</v>
      </c>
      <c r="M14" s="38" t="s">
        <v>12</v>
      </c>
      <c r="N14" s="52" t="s">
        <v>12</v>
      </c>
      <c r="O14" s="70">
        <f t="shared" si="0"/>
        <v>1102</v>
      </c>
    </row>
    <row r="15" spans="1:15" ht="75.75" thickBot="1" x14ac:dyDescent="0.3">
      <c r="A15" s="25">
        <f t="shared" si="1"/>
        <v>12</v>
      </c>
      <c r="B15" s="26" t="s">
        <v>274</v>
      </c>
      <c r="C15" s="25" t="s">
        <v>275</v>
      </c>
      <c r="D15" s="38" t="s">
        <v>12</v>
      </c>
      <c r="E15" s="38" t="s">
        <v>12</v>
      </c>
      <c r="F15" s="38" t="s">
        <v>12</v>
      </c>
      <c r="G15" s="38" t="s">
        <v>12</v>
      </c>
      <c r="H15" s="39">
        <f>1388+4454</f>
        <v>5842</v>
      </c>
      <c r="I15" s="38" t="s">
        <v>12</v>
      </c>
      <c r="J15" s="39">
        <f>1168</f>
        <v>1168</v>
      </c>
      <c r="K15" s="38" t="s">
        <v>12</v>
      </c>
      <c r="L15" s="38" t="s">
        <v>12</v>
      </c>
      <c r="M15" s="38" t="s">
        <v>12</v>
      </c>
      <c r="N15" s="52" t="s">
        <v>12</v>
      </c>
      <c r="O15" s="70">
        <f t="shared" si="0"/>
        <v>7010</v>
      </c>
    </row>
    <row r="16" spans="1:15" ht="60.75" thickBot="1" x14ac:dyDescent="0.3">
      <c r="A16" s="25">
        <f t="shared" si="1"/>
        <v>13</v>
      </c>
      <c r="B16" s="26" t="s">
        <v>276</v>
      </c>
      <c r="C16" s="25" t="s">
        <v>277</v>
      </c>
      <c r="D16" s="38" t="s">
        <v>12</v>
      </c>
      <c r="E16" s="38" t="s">
        <v>12</v>
      </c>
      <c r="F16" s="38" t="s">
        <v>12</v>
      </c>
      <c r="G16" s="38" t="s">
        <v>12</v>
      </c>
      <c r="H16" s="38" t="s">
        <v>12</v>
      </c>
      <c r="I16" s="38" t="s">
        <v>12</v>
      </c>
      <c r="J16" s="38" t="s">
        <v>12</v>
      </c>
      <c r="K16" s="39">
        <f>712+1256+444</f>
        <v>2412</v>
      </c>
      <c r="L16" s="38" t="s">
        <v>12</v>
      </c>
      <c r="M16" s="38" t="s">
        <v>12</v>
      </c>
      <c r="N16" s="52" t="s">
        <v>12</v>
      </c>
      <c r="O16" s="70">
        <f t="shared" si="0"/>
        <v>2412</v>
      </c>
    </row>
    <row r="17" spans="1:15" ht="75.75" thickBot="1" x14ac:dyDescent="0.3">
      <c r="A17" s="25">
        <f t="shared" si="1"/>
        <v>14</v>
      </c>
      <c r="B17" s="26" t="s">
        <v>278</v>
      </c>
      <c r="C17" s="25" t="s">
        <v>279</v>
      </c>
      <c r="D17" s="38" t="s">
        <v>12</v>
      </c>
      <c r="E17" s="39">
        <f>2028</f>
        <v>2028</v>
      </c>
      <c r="F17" s="39">
        <f>2142</f>
        <v>2142</v>
      </c>
      <c r="G17" s="38" t="s">
        <v>12</v>
      </c>
      <c r="H17" s="39">
        <f>1220+296</f>
        <v>1516</v>
      </c>
      <c r="I17" s="39">
        <f>470</f>
        <v>470</v>
      </c>
      <c r="J17" s="39">
        <f>1250</f>
        <v>1250</v>
      </c>
      <c r="K17" s="38" t="s">
        <v>12</v>
      </c>
      <c r="L17" s="38" t="s">
        <v>12</v>
      </c>
      <c r="M17" s="38" t="s">
        <v>12</v>
      </c>
      <c r="N17" s="52" t="s">
        <v>12</v>
      </c>
      <c r="O17" s="70">
        <f t="shared" si="0"/>
        <v>7406</v>
      </c>
    </row>
    <row r="18" spans="1:15" ht="75.75" thickBot="1" x14ac:dyDescent="0.3">
      <c r="A18" s="25">
        <f t="shared" si="1"/>
        <v>15</v>
      </c>
      <c r="B18" s="26" t="s">
        <v>280</v>
      </c>
      <c r="C18" s="25" t="s">
        <v>281</v>
      </c>
      <c r="D18" s="38" t="s">
        <v>12</v>
      </c>
      <c r="E18" s="39">
        <f>118</f>
        <v>118</v>
      </c>
      <c r="F18" s="38" t="s">
        <v>12</v>
      </c>
      <c r="G18" s="38" t="s">
        <v>12</v>
      </c>
      <c r="H18" s="39">
        <f>96+52</f>
        <v>148</v>
      </c>
      <c r="I18" s="39">
        <f>30</f>
        <v>30</v>
      </c>
      <c r="J18" s="39">
        <f>62</f>
        <v>62</v>
      </c>
      <c r="K18" s="38" t="s">
        <v>12</v>
      </c>
      <c r="L18" s="38" t="s">
        <v>12</v>
      </c>
      <c r="M18" s="38" t="s">
        <v>12</v>
      </c>
      <c r="N18" s="52" t="s">
        <v>12</v>
      </c>
      <c r="O18" s="70">
        <f t="shared" si="0"/>
        <v>358</v>
      </c>
    </row>
    <row r="19" spans="1:15" ht="60.75" thickBot="1" x14ac:dyDescent="0.3">
      <c r="A19" s="25">
        <f t="shared" si="1"/>
        <v>16</v>
      </c>
      <c r="B19" s="26" t="s">
        <v>282</v>
      </c>
      <c r="C19" s="25" t="s">
        <v>283</v>
      </c>
      <c r="D19" s="38" t="s">
        <v>12</v>
      </c>
      <c r="E19" s="38" t="s">
        <v>12</v>
      </c>
      <c r="F19" s="38" t="s">
        <v>12</v>
      </c>
      <c r="G19" s="38" t="s">
        <v>12</v>
      </c>
      <c r="H19" s="39" t="s">
        <v>12</v>
      </c>
      <c r="I19" s="39">
        <f>1798+504</f>
        <v>2302</v>
      </c>
      <c r="J19" s="38" t="s">
        <v>12</v>
      </c>
      <c r="K19" s="39">
        <f>820</f>
        <v>820</v>
      </c>
      <c r="L19" s="38" t="s">
        <v>12</v>
      </c>
      <c r="M19" s="38" t="s">
        <v>12</v>
      </c>
      <c r="N19" s="52" t="s">
        <v>12</v>
      </c>
      <c r="O19" s="70">
        <f t="shared" si="0"/>
        <v>3122</v>
      </c>
    </row>
    <row r="20" spans="1:15" ht="60.75" thickBot="1" x14ac:dyDescent="0.3">
      <c r="A20" s="25">
        <f t="shared" si="1"/>
        <v>17</v>
      </c>
      <c r="B20" s="26" t="s">
        <v>284</v>
      </c>
      <c r="C20" s="25" t="s">
        <v>285</v>
      </c>
      <c r="D20" s="38" t="s">
        <v>12</v>
      </c>
      <c r="E20" s="38" t="s">
        <v>12</v>
      </c>
      <c r="F20" s="38" t="s">
        <v>12</v>
      </c>
      <c r="G20" s="38" t="s">
        <v>12</v>
      </c>
      <c r="H20" s="44" t="s">
        <v>12</v>
      </c>
      <c r="I20" s="39">
        <f>1884+604</f>
        <v>2488</v>
      </c>
      <c r="J20" s="38" t="s">
        <v>12</v>
      </c>
      <c r="K20" s="38" t="s">
        <v>12</v>
      </c>
      <c r="L20" s="38" t="s">
        <v>12</v>
      </c>
      <c r="M20" s="38" t="s">
        <v>12</v>
      </c>
      <c r="N20" s="52" t="s">
        <v>12</v>
      </c>
      <c r="O20" s="70">
        <f t="shared" si="0"/>
        <v>2488</v>
      </c>
    </row>
    <row r="21" spans="1:15" ht="60.75" thickBot="1" x14ac:dyDescent="0.3">
      <c r="A21" s="25">
        <f t="shared" si="1"/>
        <v>18</v>
      </c>
      <c r="B21" s="26" t="s">
        <v>286</v>
      </c>
      <c r="C21" s="25" t="s">
        <v>287</v>
      </c>
      <c r="D21" s="38" t="s">
        <v>12</v>
      </c>
      <c r="E21" s="39">
        <f>518</f>
        <v>518</v>
      </c>
      <c r="F21" s="38" t="s">
        <v>12</v>
      </c>
      <c r="G21" s="38" t="s">
        <v>12</v>
      </c>
      <c r="H21" s="44" t="s">
        <v>12</v>
      </c>
      <c r="I21" s="39">
        <f>452+372</f>
        <v>824</v>
      </c>
      <c r="J21" s="38" t="s">
        <v>12</v>
      </c>
      <c r="K21" s="39">
        <f>494</f>
        <v>494</v>
      </c>
      <c r="L21" s="38" t="s">
        <v>12</v>
      </c>
      <c r="M21" s="38" t="s">
        <v>12</v>
      </c>
      <c r="N21" s="52" t="s">
        <v>12</v>
      </c>
      <c r="O21" s="70">
        <f t="shared" si="0"/>
        <v>1836</v>
      </c>
    </row>
    <row r="22" spans="1:15" ht="75.75" thickBot="1" x14ac:dyDescent="0.3">
      <c r="A22" s="25">
        <f t="shared" si="1"/>
        <v>19</v>
      </c>
      <c r="B22" s="26" t="s">
        <v>288</v>
      </c>
      <c r="C22" s="25" t="s">
        <v>289</v>
      </c>
      <c r="D22" s="38" t="s">
        <v>12</v>
      </c>
      <c r="E22" s="39">
        <f>2052</f>
        <v>2052</v>
      </c>
      <c r="F22" s="38" t="s">
        <v>12</v>
      </c>
      <c r="G22" s="39">
        <v>2014</v>
      </c>
      <c r="H22" s="39">
        <f>1084</f>
        <v>1084</v>
      </c>
      <c r="I22" s="39" t="s">
        <v>12</v>
      </c>
      <c r="J22" s="39">
        <f>206</f>
        <v>206</v>
      </c>
      <c r="K22" s="39">
        <f>1594</f>
        <v>1594</v>
      </c>
      <c r="L22" s="38" t="s">
        <v>12</v>
      </c>
      <c r="M22" s="38" t="s">
        <v>12</v>
      </c>
      <c r="N22" s="52" t="s">
        <v>12</v>
      </c>
      <c r="O22" s="70">
        <f t="shared" si="0"/>
        <v>6950</v>
      </c>
    </row>
    <row r="23" spans="1:15" ht="75.75" thickBot="1" x14ac:dyDescent="0.3">
      <c r="A23" s="25">
        <f t="shared" si="1"/>
        <v>20</v>
      </c>
      <c r="B23" s="26" t="s">
        <v>290</v>
      </c>
      <c r="C23" s="25" t="s">
        <v>291</v>
      </c>
      <c r="D23" s="38" t="s">
        <v>12</v>
      </c>
      <c r="E23" s="39">
        <f>2794</f>
        <v>2794</v>
      </c>
      <c r="F23" s="38" t="s">
        <v>12</v>
      </c>
      <c r="G23" s="38" t="s">
        <v>12</v>
      </c>
      <c r="H23" s="39">
        <f>3006+1678</f>
        <v>4684</v>
      </c>
      <c r="I23" s="39">
        <f>590</f>
        <v>590</v>
      </c>
      <c r="J23" s="39">
        <f>2662</f>
        <v>2662</v>
      </c>
      <c r="K23" s="38" t="s">
        <v>12</v>
      </c>
      <c r="L23" s="38" t="s">
        <v>12</v>
      </c>
      <c r="M23" s="38" t="s">
        <v>12</v>
      </c>
      <c r="N23" s="52" t="s">
        <v>12</v>
      </c>
      <c r="O23" s="70">
        <f t="shared" si="0"/>
        <v>10730</v>
      </c>
    </row>
    <row r="24" spans="1:15" ht="75.75" thickBot="1" x14ac:dyDescent="0.3">
      <c r="A24" s="25">
        <f t="shared" si="1"/>
        <v>21</v>
      </c>
      <c r="B24" s="27" t="s">
        <v>290</v>
      </c>
      <c r="C24" s="28" t="s">
        <v>292</v>
      </c>
      <c r="D24" s="42"/>
      <c r="E24" s="45">
        <f>1740</f>
        <v>1740</v>
      </c>
      <c r="F24" s="42"/>
      <c r="G24" s="42"/>
      <c r="H24" s="45">
        <f>1104+2214</f>
        <v>3318</v>
      </c>
      <c r="I24" s="45">
        <f>792</f>
        <v>792</v>
      </c>
      <c r="J24" s="45">
        <f>1412</f>
        <v>1412</v>
      </c>
      <c r="K24" s="42"/>
      <c r="L24" s="42"/>
      <c r="M24" s="42"/>
      <c r="N24" s="53"/>
      <c r="O24" s="70">
        <f t="shared" si="0"/>
        <v>7262</v>
      </c>
    </row>
    <row r="25" spans="1:15" ht="60.75" thickBot="1" x14ac:dyDescent="0.3">
      <c r="A25" s="25">
        <f t="shared" si="1"/>
        <v>22</v>
      </c>
      <c r="B25" s="27" t="s">
        <v>293</v>
      </c>
      <c r="C25" s="28" t="s">
        <v>287</v>
      </c>
      <c r="D25" s="42"/>
      <c r="E25" s="45">
        <f>518</f>
        <v>518</v>
      </c>
      <c r="F25" s="42"/>
      <c r="G25" s="42"/>
      <c r="H25" s="45"/>
      <c r="I25" s="45">
        <f>452+372</f>
        <v>824</v>
      </c>
      <c r="J25" s="45"/>
      <c r="K25" s="45">
        <f>494</f>
        <v>494</v>
      </c>
      <c r="L25" s="42"/>
      <c r="M25" s="42"/>
      <c r="N25" s="53"/>
      <c r="O25" s="70">
        <f t="shared" si="0"/>
        <v>1836</v>
      </c>
    </row>
    <row r="26" spans="1:15" ht="60.75" thickBot="1" x14ac:dyDescent="0.3">
      <c r="A26" s="25">
        <f t="shared" si="1"/>
        <v>23</v>
      </c>
      <c r="B26" s="26" t="s">
        <v>294</v>
      </c>
      <c r="C26" s="25" t="s">
        <v>295</v>
      </c>
      <c r="D26" s="38" t="s">
        <v>12</v>
      </c>
      <c r="E26" s="45">
        <f>13473</f>
        <v>13473</v>
      </c>
      <c r="F26" s="38" t="s">
        <v>12</v>
      </c>
      <c r="G26" s="38" t="s">
        <v>12</v>
      </c>
      <c r="H26" s="38" t="s">
        <v>12</v>
      </c>
      <c r="I26" s="39">
        <f>12132+7011</f>
        <v>19143</v>
      </c>
      <c r="J26" s="39">
        <f>6852</f>
        <v>6852</v>
      </c>
      <c r="K26" s="38" t="s">
        <v>12</v>
      </c>
      <c r="L26" s="38" t="s">
        <v>12</v>
      </c>
      <c r="M26" s="38" t="s">
        <v>12</v>
      </c>
      <c r="N26" s="52" t="s">
        <v>12</v>
      </c>
      <c r="O26" s="70">
        <f t="shared" si="0"/>
        <v>39468</v>
      </c>
    </row>
    <row r="27" spans="1:15" ht="60.75" thickBot="1" x14ac:dyDescent="0.3">
      <c r="A27" s="25">
        <f t="shared" si="1"/>
        <v>24</v>
      </c>
      <c r="B27" s="26" t="s">
        <v>296</v>
      </c>
      <c r="C27" s="25" t="s">
        <v>297</v>
      </c>
      <c r="D27" s="38" t="s">
        <v>12</v>
      </c>
      <c r="E27" s="39">
        <f>12468</f>
        <v>12468</v>
      </c>
      <c r="F27" s="39">
        <f>12930</f>
        <v>12930</v>
      </c>
      <c r="G27" s="39">
        <f>7014</f>
        <v>7014</v>
      </c>
      <c r="H27" s="39">
        <f>510</f>
        <v>510</v>
      </c>
      <c r="I27" s="39">
        <f>1611</f>
        <v>1611</v>
      </c>
      <c r="J27" s="39">
        <f>4926</f>
        <v>4926</v>
      </c>
      <c r="K27" s="38" t="s">
        <v>12</v>
      </c>
      <c r="L27" s="38" t="s">
        <v>12</v>
      </c>
      <c r="M27" s="38" t="s">
        <v>12</v>
      </c>
      <c r="N27" s="52" t="s">
        <v>12</v>
      </c>
      <c r="O27" s="70">
        <f t="shared" si="0"/>
        <v>39459</v>
      </c>
    </row>
    <row r="28" spans="1:15" ht="60.75" thickBot="1" x14ac:dyDescent="0.3">
      <c r="A28" s="25">
        <f t="shared" si="1"/>
        <v>25</v>
      </c>
      <c r="B28" s="26" t="s">
        <v>298</v>
      </c>
      <c r="C28" s="25" t="s">
        <v>299</v>
      </c>
      <c r="D28" s="38" t="s">
        <v>12</v>
      </c>
      <c r="E28" s="38" t="s">
        <v>12</v>
      </c>
      <c r="F28" s="39">
        <f>248</f>
        <v>248</v>
      </c>
      <c r="G28" s="38" t="s">
        <v>12</v>
      </c>
      <c r="H28" s="39" t="s">
        <v>12</v>
      </c>
      <c r="I28" s="38" t="s">
        <v>12</v>
      </c>
      <c r="J28" s="39" t="s">
        <v>12</v>
      </c>
      <c r="K28" s="38" t="s">
        <v>12</v>
      </c>
      <c r="L28" s="38" t="s">
        <v>12</v>
      </c>
      <c r="M28" s="38" t="s">
        <v>12</v>
      </c>
      <c r="N28" s="52" t="s">
        <v>12</v>
      </c>
      <c r="O28" s="70">
        <f t="shared" si="0"/>
        <v>248</v>
      </c>
    </row>
    <row r="29" spans="1:15" ht="45.75" thickBot="1" x14ac:dyDescent="0.3">
      <c r="A29" s="25">
        <f t="shared" si="1"/>
        <v>26</v>
      </c>
      <c r="B29" s="26" t="s">
        <v>300</v>
      </c>
      <c r="C29" s="25" t="s">
        <v>301</v>
      </c>
      <c r="D29" s="38" t="s">
        <v>12</v>
      </c>
      <c r="E29" s="38" t="s">
        <v>12</v>
      </c>
      <c r="F29" s="38" t="s">
        <v>12</v>
      </c>
      <c r="G29" s="38" t="s">
        <v>12</v>
      </c>
      <c r="H29" s="39">
        <f>754</f>
        <v>754</v>
      </c>
      <c r="I29" s="38" t="s">
        <v>12</v>
      </c>
      <c r="J29" s="39">
        <f>140+312</f>
        <v>452</v>
      </c>
      <c r="K29" s="38" t="s">
        <v>12</v>
      </c>
      <c r="L29" s="38" t="s">
        <v>12</v>
      </c>
      <c r="M29" s="38" t="s">
        <v>12</v>
      </c>
      <c r="N29" s="52" t="s">
        <v>12</v>
      </c>
      <c r="O29" s="70">
        <f t="shared" si="0"/>
        <v>1206</v>
      </c>
    </row>
    <row r="30" spans="1:15" ht="60.75" thickBot="1" x14ac:dyDescent="0.3">
      <c r="A30" s="25">
        <f t="shared" si="1"/>
        <v>27</v>
      </c>
      <c r="B30" s="26" t="s">
        <v>302</v>
      </c>
      <c r="C30" s="25" t="s">
        <v>303</v>
      </c>
      <c r="D30" s="38" t="s">
        <v>12</v>
      </c>
      <c r="E30" s="38" t="s">
        <v>12</v>
      </c>
      <c r="F30" s="39">
        <f>468</f>
        <v>468</v>
      </c>
      <c r="G30" s="38" t="s">
        <v>12</v>
      </c>
      <c r="H30" s="38" t="s">
        <v>12</v>
      </c>
      <c r="I30" s="38" t="s">
        <v>12</v>
      </c>
      <c r="J30" s="39">
        <f>142+164</f>
        <v>306</v>
      </c>
      <c r="K30" s="38" t="s">
        <v>12</v>
      </c>
      <c r="L30" s="38" t="s">
        <v>12</v>
      </c>
      <c r="M30" s="38" t="s">
        <v>12</v>
      </c>
      <c r="N30" s="52" t="s">
        <v>12</v>
      </c>
      <c r="O30" s="70">
        <f t="shared" si="0"/>
        <v>774</v>
      </c>
    </row>
    <row r="31" spans="1:15" ht="60.75" thickBot="1" x14ac:dyDescent="0.3">
      <c r="A31" s="25">
        <f t="shared" si="1"/>
        <v>28</v>
      </c>
      <c r="B31" s="26" t="s">
        <v>304</v>
      </c>
      <c r="C31" s="25" t="s">
        <v>305</v>
      </c>
      <c r="D31" s="38" t="s">
        <v>12</v>
      </c>
      <c r="E31" s="38" t="s">
        <v>12</v>
      </c>
      <c r="F31" s="39">
        <f>880</f>
        <v>880</v>
      </c>
      <c r="G31" s="38" t="s">
        <v>12</v>
      </c>
      <c r="H31" s="38" t="s">
        <v>12</v>
      </c>
      <c r="I31" s="38" t="s">
        <v>12</v>
      </c>
      <c r="J31" s="38" t="s">
        <v>12</v>
      </c>
      <c r="K31" s="39">
        <f>270+228</f>
        <v>498</v>
      </c>
      <c r="L31" s="38" t="s">
        <v>12</v>
      </c>
      <c r="M31" s="38" t="s">
        <v>12</v>
      </c>
      <c r="N31" s="52" t="s">
        <v>12</v>
      </c>
      <c r="O31" s="70">
        <f t="shared" si="0"/>
        <v>1378</v>
      </c>
    </row>
    <row r="32" spans="1:15" ht="45.75" thickBot="1" x14ac:dyDescent="0.3">
      <c r="A32" s="25">
        <f t="shared" si="1"/>
        <v>29</v>
      </c>
      <c r="B32" s="26" t="s">
        <v>306</v>
      </c>
      <c r="C32" s="25" t="s">
        <v>307</v>
      </c>
      <c r="D32" s="38" t="s">
        <v>12</v>
      </c>
      <c r="E32" s="38" t="s">
        <v>12</v>
      </c>
      <c r="F32" s="38" t="s">
        <v>12</v>
      </c>
      <c r="G32" s="38" t="s">
        <v>12</v>
      </c>
      <c r="H32" s="39">
        <f>1394+1130</f>
        <v>2524</v>
      </c>
      <c r="I32" s="39">
        <f>900</f>
        <v>900</v>
      </c>
      <c r="J32" s="39">
        <f>1154</f>
        <v>1154</v>
      </c>
      <c r="K32" s="38" t="s">
        <v>12</v>
      </c>
      <c r="L32" s="38" t="s">
        <v>12</v>
      </c>
      <c r="M32" s="38" t="s">
        <v>12</v>
      </c>
      <c r="N32" s="52" t="s">
        <v>12</v>
      </c>
      <c r="O32" s="70">
        <f t="shared" si="0"/>
        <v>4578</v>
      </c>
    </row>
    <row r="33" spans="1:15" ht="90.75" thickBot="1" x14ac:dyDescent="0.3">
      <c r="A33" s="25">
        <f t="shared" si="1"/>
        <v>30</v>
      </c>
      <c r="B33" s="26" t="s">
        <v>308</v>
      </c>
      <c r="C33" s="25" t="s">
        <v>309</v>
      </c>
      <c r="D33" s="42" t="s">
        <v>12</v>
      </c>
      <c r="E33" s="45"/>
      <c r="F33" s="45">
        <f>3536</f>
        <v>3536</v>
      </c>
      <c r="G33" s="42" t="s">
        <v>12</v>
      </c>
      <c r="H33" s="45"/>
      <c r="I33" s="42" t="s">
        <v>12</v>
      </c>
      <c r="J33" s="42" t="s">
        <v>12</v>
      </c>
      <c r="K33" s="42" t="s">
        <v>12</v>
      </c>
      <c r="L33" s="42" t="s">
        <v>12</v>
      </c>
      <c r="M33" s="42" t="s">
        <v>12</v>
      </c>
      <c r="N33" s="53" t="s">
        <v>12</v>
      </c>
      <c r="O33" s="70">
        <f t="shared" si="0"/>
        <v>3536</v>
      </c>
    </row>
    <row r="34" spans="1:15" ht="30.75" thickBot="1" x14ac:dyDescent="0.3">
      <c r="A34" s="25">
        <f t="shared" si="1"/>
        <v>31</v>
      </c>
      <c r="B34" s="26" t="s">
        <v>310</v>
      </c>
      <c r="C34" s="25" t="s">
        <v>311</v>
      </c>
      <c r="D34" s="38" t="s">
        <v>12</v>
      </c>
      <c r="E34" s="39">
        <f>584</f>
        <v>584</v>
      </c>
      <c r="F34" s="39">
        <f>624</f>
        <v>624</v>
      </c>
      <c r="G34" s="38" t="s">
        <v>12</v>
      </c>
      <c r="H34" s="39">
        <f>168</f>
        <v>168</v>
      </c>
      <c r="I34" s="38" t="s">
        <v>12</v>
      </c>
      <c r="J34" s="38" t="s">
        <v>12</v>
      </c>
      <c r="K34" s="38" t="s">
        <v>12</v>
      </c>
      <c r="L34" s="41" t="s">
        <v>12</v>
      </c>
      <c r="M34" s="38" t="s">
        <v>12</v>
      </c>
      <c r="N34" s="52" t="s">
        <v>12</v>
      </c>
      <c r="O34" s="70">
        <f t="shared" si="0"/>
        <v>1376</v>
      </c>
    </row>
    <row r="35" spans="1:15" ht="45.75" thickBot="1" x14ac:dyDescent="0.3">
      <c r="A35" s="25">
        <f t="shared" si="1"/>
        <v>32</v>
      </c>
      <c r="B35" s="26" t="s">
        <v>312</v>
      </c>
      <c r="C35" s="25" t="s">
        <v>313</v>
      </c>
      <c r="D35" s="38" t="s">
        <v>12</v>
      </c>
      <c r="E35" s="38" t="s">
        <v>12</v>
      </c>
      <c r="F35" s="39">
        <f>1312</f>
        <v>1312</v>
      </c>
      <c r="G35" s="38" t="s">
        <v>12</v>
      </c>
      <c r="H35" s="39" t="s">
        <v>12</v>
      </c>
      <c r="I35" s="38" t="s">
        <v>12</v>
      </c>
      <c r="J35" s="41">
        <f>230</f>
        <v>230</v>
      </c>
      <c r="K35" s="38" t="s">
        <v>12</v>
      </c>
      <c r="L35" s="41">
        <f>452+1054</f>
        <v>1506</v>
      </c>
      <c r="M35" s="38" t="s">
        <v>12</v>
      </c>
      <c r="N35" s="52" t="s">
        <v>12</v>
      </c>
      <c r="O35" s="70">
        <f t="shared" si="0"/>
        <v>3048</v>
      </c>
    </row>
    <row r="36" spans="1:15" ht="45.75" thickBot="1" x14ac:dyDescent="0.3">
      <c r="A36" s="25">
        <f t="shared" si="1"/>
        <v>33</v>
      </c>
      <c r="B36" s="26" t="s">
        <v>314</v>
      </c>
      <c r="C36" s="25" t="s">
        <v>315</v>
      </c>
      <c r="D36" s="38" t="s">
        <v>12</v>
      </c>
      <c r="E36" s="38" t="s">
        <v>12</v>
      </c>
      <c r="F36" s="38" t="s">
        <v>12</v>
      </c>
      <c r="G36" s="38" t="s">
        <v>12</v>
      </c>
      <c r="H36" s="39">
        <f>1956+6554</f>
        <v>8510</v>
      </c>
      <c r="I36" s="38" t="s">
        <v>12</v>
      </c>
      <c r="J36" s="38" t="s">
        <v>12</v>
      </c>
      <c r="K36" s="38" t="s">
        <v>12</v>
      </c>
      <c r="L36" s="41" t="s">
        <v>12</v>
      </c>
      <c r="M36" s="38" t="s">
        <v>12</v>
      </c>
      <c r="N36" s="52" t="s">
        <v>12</v>
      </c>
      <c r="O36" s="70">
        <f t="shared" si="0"/>
        <v>8510</v>
      </c>
    </row>
    <row r="37" spans="1:15" ht="45.75" thickBot="1" x14ac:dyDescent="0.3">
      <c r="A37" s="25">
        <f t="shared" si="1"/>
        <v>34</v>
      </c>
      <c r="B37" s="26" t="s">
        <v>316</v>
      </c>
      <c r="C37" s="25" t="s">
        <v>317</v>
      </c>
      <c r="D37" s="38" t="s">
        <v>12</v>
      </c>
      <c r="E37" s="39">
        <f>1420</f>
        <v>1420</v>
      </c>
      <c r="F37" s="38" t="s">
        <v>12</v>
      </c>
      <c r="G37" s="38" t="s">
        <v>12</v>
      </c>
      <c r="H37" s="38" t="s">
        <v>12</v>
      </c>
      <c r="I37" s="38" t="s">
        <v>12</v>
      </c>
      <c r="J37" s="39">
        <f>2330+950</f>
        <v>3280</v>
      </c>
      <c r="K37" s="38" t="s">
        <v>12</v>
      </c>
      <c r="L37" s="41">
        <f>696</f>
        <v>696</v>
      </c>
      <c r="M37" s="38" t="s">
        <v>12</v>
      </c>
      <c r="N37" s="52" t="s">
        <v>12</v>
      </c>
      <c r="O37" s="70">
        <f t="shared" si="0"/>
        <v>5396</v>
      </c>
    </row>
    <row r="38" spans="1:15" ht="45.75" thickBot="1" x14ac:dyDescent="0.3">
      <c r="A38" s="25">
        <f t="shared" si="1"/>
        <v>35</v>
      </c>
      <c r="B38" s="26" t="s">
        <v>318</v>
      </c>
      <c r="C38" s="25" t="s">
        <v>319</v>
      </c>
      <c r="D38" s="38" t="s">
        <v>12</v>
      </c>
      <c r="E38" s="39">
        <f>482</f>
        <v>482</v>
      </c>
      <c r="F38" s="38" t="s">
        <v>12</v>
      </c>
      <c r="G38" s="38" t="s">
        <v>12</v>
      </c>
      <c r="H38" s="38" t="s">
        <v>12</v>
      </c>
      <c r="I38" s="38" t="s">
        <v>12</v>
      </c>
      <c r="J38" s="38" t="s">
        <v>12</v>
      </c>
      <c r="K38" s="38" t="s">
        <v>12</v>
      </c>
      <c r="L38" s="38" t="s">
        <v>12</v>
      </c>
      <c r="M38" s="38" t="s">
        <v>12</v>
      </c>
      <c r="N38" s="52" t="s">
        <v>12</v>
      </c>
      <c r="O38" s="70">
        <f t="shared" si="0"/>
        <v>482</v>
      </c>
    </row>
    <row r="39" spans="1:15" ht="45.75" thickBot="1" x14ac:dyDescent="0.3">
      <c r="A39" s="25">
        <f t="shared" si="1"/>
        <v>36</v>
      </c>
      <c r="B39" s="29" t="s">
        <v>320</v>
      </c>
      <c r="C39" s="30" t="s">
        <v>321</v>
      </c>
      <c r="D39" s="46" t="s">
        <v>12</v>
      </c>
      <c r="E39" s="47">
        <f>712</f>
        <v>712</v>
      </c>
      <c r="F39" s="46" t="s">
        <v>12</v>
      </c>
      <c r="G39" s="46" t="s">
        <v>12</v>
      </c>
      <c r="H39" s="46" t="s">
        <v>12</v>
      </c>
      <c r="I39" s="46" t="s">
        <v>12</v>
      </c>
      <c r="J39" s="46" t="s">
        <v>12</v>
      </c>
      <c r="K39" s="46" t="s">
        <v>12</v>
      </c>
      <c r="L39" s="46" t="s">
        <v>12</v>
      </c>
      <c r="M39" s="46" t="s">
        <v>12</v>
      </c>
      <c r="N39" s="49" t="s">
        <v>12</v>
      </c>
      <c r="O39" s="70">
        <f t="shared" si="0"/>
        <v>712</v>
      </c>
    </row>
    <row r="40" spans="1:15" ht="45.75" thickBot="1" x14ac:dyDescent="0.3">
      <c r="A40" s="25">
        <f t="shared" si="1"/>
        <v>37</v>
      </c>
      <c r="B40" s="29" t="s">
        <v>322</v>
      </c>
      <c r="C40" s="30" t="s">
        <v>323</v>
      </c>
      <c r="D40" s="46" t="s">
        <v>12</v>
      </c>
      <c r="E40" s="47">
        <f>564</f>
        <v>564</v>
      </c>
      <c r="F40" s="46" t="s">
        <v>12</v>
      </c>
      <c r="G40" s="46" t="s">
        <v>12</v>
      </c>
      <c r="H40" s="46" t="s">
        <v>12</v>
      </c>
      <c r="I40" s="46" t="s">
        <v>12</v>
      </c>
      <c r="J40" s="46" t="s">
        <v>12</v>
      </c>
      <c r="K40" s="46" t="s">
        <v>12</v>
      </c>
      <c r="L40" s="46" t="s">
        <v>12</v>
      </c>
      <c r="M40" s="46" t="s">
        <v>12</v>
      </c>
      <c r="N40" s="49" t="s">
        <v>12</v>
      </c>
      <c r="O40" s="70">
        <f t="shared" si="0"/>
        <v>564</v>
      </c>
    </row>
    <row r="41" spans="1:15" ht="45.75" thickBot="1" x14ac:dyDescent="0.3">
      <c r="A41" s="25">
        <f t="shared" si="1"/>
        <v>38</v>
      </c>
      <c r="B41" s="29" t="s">
        <v>324</v>
      </c>
      <c r="C41" s="30" t="s">
        <v>325</v>
      </c>
      <c r="D41" s="46" t="s">
        <v>12</v>
      </c>
      <c r="E41" s="47">
        <f>140</f>
        <v>140</v>
      </c>
      <c r="F41" s="47">
        <f>94</f>
        <v>94</v>
      </c>
      <c r="G41" s="46" t="s">
        <v>12</v>
      </c>
      <c r="H41" s="47" t="s">
        <v>326</v>
      </c>
      <c r="I41" s="47">
        <f>100</f>
        <v>100</v>
      </c>
      <c r="J41" s="46" t="s">
        <v>12</v>
      </c>
      <c r="K41" s="46" t="s">
        <v>12</v>
      </c>
      <c r="L41" s="46" t="s">
        <v>12</v>
      </c>
      <c r="M41" s="46" t="s">
        <v>12</v>
      </c>
      <c r="N41" s="49" t="s">
        <v>12</v>
      </c>
      <c r="O41" s="70">
        <f t="shared" si="0"/>
        <v>334</v>
      </c>
    </row>
    <row r="42" spans="1:15" ht="90.75" thickBot="1" x14ac:dyDescent="0.3">
      <c r="A42" s="25">
        <f t="shared" si="1"/>
        <v>39</v>
      </c>
      <c r="B42" s="29" t="s">
        <v>327</v>
      </c>
      <c r="C42" s="30" t="s">
        <v>328</v>
      </c>
      <c r="D42" s="46" t="s">
        <v>12</v>
      </c>
      <c r="E42" s="47">
        <f>9282</f>
        <v>9282</v>
      </c>
      <c r="F42" s="46" t="s">
        <v>12</v>
      </c>
      <c r="G42" s="46" t="s">
        <v>12</v>
      </c>
      <c r="H42" s="47">
        <f>7020+11994</f>
        <v>19014</v>
      </c>
      <c r="I42" s="47">
        <f>1230</f>
        <v>1230</v>
      </c>
      <c r="J42" s="47">
        <f>6792</f>
        <v>6792</v>
      </c>
      <c r="K42" s="46" t="s">
        <v>12</v>
      </c>
      <c r="L42" s="46" t="s">
        <v>12</v>
      </c>
      <c r="M42" s="46" t="s">
        <v>12</v>
      </c>
      <c r="N42" s="49" t="s">
        <v>12</v>
      </c>
      <c r="O42" s="70">
        <f t="shared" si="0"/>
        <v>36318</v>
      </c>
    </row>
    <row r="43" spans="1:15" ht="45.75" thickBot="1" x14ac:dyDescent="0.3">
      <c r="A43" s="25">
        <f t="shared" si="1"/>
        <v>40</v>
      </c>
      <c r="B43" s="29" t="s">
        <v>329</v>
      </c>
      <c r="C43" s="30" t="s">
        <v>330</v>
      </c>
      <c r="D43" s="46" t="s">
        <v>12</v>
      </c>
      <c r="E43" s="47">
        <f>2564</f>
        <v>2564</v>
      </c>
      <c r="F43" s="46" t="s">
        <v>12</v>
      </c>
      <c r="G43" s="46" t="s">
        <v>12</v>
      </c>
      <c r="H43" s="46" t="s">
        <v>12</v>
      </c>
      <c r="I43" s="46" t="s">
        <v>12</v>
      </c>
      <c r="J43" s="48" t="s">
        <v>12</v>
      </c>
      <c r="K43" s="47">
        <f>2288</f>
        <v>2288</v>
      </c>
      <c r="L43" s="47" t="s">
        <v>12</v>
      </c>
      <c r="M43" s="47">
        <f>1388+120+428</f>
        <v>1936</v>
      </c>
      <c r="N43" s="48">
        <f>1158</f>
        <v>1158</v>
      </c>
      <c r="O43" s="70">
        <f t="shared" si="0"/>
        <v>7946</v>
      </c>
    </row>
    <row r="44" spans="1:15" ht="60.75" thickBot="1" x14ac:dyDescent="0.3">
      <c r="A44" s="25">
        <f t="shared" si="1"/>
        <v>41</v>
      </c>
      <c r="B44" s="29" t="s">
        <v>331</v>
      </c>
      <c r="C44" s="30" t="s">
        <v>332</v>
      </c>
      <c r="D44" s="46" t="s">
        <v>12</v>
      </c>
      <c r="E44" s="47">
        <f>1210</f>
        <v>1210</v>
      </c>
      <c r="F44" s="47">
        <f>970</f>
        <v>970</v>
      </c>
      <c r="G44" s="46" t="s">
        <v>12</v>
      </c>
      <c r="H44" s="47">
        <f>600</f>
        <v>600</v>
      </c>
      <c r="I44" s="46" t="s">
        <v>12</v>
      </c>
      <c r="J44" s="49"/>
      <c r="K44" s="46" t="s">
        <v>12</v>
      </c>
      <c r="L44" s="48">
        <f>1242</f>
        <v>1242</v>
      </c>
      <c r="M44" s="46" t="s">
        <v>12</v>
      </c>
      <c r="N44" s="49" t="s">
        <v>12</v>
      </c>
      <c r="O44" s="70">
        <f t="shared" si="0"/>
        <v>4022</v>
      </c>
    </row>
    <row r="45" spans="1:15" ht="60.75" thickBot="1" x14ac:dyDescent="0.3">
      <c r="A45" s="25">
        <f t="shared" si="1"/>
        <v>42</v>
      </c>
      <c r="B45" s="29" t="s">
        <v>333</v>
      </c>
      <c r="C45" s="30" t="s">
        <v>334</v>
      </c>
      <c r="D45" s="46" t="s">
        <v>12</v>
      </c>
      <c r="E45" s="47">
        <f>17553</f>
        <v>17553</v>
      </c>
      <c r="F45" s="47">
        <f>17556</f>
        <v>17556</v>
      </c>
      <c r="G45" s="46" t="s">
        <v>12</v>
      </c>
      <c r="H45" s="47">
        <f>1236+10185</f>
        <v>11421</v>
      </c>
      <c r="I45" s="47">
        <f>2664</f>
        <v>2664</v>
      </c>
      <c r="J45" s="47">
        <f>7665</f>
        <v>7665</v>
      </c>
      <c r="K45" s="46" t="s">
        <v>12</v>
      </c>
      <c r="L45" s="50"/>
      <c r="M45" s="46" t="s">
        <v>12</v>
      </c>
      <c r="N45" s="49" t="s">
        <v>12</v>
      </c>
      <c r="O45" s="70">
        <f t="shared" si="0"/>
        <v>56859</v>
      </c>
    </row>
    <row r="46" spans="1:15" ht="60.75" thickBot="1" x14ac:dyDescent="0.3">
      <c r="A46" s="25">
        <f t="shared" si="1"/>
        <v>43</v>
      </c>
      <c r="B46" s="29" t="s">
        <v>335</v>
      </c>
      <c r="C46" s="30" t="s">
        <v>336</v>
      </c>
      <c r="D46" s="46" t="s">
        <v>12</v>
      </c>
      <c r="E46" s="47">
        <f>790</f>
        <v>790</v>
      </c>
      <c r="F46" s="47">
        <f>698</f>
        <v>698</v>
      </c>
      <c r="G46" s="46" t="s">
        <v>12</v>
      </c>
      <c r="H46" s="47">
        <f>434</f>
        <v>434</v>
      </c>
      <c r="I46" s="47">
        <f>216</f>
        <v>216</v>
      </c>
      <c r="J46" s="47">
        <f>360</f>
        <v>360</v>
      </c>
      <c r="K46" s="46" t="s">
        <v>12</v>
      </c>
      <c r="L46" s="46" t="s">
        <v>12</v>
      </c>
      <c r="M46" s="46" t="s">
        <v>12</v>
      </c>
      <c r="N46" s="49" t="s">
        <v>12</v>
      </c>
      <c r="O46" s="70">
        <f t="shared" si="0"/>
        <v>2498</v>
      </c>
    </row>
    <row r="47" spans="1:15" ht="90.75" thickBot="1" x14ac:dyDescent="0.3">
      <c r="A47" s="25">
        <f t="shared" si="1"/>
        <v>44</v>
      </c>
      <c r="B47" s="29" t="s">
        <v>337</v>
      </c>
      <c r="C47" s="30" t="s">
        <v>338</v>
      </c>
      <c r="D47" s="45">
        <f>2013</f>
        <v>2013</v>
      </c>
      <c r="E47" s="45">
        <f>1749</f>
        <v>1749</v>
      </c>
      <c r="F47" s="51">
        <f>1605</f>
        <v>1605</v>
      </c>
      <c r="G47" s="42" t="s">
        <v>12</v>
      </c>
      <c r="H47" s="45">
        <f>807</f>
        <v>807</v>
      </c>
      <c r="I47" s="42" t="s">
        <v>12</v>
      </c>
      <c r="J47" s="45">
        <f>75+858</f>
        <v>933</v>
      </c>
      <c r="K47" s="46" t="s">
        <v>12</v>
      </c>
      <c r="L47" s="46" t="s">
        <v>12</v>
      </c>
      <c r="M47" s="46" t="s">
        <v>12</v>
      </c>
      <c r="N47" s="49" t="s">
        <v>12</v>
      </c>
      <c r="O47" s="70">
        <f t="shared" si="0"/>
        <v>7107</v>
      </c>
    </row>
    <row r="48" spans="1:15" ht="60.75" thickBot="1" x14ac:dyDescent="0.3">
      <c r="A48" s="25">
        <f t="shared" si="1"/>
        <v>45</v>
      </c>
      <c r="B48" s="29" t="s">
        <v>339</v>
      </c>
      <c r="C48" s="30" t="s">
        <v>340</v>
      </c>
      <c r="D48" s="46" t="s">
        <v>12</v>
      </c>
      <c r="E48" s="47">
        <f>36</f>
        <v>36</v>
      </c>
      <c r="F48" s="47">
        <f>26</f>
        <v>26</v>
      </c>
      <c r="G48" s="46" t="s">
        <v>12</v>
      </c>
      <c r="H48" s="46" t="s">
        <v>12</v>
      </c>
      <c r="I48" s="46" t="s">
        <v>12</v>
      </c>
      <c r="J48" s="47">
        <f>36</f>
        <v>36</v>
      </c>
      <c r="K48" s="46" t="s">
        <v>12</v>
      </c>
      <c r="L48" s="46" t="s">
        <v>12</v>
      </c>
      <c r="M48" s="46" t="s">
        <v>12</v>
      </c>
      <c r="N48" s="49" t="s">
        <v>12</v>
      </c>
      <c r="O48" s="70">
        <f t="shared" si="0"/>
        <v>98</v>
      </c>
    </row>
    <row r="49" spans="1:15" ht="60.75" thickBot="1" x14ac:dyDescent="0.3">
      <c r="A49" s="54">
        <f t="shared" si="1"/>
        <v>46</v>
      </c>
      <c r="B49" s="55" t="s">
        <v>341</v>
      </c>
      <c r="C49" s="56" t="s">
        <v>342</v>
      </c>
      <c r="D49" s="57" t="s">
        <v>12</v>
      </c>
      <c r="E49" s="57" t="s">
        <v>12</v>
      </c>
      <c r="F49" s="58">
        <f>888</f>
        <v>888</v>
      </c>
      <c r="G49" s="57" t="s">
        <v>12</v>
      </c>
      <c r="H49" s="57" t="s">
        <v>12</v>
      </c>
      <c r="I49" s="57" t="s">
        <v>12</v>
      </c>
      <c r="J49" s="58">
        <f>446</f>
        <v>446</v>
      </c>
      <c r="K49" s="57" t="s">
        <v>12</v>
      </c>
      <c r="L49" s="57" t="s">
        <v>12</v>
      </c>
      <c r="M49" s="57" t="s">
        <v>12</v>
      </c>
      <c r="N49" s="59" t="s">
        <v>12</v>
      </c>
      <c r="O49" s="70">
        <f t="shared" si="0"/>
        <v>1334</v>
      </c>
    </row>
    <row r="50" spans="1:15" ht="14.25" customHeight="1" thickBot="1" x14ac:dyDescent="0.3">
      <c r="A50" s="82" t="s">
        <v>344</v>
      </c>
      <c r="B50" s="82"/>
      <c r="C50" s="82"/>
      <c r="D50" s="70">
        <f>SUM(D4:D49)</f>
        <v>2013</v>
      </c>
      <c r="E50" s="70">
        <f t="shared" ref="E50:O50" si="2">SUM(E4:E49)</f>
        <v>83367</v>
      </c>
      <c r="F50" s="70">
        <f t="shared" si="2"/>
        <v>45639</v>
      </c>
      <c r="G50" s="70">
        <f t="shared" si="2"/>
        <v>9028</v>
      </c>
      <c r="H50" s="70">
        <f t="shared" si="2"/>
        <v>74750</v>
      </c>
      <c r="I50" s="70">
        <f t="shared" si="2"/>
        <v>50656</v>
      </c>
      <c r="J50" s="70">
        <f t="shared" si="2"/>
        <v>47076</v>
      </c>
      <c r="K50" s="70">
        <f t="shared" si="2"/>
        <v>12036</v>
      </c>
      <c r="L50" s="70">
        <f t="shared" si="2"/>
        <v>11616</v>
      </c>
      <c r="M50" s="70">
        <f t="shared" si="2"/>
        <v>1936</v>
      </c>
      <c r="N50" s="71">
        <f t="shared" si="2"/>
        <v>1158</v>
      </c>
      <c r="O50" s="70">
        <f t="shared" si="2"/>
        <v>339275</v>
      </c>
    </row>
    <row r="51" spans="1:15" ht="14.25" customHeight="1" x14ac:dyDescent="0.25">
      <c r="A51" s="61"/>
      <c r="B51" s="62"/>
      <c r="C51" s="62"/>
      <c r="D51" s="63"/>
      <c r="E51" s="63"/>
      <c r="F51" s="63"/>
      <c r="G51" s="63"/>
      <c r="H51" s="63"/>
      <c r="I51" s="63"/>
      <c r="J51" s="61"/>
      <c r="K51" s="61"/>
      <c r="L51" s="61"/>
      <c r="M51" s="61"/>
      <c r="N51" s="61"/>
    </row>
    <row r="52" spans="1:15" ht="14.25" customHeight="1" x14ac:dyDescent="0.25">
      <c r="A52" s="61"/>
      <c r="B52" s="62"/>
      <c r="C52" s="62"/>
      <c r="D52" s="63"/>
      <c r="E52" s="63"/>
      <c r="F52" s="63"/>
      <c r="G52" s="63"/>
      <c r="H52" s="63"/>
      <c r="I52" s="63"/>
      <c r="J52" s="61"/>
      <c r="K52" s="61"/>
      <c r="L52" s="61"/>
      <c r="M52" s="61"/>
      <c r="N52" s="61"/>
    </row>
    <row r="53" spans="1:15" ht="14.25" customHeight="1" x14ac:dyDescent="0.25">
      <c r="A53" s="61"/>
      <c r="B53" s="31"/>
      <c r="C53" s="31"/>
      <c r="D53" s="63"/>
      <c r="E53" s="63"/>
      <c r="F53" s="63"/>
      <c r="G53" s="63"/>
      <c r="H53" s="63"/>
      <c r="I53" s="63"/>
      <c r="J53" s="61"/>
      <c r="K53" s="61"/>
      <c r="L53" s="61"/>
      <c r="M53" s="61"/>
      <c r="N53" s="61"/>
    </row>
    <row r="54" spans="1:15" ht="14.25" customHeight="1" x14ac:dyDescent="0.25">
      <c r="A54" s="61"/>
      <c r="B54" s="62"/>
      <c r="C54" s="62"/>
      <c r="D54" s="63"/>
      <c r="E54" s="63"/>
      <c r="F54" s="63"/>
      <c r="G54" s="63"/>
      <c r="H54" s="63"/>
      <c r="I54" s="63"/>
      <c r="J54" s="61"/>
      <c r="K54" s="61"/>
      <c r="L54" s="61"/>
      <c r="M54" s="61"/>
      <c r="N54" s="61"/>
    </row>
    <row r="55" spans="1:15" ht="14.25" customHeight="1" x14ac:dyDescent="0.25">
      <c r="A55" s="61"/>
      <c r="B55" s="64"/>
      <c r="C55" s="64"/>
      <c r="D55" s="63"/>
      <c r="E55" s="63"/>
      <c r="F55" s="63"/>
      <c r="G55" s="63"/>
      <c r="H55" s="63"/>
      <c r="I55" s="63"/>
      <c r="J55" s="61"/>
      <c r="K55" s="61"/>
      <c r="L55" s="61"/>
      <c r="M55" s="61"/>
      <c r="N55" s="61"/>
    </row>
    <row r="56" spans="1:15" ht="14.25" customHeight="1" x14ac:dyDescent="0.25">
      <c r="A56" s="61"/>
      <c r="B56" s="62"/>
      <c r="C56" s="62"/>
      <c r="D56" s="63"/>
      <c r="E56" s="63"/>
      <c r="F56" s="63"/>
      <c r="G56" s="63"/>
      <c r="H56" s="63"/>
      <c r="I56" s="63"/>
      <c r="J56" s="63"/>
      <c r="K56" s="63"/>
      <c r="L56" s="63"/>
      <c r="M56" s="61"/>
      <c r="N56" s="61"/>
    </row>
    <row r="57" spans="1:15" ht="14.25" customHeight="1" x14ac:dyDescent="0.25">
      <c r="A57" s="61"/>
      <c r="B57" s="62"/>
      <c r="C57" s="62"/>
      <c r="D57" s="63"/>
      <c r="E57" s="63"/>
      <c r="F57" s="63"/>
      <c r="G57" s="63"/>
      <c r="H57" s="63"/>
      <c r="I57" s="63"/>
      <c r="J57" s="61"/>
      <c r="K57" s="61"/>
      <c r="L57" s="61"/>
      <c r="M57" s="61"/>
      <c r="N57" s="61"/>
    </row>
    <row r="58" spans="1:15" ht="14.25" customHeight="1" x14ac:dyDescent="0.25">
      <c r="A58" s="61"/>
      <c r="B58" s="62"/>
      <c r="C58" s="62"/>
      <c r="D58" s="63"/>
      <c r="E58" s="63"/>
      <c r="F58" s="63"/>
      <c r="G58" s="63"/>
      <c r="H58" s="63"/>
      <c r="I58" s="63"/>
      <c r="J58" s="61"/>
      <c r="K58" s="61"/>
      <c r="L58" s="61"/>
      <c r="M58" s="61"/>
      <c r="N58" s="61"/>
    </row>
    <row r="59" spans="1:15" ht="14.25" customHeight="1" x14ac:dyDescent="0.25">
      <c r="A59" s="61"/>
      <c r="B59" s="64"/>
      <c r="C59" s="64"/>
      <c r="D59" s="63"/>
      <c r="E59" s="63"/>
      <c r="F59" s="63"/>
      <c r="G59" s="63"/>
      <c r="H59" s="63"/>
      <c r="I59" s="63"/>
      <c r="J59" s="61"/>
      <c r="K59" s="61"/>
      <c r="L59" s="61"/>
      <c r="M59" s="61"/>
      <c r="N59" s="61"/>
    </row>
    <row r="60" spans="1:15" ht="14.25" customHeight="1" x14ac:dyDescent="0.25">
      <c r="A60" s="61"/>
      <c r="B60" s="62"/>
      <c r="C60" s="62"/>
      <c r="D60" s="63"/>
      <c r="E60" s="63"/>
      <c r="F60" s="63"/>
      <c r="G60" s="63"/>
      <c r="H60" s="63"/>
      <c r="I60" s="63"/>
      <c r="J60" s="61"/>
      <c r="K60" s="61"/>
      <c r="L60" s="61"/>
      <c r="M60" s="61"/>
      <c r="N60" s="61"/>
    </row>
    <row r="61" spans="1:15" ht="14.25" customHeight="1" x14ac:dyDescent="0.25">
      <c r="A61" s="61"/>
      <c r="B61" s="64"/>
      <c r="C61" s="64"/>
      <c r="D61" s="63"/>
      <c r="E61" s="63"/>
      <c r="F61" s="63"/>
      <c r="G61" s="63"/>
      <c r="H61" s="63"/>
      <c r="I61" s="63"/>
      <c r="J61" s="63"/>
      <c r="K61" s="63"/>
      <c r="L61" s="63"/>
      <c r="M61" s="61"/>
      <c r="N61" s="61"/>
      <c r="O61" s="62"/>
    </row>
    <row r="62" spans="1:15" ht="14.25" customHeight="1" x14ac:dyDescent="0.25">
      <c r="A62" s="61"/>
      <c r="B62" s="64"/>
      <c r="C62" s="64"/>
      <c r="D62" s="63"/>
      <c r="E62" s="63"/>
      <c r="F62" s="63"/>
      <c r="G62" s="63"/>
      <c r="H62" s="63"/>
      <c r="I62" s="63"/>
      <c r="J62" s="63"/>
      <c r="K62" s="63"/>
      <c r="L62" s="63"/>
      <c r="M62" s="61"/>
      <c r="N62" s="61"/>
    </row>
    <row r="63" spans="1:15" ht="14.25" customHeight="1" x14ac:dyDescent="0.25">
      <c r="A63" s="61"/>
      <c r="B63" s="64"/>
      <c r="C63" s="64"/>
      <c r="D63" s="63"/>
      <c r="E63" s="63"/>
      <c r="F63" s="63"/>
      <c r="G63" s="63"/>
      <c r="H63" s="63"/>
      <c r="I63" s="63"/>
      <c r="J63" s="61"/>
      <c r="K63" s="61"/>
      <c r="L63" s="61"/>
      <c r="M63" s="61"/>
      <c r="N63" s="61"/>
    </row>
    <row r="64" spans="1:15" ht="14.25" customHeight="1" x14ac:dyDescent="0.25">
      <c r="A64" s="61"/>
      <c r="B64" s="62"/>
      <c r="C64" s="62"/>
      <c r="D64" s="63"/>
      <c r="E64" s="63"/>
      <c r="F64" s="63"/>
      <c r="G64" s="63"/>
      <c r="H64" s="63"/>
      <c r="I64" s="63"/>
      <c r="J64" s="61"/>
      <c r="K64" s="61"/>
      <c r="L64" s="61"/>
      <c r="M64" s="61"/>
      <c r="N64" s="61"/>
    </row>
    <row r="65" spans="1:14" ht="14.25" customHeight="1" x14ac:dyDescent="0.25">
      <c r="A65" s="61"/>
      <c r="B65" s="62"/>
      <c r="C65" s="62"/>
      <c r="D65" s="63"/>
      <c r="E65" s="63"/>
      <c r="F65" s="63"/>
      <c r="G65" s="63"/>
      <c r="H65" s="63"/>
      <c r="I65" s="63"/>
      <c r="J65" s="61"/>
      <c r="K65" s="61"/>
      <c r="L65" s="61"/>
      <c r="M65" s="61"/>
      <c r="N65" s="61"/>
    </row>
    <row r="66" spans="1:14" ht="14.25" customHeight="1" x14ac:dyDescent="0.25">
      <c r="A66" s="61"/>
      <c r="B66" s="62"/>
      <c r="C66" s="62"/>
      <c r="D66" s="63"/>
      <c r="E66" s="63"/>
      <c r="F66" s="63"/>
      <c r="G66" s="63"/>
      <c r="H66" s="63"/>
      <c r="I66" s="63"/>
      <c r="J66" s="61"/>
      <c r="K66" s="61"/>
      <c r="L66" s="61"/>
      <c r="M66" s="61"/>
      <c r="N66" s="61"/>
    </row>
    <row r="67" spans="1:14" ht="14.25" customHeight="1" x14ac:dyDescent="0.25">
      <c r="A67" s="61"/>
      <c r="B67" s="62"/>
      <c r="C67" s="62"/>
      <c r="D67" s="63"/>
      <c r="E67" s="63"/>
      <c r="F67" s="63"/>
      <c r="G67" s="63"/>
      <c r="H67" s="63"/>
      <c r="I67" s="63"/>
      <c r="J67" s="61"/>
      <c r="K67" s="61"/>
      <c r="L67" s="61"/>
      <c r="M67" s="61"/>
      <c r="N67" s="61"/>
    </row>
    <row r="68" spans="1:14" ht="14.25" customHeight="1" x14ac:dyDescent="0.25">
      <c r="A68" s="61"/>
      <c r="B68" s="62"/>
      <c r="C68" s="62"/>
      <c r="D68" s="63"/>
      <c r="E68" s="63"/>
      <c r="F68" s="63"/>
      <c r="G68" s="63"/>
      <c r="H68" s="63"/>
      <c r="I68" s="63"/>
      <c r="J68" s="61"/>
      <c r="K68" s="61"/>
      <c r="L68" s="61"/>
      <c r="M68" s="61"/>
      <c r="N68" s="61"/>
    </row>
    <row r="69" spans="1:14" ht="14.25" customHeight="1" x14ac:dyDescent="0.25">
      <c r="A69" s="61"/>
      <c r="B69" s="31"/>
      <c r="C69" s="31"/>
      <c r="D69" s="63"/>
      <c r="E69" s="63"/>
      <c r="F69" s="63"/>
      <c r="G69" s="63"/>
      <c r="H69" s="63"/>
      <c r="I69" s="63"/>
      <c r="J69" s="61"/>
      <c r="K69" s="61"/>
      <c r="L69" s="61"/>
      <c r="M69" s="61"/>
      <c r="N69" s="61"/>
    </row>
    <row r="70" spans="1:14" ht="14.25" customHeight="1" x14ac:dyDescent="0.25">
      <c r="A70" s="61"/>
      <c r="B70" s="62"/>
      <c r="C70" s="62"/>
      <c r="D70" s="63"/>
      <c r="E70" s="63"/>
      <c r="F70" s="63"/>
      <c r="G70" s="63"/>
      <c r="H70" s="63"/>
      <c r="I70" s="63"/>
      <c r="J70" s="61"/>
      <c r="K70" s="61"/>
      <c r="L70" s="61"/>
      <c r="M70" s="61"/>
      <c r="N70" s="61"/>
    </row>
    <row r="71" spans="1:14" ht="14.25" customHeight="1" x14ac:dyDescent="0.25">
      <c r="A71" s="61"/>
      <c r="B71" s="62"/>
      <c r="C71" s="62"/>
      <c r="D71" s="63"/>
      <c r="E71" s="63"/>
      <c r="F71" s="63"/>
      <c r="G71" s="63"/>
      <c r="H71" s="63"/>
      <c r="I71" s="63"/>
      <c r="J71" s="63"/>
      <c r="K71" s="63"/>
      <c r="L71" s="63"/>
      <c r="M71" s="61"/>
      <c r="N71" s="61"/>
    </row>
    <row r="72" spans="1:14" ht="14.25" customHeight="1" x14ac:dyDescent="0.25">
      <c r="A72" s="61"/>
      <c r="B72" s="64"/>
      <c r="C72" s="64"/>
      <c r="D72" s="63"/>
      <c r="E72" s="63"/>
      <c r="F72" s="63"/>
      <c r="G72" s="63"/>
      <c r="H72" s="63"/>
      <c r="I72" s="63"/>
      <c r="J72" s="63"/>
      <c r="K72" s="63"/>
      <c r="L72" s="63"/>
      <c r="M72" s="61"/>
      <c r="N72" s="61"/>
    </row>
    <row r="73" spans="1:14" ht="14.25" customHeight="1" x14ac:dyDescent="0.25">
      <c r="A73" s="61"/>
      <c r="B73" s="62"/>
      <c r="C73" s="62"/>
      <c r="D73" s="63"/>
      <c r="E73" s="63"/>
      <c r="F73" s="63"/>
      <c r="G73" s="63"/>
      <c r="H73" s="63"/>
      <c r="I73" s="63"/>
      <c r="J73" s="63"/>
      <c r="K73" s="63"/>
      <c r="L73" s="63"/>
      <c r="M73" s="61"/>
      <c r="N73" s="61"/>
    </row>
    <row r="74" spans="1:14" ht="14.25" customHeight="1" x14ac:dyDescent="0.25">
      <c r="A74" s="61"/>
      <c r="B74" s="62"/>
      <c r="C74" s="62"/>
      <c r="D74" s="63"/>
      <c r="E74" s="63"/>
      <c r="F74" s="63"/>
      <c r="G74" s="63"/>
      <c r="H74" s="63"/>
      <c r="I74" s="63"/>
      <c r="J74" s="61"/>
      <c r="K74" s="61"/>
      <c r="L74" s="61"/>
      <c r="M74" s="61"/>
      <c r="N74" s="61"/>
    </row>
    <row r="75" spans="1:14" ht="14.25" customHeight="1" x14ac:dyDescent="0.25">
      <c r="A75" s="61"/>
      <c r="B75" s="62"/>
      <c r="C75" s="62"/>
      <c r="D75" s="63"/>
      <c r="E75" s="63"/>
      <c r="F75" s="63"/>
      <c r="G75" s="63"/>
      <c r="H75" s="63"/>
      <c r="I75" s="63"/>
      <c r="J75" s="61"/>
      <c r="K75" s="61"/>
      <c r="L75" s="61"/>
      <c r="M75" s="61"/>
      <c r="N75" s="61"/>
    </row>
    <row r="76" spans="1:14" ht="14.25" customHeight="1" x14ac:dyDescent="0.25">
      <c r="A76" s="61"/>
      <c r="B76" s="62"/>
      <c r="C76" s="62"/>
      <c r="D76" s="63"/>
      <c r="E76" s="63"/>
      <c r="F76" s="63"/>
      <c r="G76" s="63"/>
      <c r="H76" s="63"/>
      <c r="I76" s="63"/>
      <c r="J76" s="61"/>
      <c r="K76" s="61"/>
      <c r="L76" s="61"/>
      <c r="M76" s="61"/>
      <c r="N76" s="61"/>
    </row>
    <row r="77" spans="1:14" ht="14.25" customHeight="1" x14ac:dyDescent="0.25">
      <c r="A77" s="61"/>
      <c r="B77" s="62"/>
      <c r="C77" s="62"/>
      <c r="D77" s="63"/>
      <c r="E77" s="63"/>
      <c r="F77" s="63"/>
      <c r="G77" s="63"/>
      <c r="H77" s="63"/>
      <c r="I77" s="63"/>
      <c r="J77" s="61"/>
      <c r="K77" s="61"/>
      <c r="L77" s="61"/>
      <c r="M77" s="61"/>
      <c r="N77" s="61"/>
    </row>
    <row r="78" spans="1:14" ht="14.25" customHeight="1" x14ac:dyDescent="0.25">
      <c r="A78" s="61"/>
      <c r="B78" s="62"/>
      <c r="C78" s="62"/>
      <c r="D78" s="63"/>
      <c r="E78" s="63"/>
      <c r="F78" s="63"/>
      <c r="G78" s="63"/>
      <c r="H78" s="61"/>
      <c r="I78" s="61"/>
      <c r="J78" s="61"/>
      <c r="K78" s="61"/>
      <c r="L78" s="61"/>
      <c r="M78" s="61"/>
      <c r="N78" s="61"/>
    </row>
    <row r="79" spans="1:14" ht="14.25" customHeight="1" x14ac:dyDescent="0.25">
      <c r="A79" s="61"/>
      <c r="B79" s="62"/>
      <c r="C79" s="62"/>
      <c r="D79" s="63"/>
      <c r="E79" s="63"/>
      <c r="F79" s="63"/>
      <c r="G79" s="63"/>
      <c r="H79" s="63"/>
      <c r="I79" s="63"/>
      <c r="J79" s="63"/>
      <c r="K79" s="63"/>
      <c r="L79" s="63"/>
      <c r="M79" s="61"/>
      <c r="N79" s="61"/>
    </row>
    <row r="80" spans="1:14" ht="14.25" customHeight="1" x14ac:dyDescent="0.25">
      <c r="A80" s="61"/>
      <c r="B80" s="62"/>
      <c r="C80" s="62"/>
      <c r="D80" s="63"/>
      <c r="E80" s="63"/>
      <c r="F80" s="63"/>
      <c r="G80" s="63"/>
      <c r="H80" s="61"/>
      <c r="I80" s="61"/>
      <c r="J80" s="61"/>
      <c r="K80" s="61"/>
      <c r="L80" s="61"/>
      <c r="M80" s="61"/>
      <c r="N80" s="61"/>
    </row>
    <row r="81" spans="1:14" ht="14.25" customHeight="1" x14ac:dyDescent="0.25">
      <c r="A81" s="61"/>
      <c r="B81" s="62"/>
      <c r="C81" s="62"/>
      <c r="D81" s="63"/>
      <c r="E81" s="63"/>
      <c r="F81" s="63"/>
      <c r="G81" s="63"/>
      <c r="H81" s="63"/>
      <c r="I81" s="63"/>
      <c r="J81" s="63"/>
      <c r="K81" s="63"/>
      <c r="L81" s="63"/>
      <c r="M81" s="61"/>
      <c r="N81" s="61"/>
    </row>
    <row r="82" spans="1:14" ht="14.25" customHeight="1" x14ac:dyDescent="0.25">
      <c r="A82" s="61"/>
      <c r="B82" s="62"/>
      <c r="C82" s="62"/>
      <c r="D82" s="63"/>
      <c r="E82" s="63"/>
      <c r="F82" s="63"/>
      <c r="G82" s="63"/>
      <c r="H82" s="63"/>
      <c r="I82" s="63"/>
      <c r="J82" s="61"/>
      <c r="K82" s="61"/>
      <c r="L82" s="61"/>
      <c r="M82" s="61"/>
      <c r="N82" s="61"/>
    </row>
    <row r="83" spans="1:14" ht="14.25" customHeight="1" x14ac:dyDescent="0.25">
      <c r="A83" s="61"/>
      <c r="B83" s="31"/>
      <c r="C83" s="31"/>
      <c r="D83" s="63"/>
      <c r="E83" s="63"/>
      <c r="F83" s="63"/>
      <c r="G83" s="63"/>
      <c r="H83" s="61"/>
      <c r="I83" s="61"/>
      <c r="J83" s="61"/>
      <c r="K83" s="61"/>
      <c r="L83" s="61"/>
      <c r="M83" s="61"/>
      <c r="N83" s="61"/>
    </row>
    <row r="84" spans="1:14" ht="14.25" customHeight="1" x14ac:dyDescent="0.25">
      <c r="A84" s="61"/>
      <c r="B84" s="62"/>
      <c r="C84" s="62"/>
      <c r="D84" s="63"/>
      <c r="E84" s="63"/>
      <c r="F84" s="63"/>
      <c r="G84" s="63"/>
      <c r="H84" s="63"/>
      <c r="I84" s="63"/>
      <c r="J84" s="61"/>
      <c r="K84" s="61"/>
      <c r="L84" s="61"/>
      <c r="M84" s="61"/>
      <c r="N84" s="61"/>
    </row>
    <row r="85" spans="1:14" ht="14.25" customHeight="1" x14ac:dyDescent="0.25">
      <c r="A85" s="61"/>
      <c r="B85" s="62"/>
      <c r="C85" s="62"/>
      <c r="D85" s="63"/>
      <c r="E85" s="63"/>
      <c r="F85" s="63"/>
      <c r="G85" s="63"/>
      <c r="H85" s="63"/>
      <c r="I85" s="63"/>
      <c r="J85" s="61"/>
      <c r="K85" s="61"/>
      <c r="L85" s="61"/>
      <c r="M85" s="61"/>
      <c r="N85" s="61"/>
    </row>
    <row r="86" spans="1:14" ht="14.25" customHeight="1" x14ac:dyDescent="0.25">
      <c r="A86" s="61"/>
      <c r="B86" s="62"/>
      <c r="C86" s="62"/>
      <c r="D86" s="63"/>
      <c r="E86" s="63"/>
      <c r="F86" s="63"/>
      <c r="G86" s="63"/>
      <c r="H86" s="63"/>
      <c r="I86" s="63"/>
      <c r="J86" s="63"/>
      <c r="K86" s="63"/>
      <c r="L86" s="63"/>
      <c r="M86" s="61"/>
      <c r="N86" s="61"/>
    </row>
    <row r="87" spans="1:14" ht="14.25" customHeight="1" x14ac:dyDescent="0.25">
      <c r="A87" s="61"/>
      <c r="B87" s="31"/>
      <c r="C87" s="31"/>
      <c r="D87" s="63"/>
      <c r="E87" s="63"/>
      <c r="F87" s="63"/>
      <c r="G87" s="63"/>
      <c r="H87" s="63"/>
      <c r="I87" s="63"/>
      <c r="J87" s="63"/>
      <c r="K87" s="63"/>
      <c r="L87" s="63"/>
      <c r="M87" s="61"/>
      <c r="N87" s="61"/>
    </row>
    <row r="88" spans="1:14" ht="14.25" customHeight="1" x14ac:dyDescent="0.25">
      <c r="A88" s="61"/>
      <c r="B88" s="31"/>
      <c r="C88" s="31"/>
      <c r="D88" s="63"/>
      <c r="E88" s="63"/>
      <c r="F88" s="63"/>
      <c r="G88" s="63"/>
      <c r="H88" s="63"/>
      <c r="I88" s="63"/>
      <c r="J88" s="63"/>
      <c r="K88" s="63"/>
      <c r="L88" s="63"/>
      <c r="M88" s="61"/>
      <c r="N88" s="61"/>
    </row>
    <row r="89" spans="1:14" ht="14.25" customHeight="1" x14ac:dyDescent="0.25">
      <c r="A89" s="61"/>
      <c r="B89" s="31"/>
      <c r="C89" s="31"/>
      <c r="D89" s="63"/>
      <c r="E89" s="63"/>
      <c r="F89" s="63"/>
      <c r="G89" s="63"/>
      <c r="H89" s="63"/>
      <c r="I89" s="63"/>
      <c r="J89" s="63"/>
      <c r="K89" s="63"/>
      <c r="L89" s="63"/>
      <c r="M89" s="61"/>
      <c r="N89" s="61"/>
    </row>
    <row r="90" spans="1:14" ht="14.25" customHeight="1" x14ac:dyDescent="0.25">
      <c r="A90" s="61"/>
      <c r="B90" s="62"/>
      <c r="C90" s="62"/>
      <c r="D90" s="63"/>
      <c r="E90" s="63"/>
      <c r="F90" s="63"/>
      <c r="G90" s="63"/>
      <c r="H90" s="63"/>
      <c r="I90" s="63"/>
      <c r="J90" s="63"/>
      <c r="K90" s="63"/>
      <c r="L90" s="63"/>
      <c r="M90" s="61"/>
      <c r="N90" s="61"/>
    </row>
    <row r="91" spans="1:14" ht="14.25" customHeight="1" x14ac:dyDescent="0.25">
      <c r="A91" s="61"/>
      <c r="B91" s="62"/>
      <c r="C91" s="62"/>
      <c r="D91" s="63"/>
      <c r="E91" s="63"/>
      <c r="F91" s="63"/>
      <c r="G91" s="63"/>
      <c r="H91" s="63"/>
      <c r="I91" s="63"/>
      <c r="J91" s="63"/>
      <c r="K91" s="63"/>
      <c r="L91" s="63"/>
      <c r="M91" s="61"/>
      <c r="N91" s="61"/>
    </row>
    <row r="92" spans="1:14" ht="14.25" customHeight="1" x14ac:dyDescent="0.25">
      <c r="A92" s="61"/>
      <c r="B92" s="31"/>
      <c r="C92" s="31"/>
      <c r="D92" s="63"/>
      <c r="E92" s="63"/>
      <c r="F92" s="63"/>
      <c r="G92" s="63"/>
      <c r="H92" s="63"/>
      <c r="I92" s="63"/>
      <c r="J92" s="63"/>
      <c r="K92" s="63"/>
      <c r="L92" s="63"/>
      <c r="M92" s="61"/>
      <c r="N92" s="61"/>
    </row>
    <row r="93" spans="1:14" ht="14.25" customHeight="1" x14ac:dyDescent="0.25">
      <c r="A93" s="61"/>
      <c r="B93" s="31"/>
      <c r="C93" s="31"/>
      <c r="D93" s="63"/>
      <c r="E93" s="63"/>
      <c r="F93" s="63"/>
      <c r="G93" s="63"/>
      <c r="H93" s="61"/>
      <c r="I93" s="61"/>
      <c r="J93" s="63"/>
      <c r="K93" s="63"/>
      <c r="L93" s="63"/>
      <c r="M93" s="61"/>
      <c r="N93" s="61"/>
    </row>
    <row r="94" spans="1:14" ht="14.25" customHeight="1" x14ac:dyDescent="0.25">
      <c r="A94" s="61"/>
      <c r="B94" s="31"/>
      <c r="C94" s="31"/>
      <c r="D94" s="63"/>
      <c r="E94" s="63"/>
      <c r="F94" s="63"/>
      <c r="G94" s="63"/>
      <c r="H94" s="63"/>
      <c r="I94" s="63"/>
      <c r="J94" s="61"/>
      <c r="K94" s="61"/>
      <c r="L94" s="61"/>
      <c r="M94" s="61"/>
      <c r="N94" s="61"/>
    </row>
    <row r="95" spans="1:14" ht="14.25" customHeight="1" x14ac:dyDescent="0.25">
      <c r="A95" s="61"/>
      <c r="B95" s="62"/>
      <c r="C95" s="62"/>
      <c r="D95" s="63"/>
      <c r="E95" s="63"/>
      <c r="F95" s="63"/>
      <c r="G95" s="63"/>
      <c r="H95" s="63"/>
      <c r="I95" s="63"/>
      <c r="J95" s="63"/>
      <c r="K95" s="63"/>
      <c r="L95" s="63"/>
      <c r="M95" s="61"/>
      <c r="N95" s="61"/>
    </row>
    <row r="96" spans="1:14" ht="14.25" customHeight="1" x14ac:dyDescent="0.25">
      <c r="A96" s="61"/>
      <c r="B96" s="31"/>
      <c r="C96" s="31"/>
      <c r="D96" s="63"/>
      <c r="E96" s="63"/>
      <c r="F96" s="63"/>
      <c r="G96" s="63"/>
      <c r="H96" s="63"/>
      <c r="I96" s="63"/>
      <c r="J96" s="63"/>
      <c r="K96" s="63"/>
      <c r="L96" s="63"/>
      <c r="M96" s="61"/>
      <c r="N96" s="61"/>
    </row>
    <row r="97" spans="1:14" ht="14.25" customHeight="1" x14ac:dyDescent="0.25">
      <c r="A97" s="61"/>
      <c r="B97" s="62"/>
      <c r="C97" s="62"/>
      <c r="D97" s="63"/>
      <c r="E97" s="63"/>
      <c r="F97" s="63"/>
      <c r="G97" s="63"/>
      <c r="H97" s="63"/>
      <c r="I97" s="63"/>
      <c r="J97" s="61"/>
      <c r="K97" s="61"/>
      <c r="L97" s="61"/>
      <c r="M97" s="61"/>
      <c r="N97" s="61"/>
    </row>
    <row r="98" spans="1:14" ht="14.25" customHeight="1" x14ac:dyDescent="0.25">
      <c r="A98" s="61"/>
      <c r="B98" s="64"/>
      <c r="C98" s="64"/>
      <c r="D98" s="63"/>
      <c r="E98" s="63"/>
      <c r="F98" s="63"/>
      <c r="G98" s="63"/>
      <c r="H98" s="63"/>
      <c r="I98" s="63"/>
      <c r="J98" s="63"/>
      <c r="K98" s="63"/>
      <c r="L98" s="63"/>
      <c r="M98" s="61"/>
      <c r="N98" s="61"/>
    </row>
    <row r="99" spans="1:14" ht="14.25" customHeight="1" x14ac:dyDescent="0.25">
      <c r="A99" s="61"/>
      <c r="B99" s="31"/>
      <c r="C99" s="31"/>
      <c r="D99" s="63"/>
      <c r="E99" s="65"/>
      <c r="F99" s="63"/>
      <c r="G99" s="63"/>
      <c r="H99" s="63"/>
      <c r="I99" s="63"/>
      <c r="J99" s="63"/>
      <c r="K99" s="63"/>
      <c r="L99" s="63"/>
      <c r="M99" s="61"/>
      <c r="N99" s="61"/>
    </row>
    <row r="100" spans="1:14" ht="14.25" customHeight="1" x14ac:dyDescent="0.25">
      <c r="A100" s="61"/>
      <c r="B100" s="64"/>
      <c r="C100" s="64"/>
      <c r="D100" s="63"/>
      <c r="E100" s="63"/>
      <c r="F100" s="63"/>
      <c r="G100" s="63"/>
      <c r="H100" s="63"/>
      <c r="I100" s="63"/>
      <c r="J100" s="61"/>
      <c r="K100" s="61"/>
      <c r="L100" s="61"/>
      <c r="M100" s="61"/>
      <c r="N100" s="61"/>
    </row>
    <row r="101" spans="1:14" ht="14.25" customHeight="1" x14ac:dyDescent="0.25">
      <c r="A101" s="61"/>
      <c r="B101" s="31"/>
      <c r="C101" s="31"/>
      <c r="D101" s="63"/>
      <c r="E101" s="63"/>
      <c r="F101" s="63"/>
      <c r="G101" s="63"/>
      <c r="H101" s="63"/>
      <c r="I101" s="63"/>
      <c r="J101" s="61"/>
      <c r="K101" s="61"/>
      <c r="L101" s="61"/>
      <c r="M101" s="61"/>
      <c r="N101" s="61"/>
    </row>
    <row r="102" spans="1:14" ht="14.25" customHeight="1" x14ac:dyDescent="0.25">
      <c r="A102" s="61"/>
      <c r="B102" s="62"/>
      <c r="C102" s="62"/>
      <c r="D102" s="63"/>
      <c r="E102" s="63"/>
      <c r="F102" s="63"/>
      <c r="G102" s="63"/>
      <c r="H102" s="63"/>
      <c r="I102" s="63"/>
      <c r="J102" s="61"/>
      <c r="K102" s="61"/>
      <c r="L102" s="61"/>
      <c r="M102" s="61"/>
      <c r="N102" s="61"/>
    </row>
    <row r="103" spans="1:14" ht="14.25" customHeight="1" x14ac:dyDescent="0.25">
      <c r="A103" s="61"/>
      <c r="B103" s="62"/>
      <c r="C103" s="62"/>
      <c r="D103" s="63"/>
      <c r="E103" s="63"/>
      <c r="F103" s="63"/>
      <c r="G103" s="63"/>
      <c r="H103" s="61"/>
      <c r="I103" s="61"/>
      <c r="J103" s="63"/>
      <c r="K103" s="63"/>
      <c r="L103" s="63"/>
      <c r="M103" s="61"/>
      <c r="N103" s="61"/>
    </row>
    <row r="104" spans="1:14" ht="14.25" customHeight="1" x14ac:dyDescent="0.25">
      <c r="A104" s="61"/>
      <c r="B104" s="62"/>
      <c r="C104" s="62"/>
      <c r="D104" s="63"/>
      <c r="E104" s="63"/>
      <c r="F104" s="63"/>
      <c r="G104" s="63"/>
      <c r="H104" s="63"/>
      <c r="I104" s="63"/>
      <c r="J104" s="61"/>
      <c r="K104" s="61"/>
      <c r="L104" s="61"/>
      <c r="M104" s="61"/>
    </row>
    <row r="105" spans="1:14" ht="14.25" customHeight="1" x14ac:dyDescent="0.25">
      <c r="A105" s="61"/>
      <c r="B105" s="64"/>
      <c r="C105" s="64"/>
      <c r="D105" s="63"/>
      <c r="E105" s="63"/>
      <c r="F105" s="63"/>
      <c r="G105" s="63"/>
      <c r="H105" s="63"/>
      <c r="I105" s="63"/>
      <c r="J105" s="61"/>
      <c r="K105" s="61"/>
      <c r="L105" s="61"/>
      <c r="M105" s="61"/>
    </row>
    <row r="106" spans="1:14" ht="14.25" customHeight="1" x14ac:dyDescent="0.25">
      <c r="A106" s="61"/>
      <c r="B106" s="62"/>
      <c r="C106" s="62"/>
      <c r="D106" s="63"/>
      <c r="E106" s="63"/>
      <c r="F106" s="63"/>
      <c r="G106" s="63"/>
      <c r="H106" s="63"/>
      <c r="I106" s="63"/>
      <c r="J106" s="61"/>
      <c r="K106" s="61"/>
      <c r="L106" s="61"/>
      <c r="M106" s="61"/>
    </row>
    <row r="107" spans="1:14" ht="14.25" customHeight="1" x14ac:dyDescent="0.25">
      <c r="A107" s="61"/>
      <c r="B107" s="31"/>
      <c r="C107" s="31"/>
      <c r="D107" s="63"/>
      <c r="E107" s="63"/>
      <c r="F107" s="63"/>
      <c r="G107" s="63"/>
      <c r="H107" s="63"/>
      <c r="I107" s="63"/>
      <c r="J107" s="63"/>
      <c r="K107" s="63"/>
      <c r="L107" s="63"/>
      <c r="M107" s="61"/>
    </row>
    <row r="108" spans="1:14" ht="14.25" customHeight="1" x14ac:dyDescent="0.25">
      <c r="A108" s="61"/>
      <c r="B108" s="62"/>
      <c r="C108" s="62"/>
      <c r="D108" s="63"/>
      <c r="E108" s="63"/>
      <c r="F108" s="63"/>
      <c r="G108" s="63"/>
      <c r="H108" s="63"/>
      <c r="I108" s="63"/>
      <c r="J108" s="61"/>
      <c r="K108" s="61"/>
      <c r="L108" s="61"/>
      <c r="M108" s="61"/>
    </row>
    <row r="109" spans="1:14" ht="14.25" customHeight="1" x14ac:dyDescent="0.25">
      <c r="A109" s="61"/>
      <c r="B109" s="62"/>
      <c r="C109" s="62"/>
      <c r="D109" s="63"/>
      <c r="E109" s="63"/>
      <c r="F109" s="63"/>
      <c r="G109" s="63"/>
      <c r="H109" s="63"/>
      <c r="I109" s="63"/>
      <c r="J109" s="61"/>
      <c r="K109" s="61"/>
      <c r="L109" s="61"/>
      <c r="M109" s="61"/>
    </row>
    <row r="110" spans="1:14" ht="14.25" customHeight="1" x14ac:dyDescent="0.25">
      <c r="A110" s="61"/>
      <c r="B110" s="62"/>
      <c r="C110" s="62"/>
      <c r="D110" s="63"/>
      <c r="E110" s="63"/>
      <c r="F110" s="63"/>
      <c r="G110" s="63"/>
      <c r="H110" s="63"/>
      <c r="I110" s="63"/>
      <c r="J110" s="61"/>
      <c r="K110" s="61"/>
      <c r="L110" s="61"/>
      <c r="M110" s="61"/>
    </row>
    <row r="111" spans="1:14" ht="14.25" customHeight="1" x14ac:dyDescent="0.25">
      <c r="A111" s="61"/>
      <c r="B111" s="64"/>
      <c r="C111" s="64"/>
      <c r="D111" s="63"/>
      <c r="E111" s="63"/>
      <c r="F111" s="63"/>
      <c r="G111" s="63"/>
      <c r="H111" s="63"/>
      <c r="I111" s="63"/>
      <c r="J111" s="61"/>
      <c r="K111" s="61"/>
      <c r="L111" s="61"/>
      <c r="M111" s="61"/>
    </row>
    <row r="112" spans="1:14" ht="14.25" customHeight="1" x14ac:dyDescent="0.25">
      <c r="A112" s="61"/>
      <c r="B112" s="64"/>
      <c r="C112" s="64"/>
      <c r="D112" s="63"/>
      <c r="E112" s="63"/>
      <c r="F112" s="63"/>
      <c r="G112" s="63"/>
      <c r="H112" s="63"/>
      <c r="I112" s="63"/>
      <c r="J112" s="61"/>
      <c r="K112" s="61"/>
      <c r="L112" s="61"/>
      <c r="M112" s="61"/>
    </row>
    <row r="113" spans="1:13" ht="14.25" customHeight="1" x14ac:dyDescent="0.25">
      <c r="A113" s="61"/>
      <c r="B113" s="62"/>
      <c r="C113" s="62"/>
      <c r="D113" s="63"/>
      <c r="E113" s="63"/>
      <c r="F113" s="63"/>
      <c r="G113" s="63"/>
      <c r="H113" s="63"/>
      <c r="I113" s="63"/>
      <c r="J113" s="61"/>
      <c r="K113" s="61"/>
      <c r="L113" s="61"/>
      <c r="M113" s="61"/>
    </row>
    <row r="114" spans="1:13" ht="14.25" customHeight="1" x14ac:dyDescent="0.25">
      <c r="A114" s="61"/>
      <c r="B114" s="62"/>
      <c r="C114" s="62"/>
      <c r="D114" s="63"/>
      <c r="E114" s="63"/>
      <c r="F114" s="63"/>
      <c r="G114" s="63"/>
      <c r="H114" s="63"/>
      <c r="I114" s="63"/>
      <c r="J114" s="63"/>
      <c r="K114" s="63"/>
      <c r="L114" s="63"/>
      <c r="M114" s="61"/>
    </row>
    <row r="115" spans="1:13" ht="14.25" customHeight="1" x14ac:dyDescent="0.25">
      <c r="A115" s="61"/>
      <c r="B115" s="62"/>
      <c r="C115" s="62"/>
      <c r="D115" s="63"/>
      <c r="E115" s="63"/>
      <c r="F115" s="63"/>
      <c r="G115" s="63"/>
      <c r="H115" s="63"/>
      <c r="I115" s="63"/>
      <c r="J115" s="61"/>
      <c r="K115" s="61"/>
      <c r="L115" s="61"/>
      <c r="M115" s="61"/>
    </row>
    <row r="116" spans="1:13" ht="14.25" customHeight="1" x14ac:dyDescent="0.25">
      <c r="A116" s="61"/>
      <c r="B116" s="62"/>
      <c r="C116" s="62"/>
      <c r="D116" s="63"/>
      <c r="E116" s="63"/>
      <c r="F116" s="63"/>
      <c r="G116" s="63"/>
      <c r="H116" s="63"/>
      <c r="I116" s="63"/>
      <c r="J116" s="63"/>
      <c r="K116" s="63"/>
      <c r="L116" s="63"/>
      <c r="M116" s="61"/>
    </row>
    <row r="117" spans="1:13" ht="14.25" customHeight="1" x14ac:dyDescent="0.25">
      <c r="A117" s="61"/>
      <c r="B117" s="62"/>
      <c r="C117" s="62"/>
      <c r="D117" s="63"/>
      <c r="E117" s="63"/>
      <c r="F117" s="63"/>
      <c r="G117" s="63"/>
      <c r="H117" s="63"/>
      <c r="I117" s="63"/>
      <c r="J117" s="63"/>
      <c r="K117" s="63"/>
      <c r="L117" s="63"/>
      <c r="M117" s="61"/>
    </row>
    <row r="118" spans="1:13" ht="14.25" customHeight="1" x14ac:dyDescent="0.25">
      <c r="A118" s="61"/>
      <c r="B118" s="62"/>
      <c r="C118" s="62"/>
      <c r="D118" s="63"/>
      <c r="E118" s="63"/>
      <c r="F118" s="63"/>
      <c r="G118" s="63"/>
      <c r="H118" s="63"/>
      <c r="I118" s="63"/>
      <c r="J118" s="63"/>
      <c r="K118" s="63"/>
      <c r="L118" s="63"/>
      <c r="M118" s="61"/>
    </row>
    <row r="119" spans="1:13" ht="14.25" customHeight="1" x14ac:dyDescent="0.25">
      <c r="A119" s="61"/>
      <c r="B119" s="62"/>
      <c r="C119" s="62"/>
      <c r="D119" s="63"/>
      <c r="E119" s="63"/>
      <c r="F119" s="63"/>
      <c r="G119" s="63"/>
      <c r="H119" s="63"/>
      <c r="I119" s="63"/>
      <c r="J119" s="63"/>
      <c r="K119" s="63"/>
      <c r="L119" s="63"/>
      <c r="M119" s="61"/>
    </row>
    <row r="120" spans="1:13" ht="14.25" customHeight="1" x14ac:dyDescent="0.25">
      <c r="A120" s="61"/>
      <c r="B120" s="62"/>
      <c r="C120" s="62"/>
      <c r="D120" s="63"/>
      <c r="E120" s="63"/>
      <c r="F120" s="63"/>
      <c r="G120" s="63"/>
      <c r="H120" s="63"/>
      <c r="I120" s="63"/>
      <c r="J120" s="63"/>
      <c r="K120" s="63"/>
      <c r="L120" s="63"/>
      <c r="M120" s="61"/>
    </row>
    <row r="121" spans="1:13" ht="14.25" customHeight="1" x14ac:dyDescent="0.25">
      <c r="A121" s="61"/>
      <c r="B121" s="31"/>
      <c r="C121" s="31"/>
      <c r="D121" s="63"/>
      <c r="E121" s="63"/>
      <c r="F121" s="63"/>
      <c r="G121" s="63"/>
      <c r="H121" s="63"/>
      <c r="I121" s="63"/>
      <c r="J121" s="63"/>
      <c r="K121" s="63"/>
      <c r="L121" s="63"/>
      <c r="M121" s="61"/>
    </row>
    <row r="122" spans="1:13" ht="14.25" customHeight="1" x14ac:dyDescent="0.25">
      <c r="A122" s="61"/>
      <c r="B122" s="64"/>
      <c r="C122" s="64"/>
      <c r="D122" s="63"/>
      <c r="E122" s="63"/>
      <c r="F122" s="63"/>
      <c r="G122" s="63"/>
      <c r="H122" s="63"/>
      <c r="I122" s="63"/>
      <c r="J122" s="63"/>
      <c r="K122" s="63"/>
      <c r="L122" s="63"/>
      <c r="M122" s="61"/>
    </row>
    <row r="123" spans="1:13" ht="14.25" customHeight="1" x14ac:dyDescent="0.25">
      <c r="A123" s="61"/>
      <c r="B123" s="62"/>
      <c r="C123" s="62"/>
      <c r="D123" s="63"/>
      <c r="E123" s="63"/>
      <c r="F123" s="63"/>
      <c r="G123" s="63"/>
      <c r="H123" s="63"/>
      <c r="I123" s="63"/>
      <c r="J123" s="63"/>
      <c r="K123" s="63"/>
      <c r="L123" s="63"/>
      <c r="M123" s="61"/>
    </row>
    <row r="124" spans="1:13" ht="14.25" customHeight="1" x14ac:dyDescent="0.25">
      <c r="A124" s="61"/>
      <c r="B124" s="64"/>
      <c r="C124" s="64"/>
      <c r="D124" s="63"/>
      <c r="E124" s="63"/>
      <c r="F124" s="63"/>
      <c r="G124" s="63"/>
      <c r="H124" s="63"/>
      <c r="I124" s="63"/>
      <c r="J124" s="63"/>
      <c r="K124" s="63"/>
      <c r="L124" s="63"/>
      <c r="M124" s="61"/>
    </row>
    <row r="125" spans="1:13" ht="14.25" customHeight="1" x14ac:dyDescent="0.25">
      <c r="A125" s="61"/>
      <c r="B125" s="64"/>
      <c r="C125" s="64"/>
      <c r="D125" s="63"/>
      <c r="E125" s="63"/>
      <c r="F125" s="63"/>
      <c r="G125" s="63"/>
      <c r="H125" s="63"/>
      <c r="I125" s="63"/>
      <c r="J125" s="63"/>
      <c r="K125" s="63"/>
      <c r="L125" s="63"/>
      <c r="M125" s="61"/>
    </row>
    <row r="126" spans="1:13" ht="14.25" customHeight="1" x14ac:dyDescent="0.25">
      <c r="A126" s="61"/>
      <c r="B126" s="62"/>
      <c r="C126" s="62"/>
      <c r="D126" s="63"/>
      <c r="E126" s="63"/>
      <c r="F126" s="63"/>
      <c r="G126" s="63"/>
      <c r="H126" s="63"/>
      <c r="I126" s="63"/>
      <c r="J126" s="63"/>
      <c r="K126" s="63"/>
      <c r="L126" s="63"/>
      <c r="M126" s="61"/>
    </row>
    <row r="127" spans="1:13" ht="14.25" customHeight="1" x14ac:dyDescent="0.25">
      <c r="A127" s="61"/>
      <c r="B127" s="62"/>
      <c r="C127" s="62"/>
      <c r="D127" s="63"/>
      <c r="E127" s="63"/>
      <c r="F127" s="63"/>
      <c r="G127" s="63"/>
      <c r="H127" s="63"/>
      <c r="I127" s="63"/>
      <c r="J127" s="63"/>
      <c r="K127" s="63"/>
      <c r="L127" s="63"/>
      <c r="M127" s="61"/>
    </row>
    <row r="128" spans="1:13" ht="14.25" customHeight="1" x14ac:dyDescent="0.25">
      <c r="A128" s="61"/>
      <c r="B128" s="62"/>
      <c r="C128" s="62"/>
      <c r="D128" s="63"/>
      <c r="E128" s="63"/>
      <c r="F128" s="63"/>
      <c r="G128" s="63"/>
      <c r="H128" s="63"/>
      <c r="I128" s="63"/>
      <c r="J128" s="63"/>
      <c r="K128" s="63"/>
      <c r="L128" s="63"/>
      <c r="M128" s="61"/>
    </row>
    <row r="129" spans="1:13" ht="14.25" customHeight="1" x14ac:dyDescent="0.25">
      <c r="A129" s="61"/>
      <c r="B129" s="62"/>
      <c r="C129" s="62"/>
      <c r="D129" s="63"/>
      <c r="E129" s="63"/>
      <c r="F129" s="63"/>
      <c r="G129" s="63"/>
      <c r="H129" s="63"/>
      <c r="I129" s="63"/>
      <c r="J129" s="63"/>
      <c r="K129" s="63"/>
      <c r="L129" s="63"/>
      <c r="M129" s="61"/>
    </row>
    <row r="130" spans="1:13" ht="14.25" customHeight="1" x14ac:dyDescent="0.25">
      <c r="A130" s="61"/>
      <c r="B130" s="62"/>
      <c r="C130" s="62"/>
      <c r="D130" s="66"/>
      <c r="E130" s="63"/>
      <c r="F130" s="63"/>
      <c r="G130" s="63"/>
      <c r="H130" s="63"/>
      <c r="I130" s="63"/>
      <c r="J130" s="63"/>
      <c r="K130" s="63"/>
      <c r="L130" s="63"/>
      <c r="M130" s="61"/>
    </row>
    <row r="131" spans="1:13" ht="14.25" customHeight="1" x14ac:dyDescent="0.25">
      <c r="A131" s="61"/>
      <c r="B131" s="62"/>
      <c r="C131" s="62"/>
      <c r="D131" s="66"/>
      <c r="E131" s="63"/>
      <c r="F131" s="63"/>
      <c r="G131" s="63"/>
      <c r="H131" s="63"/>
      <c r="I131" s="63"/>
      <c r="J131" s="63"/>
      <c r="K131" s="63"/>
      <c r="L131" s="63"/>
      <c r="M131" s="61"/>
    </row>
    <row r="132" spans="1:13" ht="14.25" customHeight="1" x14ac:dyDescent="0.25">
      <c r="A132" s="61"/>
      <c r="B132" s="62"/>
      <c r="C132" s="62"/>
      <c r="D132" s="66"/>
      <c r="E132" s="63"/>
      <c r="F132" s="63"/>
      <c r="G132" s="63"/>
      <c r="H132" s="63"/>
      <c r="I132" s="63"/>
      <c r="J132" s="63"/>
      <c r="K132" s="63"/>
      <c r="L132" s="63"/>
      <c r="M132" s="61"/>
    </row>
    <row r="133" spans="1:13" ht="14.25" customHeight="1" x14ac:dyDescent="0.25">
      <c r="A133" s="61"/>
      <c r="B133" s="64"/>
      <c r="C133" s="64"/>
      <c r="D133" s="63"/>
      <c r="E133" s="63"/>
      <c r="F133" s="63"/>
      <c r="G133" s="63"/>
      <c r="H133" s="63"/>
      <c r="I133" s="63"/>
      <c r="J133" s="63"/>
      <c r="K133" s="63"/>
      <c r="L133" s="63"/>
      <c r="M133" s="61"/>
    </row>
    <row r="134" spans="1:13" ht="14.25" customHeight="1" x14ac:dyDescent="0.25">
      <c r="A134" s="61"/>
      <c r="B134" s="31"/>
      <c r="C134" s="31"/>
      <c r="D134" s="67"/>
      <c r="E134" s="63"/>
      <c r="F134" s="63"/>
      <c r="G134" s="63"/>
      <c r="H134" s="63"/>
      <c r="I134" s="63"/>
      <c r="J134" s="63"/>
      <c r="K134" s="63"/>
      <c r="L134" s="63"/>
      <c r="M134" s="61"/>
    </row>
    <row r="135" spans="1:13" ht="14.25" customHeight="1" x14ac:dyDescent="0.25">
      <c r="A135" s="61"/>
      <c r="B135" s="62"/>
      <c r="C135" s="62"/>
      <c r="D135" s="67"/>
      <c r="E135" s="63"/>
      <c r="F135" s="63"/>
      <c r="G135" s="63"/>
      <c r="H135" s="63"/>
      <c r="I135" s="63"/>
      <c r="J135" s="63"/>
      <c r="K135" s="63"/>
      <c r="L135" s="63"/>
      <c r="M135" s="61"/>
    </row>
    <row r="136" spans="1:13" ht="14.25" customHeight="1" x14ac:dyDescent="0.25">
      <c r="A136" s="61"/>
      <c r="B136" s="62"/>
      <c r="C136" s="62"/>
      <c r="D136" s="63"/>
      <c r="E136" s="63"/>
      <c r="F136" s="63"/>
      <c r="G136" s="63"/>
      <c r="H136" s="63"/>
      <c r="I136" s="63"/>
      <c r="J136" s="63"/>
      <c r="K136" s="63"/>
      <c r="L136" s="63"/>
      <c r="M136" s="61"/>
    </row>
    <row r="137" spans="1:13" ht="14.25" customHeight="1" x14ac:dyDescent="0.25">
      <c r="A137" s="61"/>
      <c r="B137" s="64"/>
      <c r="C137" s="64"/>
      <c r="D137" s="63"/>
      <c r="E137" s="63"/>
      <c r="F137" s="63"/>
      <c r="G137" s="63"/>
      <c r="H137" s="63"/>
      <c r="I137" s="63"/>
      <c r="J137" s="63"/>
      <c r="K137" s="63"/>
      <c r="L137" s="63"/>
      <c r="M137" s="61"/>
    </row>
    <row r="138" spans="1:13" ht="14.25" customHeight="1" x14ac:dyDescent="0.25">
      <c r="A138" s="61"/>
      <c r="B138" s="64"/>
      <c r="C138" s="64"/>
      <c r="D138" s="63"/>
      <c r="E138" s="63"/>
      <c r="F138" s="63"/>
      <c r="G138" s="63"/>
      <c r="H138" s="63"/>
      <c r="I138" s="63"/>
      <c r="J138" s="63"/>
      <c r="K138" s="63"/>
      <c r="L138" s="63"/>
      <c r="M138" s="61"/>
    </row>
    <row r="139" spans="1:13" ht="14.25" customHeight="1" x14ac:dyDescent="0.25">
      <c r="A139" s="61"/>
      <c r="B139" s="64"/>
      <c r="C139" s="64"/>
      <c r="D139" s="63"/>
      <c r="E139" s="63"/>
      <c r="F139" s="63"/>
      <c r="G139" s="63"/>
      <c r="H139" s="63"/>
      <c r="I139" s="63"/>
      <c r="J139" s="63"/>
      <c r="K139" s="63"/>
      <c r="L139" s="63"/>
      <c r="M139" s="61"/>
    </row>
    <row r="140" spans="1:13" ht="14.25" customHeight="1" x14ac:dyDescent="0.25">
      <c r="A140" s="61"/>
      <c r="B140" s="64"/>
      <c r="C140" s="64"/>
      <c r="D140" s="63"/>
      <c r="E140" s="63"/>
      <c r="F140" s="63"/>
      <c r="G140" s="63"/>
      <c r="H140" s="63"/>
      <c r="I140" s="63"/>
      <c r="J140" s="63"/>
      <c r="K140" s="63"/>
      <c r="L140" s="63"/>
      <c r="M140" s="61"/>
    </row>
    <row r="141" spans="1:13" ht="14.25" customHeight="1" x14ac:dyDescent="0.25">
      <c r="A141" s="61"/>
      <c r="B141" s="62"/>
      <c r="C141" s="62"/>
      <c r="D141" s="63"/>
      <c r="E141" s="63"/>
      <c r="F141" s="63"/>
      <c r="G141" s="63"/>
      <c r="H141" s="63"/>
      <c r="I141" s="63"/>
      <c r="J141" s="63"/>
      <c r="K141" s="63"/>
      <c r="L141" s="63"/>
      <c r="M141" s="61"/>
    </row>
    <row r="142" spans="1:13" ht="14.25" customHeight="1" x14ac:dyDescent="0.25">
      <c r="A142" s="61"/>
      <c r="B142" s="62"/>
      <c r="C142" s="62"/>
      <c r="D142" s="63"/>
      <c r="E142" s="63"/>
      <c r="F142" s="63"/>
      <c r="G142" s="63"/>
      <c r="H142" s="63"/>
      <c r="I142" s="63"/>
      <c r="J142" s="63"/>
      <c r="K142" s="63"/>
      <c r="L142" s="63"/>
      <c r="M142" s="61"/>
    </row>
    <row r="143" spans="1:13" ht="14.25" customHeight="1" x14ac:dyDescent="0.25">
      <c r="A143" s="61"/>
      <c r="B143" s="31"/>
      <c r="C143" s="31"/>
      <c r="D143" s="63"/>
      <c r="E143" s="63"/>
      <c r="F143" s="63"/>
      <c r="G143" s="63"/>
      <c r="H143" s="63"/>
      <c r="I143" s="63"/>
      <c r="J143" s="63"/>
      <c r="K143" s="63"/>
      <c r="L143" s="63"/>
      <c r="M143" s="61"/>
    </row>
    <row r="144" spans="1:13" ht="14.25" customHeight="1" x14ac:dyDescent="0.25">
      <c r="A144" s="61"/>
      <c r="B144" s="62"/>
      <c r="C144" s="62"/>
      <c r="D144" s="63"/>
      <c r="E144" s="63"/>
      <c r="F144" s="63"/>
      <c r="G144" s="63"/>
      <c r="H144" s="63"/>
      <c r="I144" s="63"/>
      <c r="J144" s="63"/>
      <c r="K144" s="63"/>
      <c r="L144" s="63"/>
      <c r="M144" s="61"/>
    </row>
    <row r="145" spans="1:13" ht="14.25" customHeight="1" x14ac:dyDescent="0.25">
      <c r="A145" s="61"/>
      <c r="B145" s="64"/>
      <c r="C145" s="64"/>
      <c r="D145" s="63"/>
      <c r="E145" s="63"/>
      <c r="F145" s="63"/>
      <c r="G145" s="63"/>
      <c r="H145" s="63"/>
      <c r="I145" s="63"/>
      <c r="J145" s="63"/>
      <c r="K145" s="63"/>
      <c r="L145" s="63"/>
      <c r="M145" s="61"/>
    </row>
    <row r="146" spans="1:13" ht="14.25" customHeight="1" x14ac:dyDescent="0.25">
      <c r="A146" s="61"/>
      <c r="B146" s="62"/>
      <c r="C146" s="62"/>
      <c r="D146" s="63"/>
      <c r="E146" s="63"/>
      <c r="F146" s="63"/>
      <c r="G146" s="63"/>
      <c r="H146" s="63"/>
      <c r="I146" s="63"/>
      <c r="J146" s="63"/>
      <c r="K146" s="63"/>
      <c r="L146" s="63"/>
      <c r="M146" s="61"/>
    </row>
    <row r="147" spans="1:13" ht="14.25" customHeight="1" x14ac:dyDescent="0.25">
      <c r="A147" s="61"/>
      <c r="B147" s="62"/>
      <c r="C147" s="62"/>
      <c r="D147" s="63"/>
      <c r="E147" s="63"/>
      <c r="F147" s="63"/>
      <c r="G147" s="63"/>
      <c r="H147" s="63"/>
      <c r="I147" s="63"/>
      <c r="J147" s="63"/>
      <c r="K147" s="63"/>
      <c r="L147" s="63"/>
      <c r="M147" s="61"/>
    </row>
    <row r="148" spans="1:13" ht="14.25" customHeight="1" x14ac:dyDescent="0.25">
      <c r="A148" s="61"/>
      <c r="B148" s="62"/>
      <c r="C148" s="62"/>
      <c r="D148" s="63"/>
      <c r="E148" s="63"/>
      <c r="F148" s="63"/>
      <c r="G148" s="63"/>
      <c r="H148" s="63"/>
      <c r="I148" s="63"/>
      <c r="J148" s="63"/>
      <c r="K148" s="63"/>
      <c r="L148" s="63"/>
      <c r="M148" s="61"/>
    </row>
    <row r="149" spans="1:13" ht="14.25" customHeight="1" x14ac:dyDescent="0.25">
      <c r="A149" s="61"/>
      <c r="B149" s="68"/>
      <c r="C149" s="68"/>
      <c r="D149" s="63"/>
      <c r="E149" s="63"/>
      <c r="F149" s="63"/>
      <c r="G149" s="63"/>
      <c r="H149" s="63"/>
      <c r="I149" s="63"/>
      <c r="J149" s="63"/>
      <c r="K149" s="63"/>
      <c r="L149" s="63"/>
      <c r="M149" s="61"/>
    </row>
    <row r="150" spans="1:13" ht="14.25" customHeight="1" x14ac:dyDescent="0.25">
      <c r="A150" s="61"/>
      <c r="B150" s="62"/>
      <c r="C150" s="62"/>
      <c r="D150" s="63"/>
      <c r="E150" s="63"/>
      <c r="F150" s="63"/>
      <c r="G150" s="63"/>
      <c r="H150" s="63"/>
      <c r="I150" s="63"/>
      <c r="J150" s="63"/>
      <c r="K150" s="63"/>
      <c r="L150" s="61"/>
      <c r="M150" s="61"/>
    </row>
    <row r="151" spans="1:13" ht="14.25" customHeight="1" x14ac:dyDescent="0.25">
      <c r="A151" s="61"/>
      <c r="B151" s="64"/>
      <c r="C151" s="64"/>
      <c r="D151" s="63"/>
      <c r="E151" s="63"/>
      <c r="F151" s="63"/>
      <c r="G151" s="63"/>
      <c r="H151" s="63"/>
      <c r="I151" s="63"/>
      <c r="J151" s="63"/>
      <c r="K151" s="63"/>
      <c r="L151" s="61"/>
      <c r="M151" s="61"/>
    </row>
    <row r="152" spans="1:13" ht="14.25" customHeight="1" x14ac:dyDescent="0.25">
      <c r="A152" s="61"/>
      <c r="B152" s="62"/>
      <c r="C152" s="62"/>
      <c r="D152" s="63"/>
      <c r="E152" s="63"/>
      <c r="F152" s="63"/>
      <c r="G152" s="63"/>
      <c r="H152" s="63"/>
      <c r="I152" s="63"/>
      <c r="J152" s="63"/>
      <c r="K152" s="63"/>
      <c r="L152" s="61"/>
      <c r="M152" s="61"/>
    </row>
    <row r="153" spans="1:13" ht="14.25" customHeight="1" x14ac:dyDescent="0.25">
      <c r="A153" s="61"/>
      <c r="B153" s="64"/>
      <c r="C153" s="64"/>
      <c r="D153" s="63"/>
      <c r="E153" s="63"/>
      <c r="F153" s="63"/>
      <c r="G153" s="63"/>
      <c r="H153" s="63"/>
      <c r="I153" s="63"/>
      <c r="J153" s="63"/>
      <c r="K153" s="63"/>
      <c r="L153" s="61"/>
      <c r="M153" s="61"/>
    </row>
    <row r="154" spans="1:13" ht="14.25" customHeight="1" x14ac:dyDescent="0.25">
      <c r="A154" s="61"/>
      <c r="B154" s="62"/>
      <c r="C154" s="62"/>
      <c r="D154" s="63"/>
      <c r="E154" s="63"/>
      <c r="F154" s="63"/>
      <c r="G154" s="63"/>
      <c r="H154" s="63"/>
      <c r="I154" s="63"/>
      <c r="J154" s="63"/>
      <c r="K154" s="63"/>
      <c r="L154" s="61"/>
      <c r="M154" s="61"/>
    </row>
    <row r="155" spans="1:13" ht="14.25" customHeight="1" x14ac:dyDescent="0.25">
      <c r="A155" s="61"/>
      <c r="B155" s="62"/>
      <c r="C155" s="62"/>
      <c r="D155" s="61"/>
      <c r="E155" s="61"/>
      <c r="F155" s="61"/>
      <c r="G155" s="61"/>
      <c r="H155" s="61"/>
      <c r="I155" s="61"/>
      <c r="J155" s="61"/>
      <c r="K155" s="61"/>
      <c r="L155" s="61"/>
      <c r="M155" s="61"/>
    </row>
    <row r="156" spans="1:13" ht="14.25" customHeight="1" x14ac:dyDescent="0.25">
      <c r="A156" s="61"/>
      <c r="B156" s="64"/>
      <c r="C156" s="64"/>
      <c r="D156" s="61"/>
      <c r="E156" s="61"/>
      <c r="F156" s="61"/>
      <c r="G156" s="61"/>
      <c r="H156" s="61"/>
      <c r="I156" s="61"/>
      <c r="J156" s="61"/>
      <c r="K156" s="61"/>
      <c r="L156" s="61"/>
      <c r="M156" s="61"/>
    </row>
    <row r="157" spans="1:13" ht="14.25" customHeight="1" x14ac:dyDescent="0.25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</row>
    <row r="158" spans="1:13" ht="14.25" customHeight="1" x14ac:dyDescent="0.25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</row>
    <row r="159" spans="1:13" ht="14.25" customHeight="1" x14ac:dyDescent="0.25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</row>
    <row r="160" spans="1:13" ht="14.25" customHeight="1" x14ac:dyDescent="0.25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</row>
    <row r="161" spans="1:13" ht="14.25" customHeight="1" x14ac:dyDescent="0.25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</row>
    <row r="162" spans="1:13" ht="14.25" customHeight="1" x14ac:dyDescent="0.25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</row>
    <row r="163" spans="1:13" ht="14.25" customHeight="1" x14ac:dyDescent="0.25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</row>
    <row r="164" spans="1:13" ht="14.25" customHeight="1" x14ac:dyDescent="0.25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</row>
    <row r="165" spans="1:13" ht="14.25" customHeight="1" x14ac:dyDescent="0.25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</row>
    <row r="166" spans="1:13" ht="14.25" customHeight="1" x14ac:dyDescent="0.25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</row>
    <row r="167" spans="1:13" ht="14.25" customHeight="1" x14ac:dyDescent="0.25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</row>
    <row r="168" spans="1:13" ht="14.25" customHeight="1" x14ac:dyDescent="0.25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</row>
    <row r="169" spans="1:13" ht="14.25" customHeight="1" x14ac:dyDescent="0.25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</row>
    <row r="170" spans="1:13" ht="14.25" customHeight="1" x14ac:dyDescent="0.25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</row>
    <row r="171" spans="1:13" ht="14.25" customHeight="1" x14ac:dyDescent="0.25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</row>
    <row r="172" spans="1:13" ht="14.25" customHeight="1" x14ac:dyDescent="0.25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</row>
    <row r="173" spans="1:13" ht="14.25" customHeight="1" x14ac:dyDescent="0.25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</row>
    <row r="174" spans="1:13" ht="14.25" customHeight="1" x14ac:dyDescent="0.25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</row>
    <row r="175" spans="1:13" ht="14.25" customHeight="1" x14ac:dyDescent="0.2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</row>
    <row r="176" spans="1:13" ht="14.25" customHeight="1" x14ac:dyDescent="0.25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</row>
    <row r="177" spans="1:13" ht="14.25" customHeight="1" x14ac:dyDescent="0.25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</row>
    <row r="178" spans="1:13" ht="14.25" customHeight="1" x14ac:dyDescent="0.25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</row>
    <row r="179" spans="1:13" ht="14.25" customHeight="1" x14ac:dyDescent="0.25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</row>
    <row r="180" spans="1:13" ht="14.25" customHeight="1" x14ac:dyDescent="0.25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</row>
    <row r="181" spans="1:13" ht="14.25" customHeight="1" x14ac:dyDescent="0.25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</row>
    <row r="182" spans="1:13" ht="14.25" customHeight="1" x14ac:dyDescent="0.25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</row>
    <row r="183" spans="1:13" ht="14.25" customHeight="1" x14ac:dyDescent="0.25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</row>
    <row r="184" spans="1:13" ht="14.25" customHeight="1" x14ac:dyDescent="0.25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</row>
    <row r="185" spans="1:13" ht="14.25" customHeight="1" x14ac:dyDescent="0.2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</row>
    <row r="186" spans="1:13" ht="14.25" customHeight="1" x14ac:dyDescent="0.25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</row>
    <row r="187" spans="1:13" ht="14.25" customHeight="1" x14ac:dyDescent="0.25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</row>
    <row r="188" spans="1:13" ht="14.25" customHeight="1" x14ac:dyDescent="0.25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</row>
    <row r="189" spans="1:13" ht="14.25" customHeight="1" x14ac:dyDescent="0.25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</row>
    <row r="190" spans="1:13" ht="14.25" customHeight="1" x14ac:dyDescent="0.25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</row>
    <row r="191" spans="1:13" ht="14.25" customHeight="1" x14ac:dyDescent="0.25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</row>
    <row r="192" spans="1:13" ht="14.25" customHeight="1" x14ac:dyDescent="0.25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</row>
    <row r="193" spans="1:13" ht="14.25" customHeight="1" x14ac:dyDescent="0.25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</row>
    <row r="194" spans="1:13" ht="14.25" customHeight="1" x14ac:dyDescent="0.25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</row>
    <row r="195" spans="1:13" ht="14.25" customHeight="1" x14ac:dyDescent="0.25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</row>
    <row r="196" spans="1:13" ht="14.25" customHeight="1" x14ac:dyDescent="0.25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</row>
    <row r="197" spans="1:13" ht="14.25" customHeight="1" x14ac:dyDescent="0.25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</row>
    <row r="198" spans="1:13" ht="14.25" customHeight="1" x14ac:dyDescent="0.25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</row>
    <row r="199" spans="1:13" ht="14.25" customHeight="1" x14ac:dyDescent="0.25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</row>
    <row r="200" spans="1:13" ht="14.25" customHeight="1" x14ac:dyDescent="0.25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</row>
    <row r="201" spans="1:13" ht="14.25" customHeight="1" x14ac:dyDescent="0.25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</row>
    <row r="202" spans="1:13" ht="14.25" customHeight="1" x14ac:dyDescent="0.25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</row>
    <row r="203" spans="1:13" ht="14.25" customHeight="1" x14ac:dyDescent="0.25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</row>
    <row r="204" spans="1:13" ht="14.25" customHeight="1" x14ac:dyDescent="0.25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</row>
    <row r="205" spans="1:13" ht="14.25" customHeight="1" x14ac:dyDescent="0.2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</row>
    <row r="206" spans="1:13" ht="14.25" customHeight="1" x14ac:dyDescent="0.25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</row>
    <row r="207" spans="1:13" ht="14.25" customHeight="1" x14ac:dyDescent="0.25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</row>
    <row r="208" spans="1:13" ht="14.25" customHeight="1" x14ac:dyDescent="0.25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</row>
    <row r="209" spans="1:13" ht="14.25" customHeight="1" x14ac:dyDescent="0.25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</row>
    <row r="210" spans="1:13" ht="14.25" customHeight="1" x14ac:dyDescent="0.25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</row>
    <row r="211" spans="1:13" ht="14.25" customHeight="1" x14ac:dyDescent="0.25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</row>
    <row r="212" spans="1:13" ht="14.25" customHeight="1" x14ac:dyDescent="0.25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</row>
    <row r="213" spans="1:13" ht="14.25" customHeight="1" x14ac:dyDescent="0.25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</row>
    <row r="214" spans="1:13" ht="14.25" customHeight="1" x14ac:dyDescent="0.25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</row>
    <row r="215" spans="1:13" ht="14.25" customHeight="1" x14ac:dyDescent="0.25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</row>
    <row r="216" spans="1:13" ht="14.25" customHeight="1" x14ac:dyDescent="0.25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</row>
    <row r="217" spans="1:13" ht="14.25" customHeight="1" x14ac:dyDescent="0.25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</row>
    <row r="218" spans="1:13" ht="14.25" customHeight="1" x14ac:dyDescent="0.25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</row>
    <row r="219" spans="1:13" ht="14.25" customHeight="1" x14ac:dyDescent="0.25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</row>
    <row r="220" spans="1:13" ht="14.25" customHeight="1" x14ac:dyDescent="0.25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</row>
    <row r="221" spans="1:13" ht="14.25" customHeight="1" x14ac:dyDescent="0.25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</row>
    <row r="222" spans="1:13" ht="14.25" customHeight="1" x14ac:dyDescent="0.25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</row>
    <row r="223" spans="1:13" ht="14.25" customHeight="1" x14ac:dyDescent="0.25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</row>
    <row r="224" spans="1:13" ht="14.25" customHeight="1" x14ac:dyDescent="0.25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</row>
    <row r="225" spans="1:13" ht="14.25" customHeight="1" x14ac:dyDescent="0.25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</row>
    <row r="226" spans="1:13" ht="14.25" customHeight="1" x14ac:dyDescent="0.25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</row>
    <row r="227" spans="1:13" ht="14.25" customHeight="1" x14ac:dyDescent="0.25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</row>
    <row r="228" spans="1:13" ht="14.25" customHeight="1" x14ac:dyDescent="0.25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</row>
    <row r="229" spans="1:13" ht="14.25" customHeight="1" x14ac:dyDescent="0.25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</row>
    <row r="230" spans="1:13" ht="14.25" customHeight="1" x14ac:dyDescent="0.25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</row>
    <row r="231" spans="1:13" ht="14.25" customHeight="1" x14ac:dyDescent="0.25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</row>
    <row r="232" spans="1:13" ht="14.25" customHeight="1" x14ac:dyDescent="0.25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</row>
    <row r="233" spans="1:13" ht="14.25" customHeight="1" x14ac:dyDescent="0.25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</row>
    <row r="234" spans="1:13" ht="14.25" customHeight="1" x14ac:dyDescent="0.25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</row>
    <row r="235" spans="1:13" ht="14.25" customHeight="1" x14ac:dyDescent="0.25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</row>
    <row r="236" spans="1:13" ht="14.25" customHeight="1" x14ac:dyDescent="0.25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</row>
    <row r="237" spans="1:13" ht="14.25" customHeight="1" x14ac:dyDescent="0.25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</row>
    <row r="238" spans="1:13" ht="14.25" customHeight="1" x14ac:dyDescent="0.25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</row>
    <row r="239" spans="1:13" ht="14.25" customHeight="1" x14ac:dyDescent="0.25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</row>
    <row r="240" spans="1:13" ht="14.25" customHeight="1" x14ac:dyDescent="0.25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</row>
    <row r="241" spans="1:13" ht="14.25" customHeight="1" x14ac:dyDescent="0.25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</row>
    <row r="242" spans="1:13" ht="14.25" customHeight="1" x14ac:dyDescent="0.25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</row>
    <row r="243" spans="1:13" ht="14.25" customHeight="1" x14ac:dyDescent="0.25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</row>
    <row r="244" spans="1:13" ht="14.25" customHeight="1" x14ac:dyDescent="0.25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</row>
    <row r="245" spans="1:13" ht="14.25" customHeight="1" x14ac:dyDescent="0.25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</row>
    <row r="246" spans="1:13" ht="14.25" customHeight="1" x14ac:dyDescent="0.25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</row>
    <row r="247" spans="1:13" ht="14.25" customHeight="1" x14ac:dyDescent="0.25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</row>
    <row r="248" spans="1:13" ht="14.25" customHeight="1" x14ac:dyDescent="0.25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</row>
    <row r="249" spans="1:13" ht="14.25" customHeight="1" x14ac:dyDescent="0.25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</row>
    <row r="250" spans="1:13" ht="14.25" customHeight="1" x14ac:dyDescent="0.25"/>
    <row r="251" spans="1:13" ht="14.25" customHeight="1" x14ac:dyDescent="0.25"/>
    <row r="252" spans="1:13" ht="14.25" customHeight="1" x14ac:dyDescent="0.25"/>
    <row r="253" spans="1:13" ht="14.25" customHeight="1" x14ac:dyDescent="0.25"/>
    <row r="254" spans="1:13" ht="14.25" customHeight="1" x14ac:dyDescent="0.25"/>
    <row r="255" spans="1:13" ht="14.25" customHeight="1" x14ac:dyDescent="0.25"/>
    <row r="256" spans="1:13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6">
    <mergeCell ref="A50:C50"/>
    <mergeCell ref="B2:B3"/>
    <mergeCell ref="C2:C3"/>
    <mergeCell ref="A2:A3"/>
    <mergeCell ref="A1:O1"/>
    <mergeCell ref="D2:O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MBPP</vt:lpstr>
      <vt:lpstr>MBSP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Shirley Teh</cp:lastModifiedBy>
  <dcterms:created xsi:type="dcterms:W3CDTF">2021-06-12T14:12:24Z</dcterms:created>
  <dcterms:modified xsi:type="dcterms:W3CDTF">2021-07-02T07:54:54Z</dcterms:modified>
</cp:coreProperties>
</file>