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worksheets/sheet632.xml" ContentType="application/vnd.openxmlformats-officedocument.spreadsheetml.worksheet+xml"/>
  <Override PartName="/xl/worksheets/sheet633.xml" ContentType="application/vnd.openxmlformats-officedocument.spreadsheetml.worksheet+xml"/>
  <Override PartName="/xl/worksheets/sheet634.xml" ContentType="application/vnd.openxmlformats-officedocument.spreadsheetml.worksheet+xml"/>
  <Override PartName="/xl/worksheets/sheet635.xml" ContentType="application/vnd.openxmlformats-officedocument.spreadsheetml.worksheet+xml"/>
  <Override PartName="/xl/worksheets/sheet636.xml" ContentType="application/vnd.openxmlformats-officedocument.spreadsheetml.worksheet+xml"/>
  <Override PartName="/xl/worksheets/sheet637.xml" ContentType="application/vnd.openxmlformats-officedocument.spreadsheetml.worksheet+xml"/>
  <Override PartName="/xl/worksheets/sheet638.xml" ContentType="application/vnd.openxmlformats-officedocument.spreadsheetml.worksheet+xml"/>
  <Override PartName="/xl/worksheets/sheet639.xml" ContentType="application/vnd.openxmlformats-officedocument.spreadsheetml.worksheet+xml"/>
  <Override PartName="/xl/worksheets/sheet640.xml" ContentType="application/vnd.openxmlformats-officedocument.spreadsheetml.worksheet+xml"/>
  <Override PartName="/xl/worksheets/sheet641.xml" ContentType="application/vnd.openxmlformats-officedocument.spreadsheetml.worksheet+xml"/>
  <Override PartName="/xl/worksheets/sheet642.xml" ContentType="application/vnd.openxmlformats-officedocument.spreadsheetml.worksheet+xml"/>
  <Override PartName="/xl/worksheets/sheet643.xml" ContentType="application/vnd.openxmlformats-officedocument.spreadsheetml.worksheet+xml"/>
  <Override PartName="/xl/worksheets/sheet644.xml" ContentType="application/vnd.openxmlformats-officedocument.spreadsheetml.worksheet+xml"/>
  <Override PartName="/xl/worksheets/sheet645.xml" ContentType="application/vnd.openxmlformats-officedocument.spreadsheetml.worksheet+xml"/>
  <Override PartName="/xl/worksheets/sheet646.xml" ContentType="application/vnd.openxmlformats-officedocument.spreadsheetml.worksheet+xml"/>
  <Override PartName="/xl/worksheets/sheet647.xml" ContentType="application/vnd.openxmlformats-officedocument.spreadsheetml.worksheet+xml"/>
  <Override PartName="/xl/worksheets/sheet648.xml" ContentType="application/vnd.openxmlformats-officedocument.spreadsheetml.worksheet+xml"/>
  <Override PartName="/xl/worksheets/sheet649.xml" ContentType="application/vnd.openxmlformats-officedocument.spreadsheetml.worksheet+xml"/>
  <Override PartName="/xl/worksheets/sheet650.xml" ContentType="application/vnd.openxmlformats-officedocument.spreadsheetml.worksheet+xml"/>
  <Override PartName="/xl/worksheets/sheet651.xml" ContentType="application/vnd.openxmlformats-officedocument.spreadsheetml.worksheet+xml"/>
  <Override PartName="/xl/worksheets/sheet652.xml" ContentType="application/vnd.openxmlformats-officedocument.spreadsheetml.worksheet+xml"/>
  <Override PartName="/xl/worksheets/sheet653.xml" ContentType="application/vnd.openxmlformats-officedocument.spreadsheetml.worksheet+xml"/>
  <Override PartName="/xl/worksheets/sheet654.xml" ContentType="application/vnd.openxmlformats-officedocument.spreadsheetml.worksheet+xml"/>
  <Override PartName="/xl/worksheets/sheet655.xml" ContentType="application/vnd.openxmlformats-officedocument.spreadsheetml.worksheet+xml"/>
  <Override PartName="/xl/worksheets/sheet656.xml" ContentType="application/vnd.openxmlformats-officedocument.spreadsheetml.worksheet+xml"/>
  <Override PartName="/xl/worksheets/sheet657.xml" ContentType="application/vnd.openxmlformats-officedocument.spreadsheetml.worksheet+xml"/>
  <Override PartName="/xl/worksheets/sheet658.xml" ContentType="application/vnd.openxmlformats-officedocument.spreadsheetml.worksheet+xml"/>
  <Override PartName="/xl/worksheets/sheet659.xml" ContentType="application/vnd.openxmlformats-officedocument.spreadsheetml.worksheet+xml"/>
  <Override PartName="/xl/worksheets/sheet660.xml" ContentType="application/vnd.openxmlformats-officedocument.spreadsheetml.worksheet+xml"/>
  <Override PartName="/xl/worksheets/sheet661.xml" ContentType="application/vnd.openxmlformats-officedocument.spreadsheetml.worksheet+xml"/>
  <Override PartName="/xl/worksheets/sheet662.xml" ContentType="application/vnd.openxmlformats-officedocument.spreadsheetml.worksheet+xml"/>
  <Override PartName="/xl/worksheets/sheet663.xml" ContentType="application/vnd.openxmlformats-officedocument.spreadsheetml.worksheet+xml"/>
  <Override PartName="/xl/worksheets/sheet664.xml" ContentType="application/vnd.openxmlformats-officedocument.spreadsheetml.worksheet+xml"/>
  <Override PartName="/xl/worksheets/sheet665.xml" ContentType="application/vnd.openxmlformats-officedocument.spreadsheetml.worksheet+xml"/>
  <Override PartName="/xl/worksheets/sheet666.xml" ContentType="application/vnd.openxmlformats-officedocument.spreadsheetml.worksheet+xml"/>
  <Override PartName="/xl/worksheets/sheet667.xml" ContentType="application/vnd.openxmlformats-officedocument.spreadsheetml.worksheet+xml"/>
  <Override PartName="/xl/worksheets/sheet668.xml" ContentType="application/vnd.openxmlformats-officedocument.spreadsheetml.worksheet+xml"/>
  <Override PartName="/xl/worksheets/sheet669.xml" ContentType="application/vnd.openxmlformats-officedocument.spreadsheetml.worksheet+xml"/>
  <Override PartName="/xl/worksheets/sheet670.xml" ContentType="application/vnd.openxmlformats-officedocument.spreadsheetml.worksheet+xml"/>
  <Override PartName="/xl/worksheets/sheet671.xml" ContentType="application/vnd.openxmlformats-officedocument.spreadsheetml.worksheet+xml"/>
  <Override PartName="/xl/worksheets/sheet672.xml" ContentType="application/vnd.openxmlformats-officedocument.spreadsheetml.worksheet+xml"/>
  <Override PartName="/xl/worksheets/sheet673.xml" ContentType="application/vnd.openxmlformats-officedocument.spreadsheetml.worksheet+xml"/>
  <Override PartName="/xl/worksheets/sheet674.xml" ContentType="application/vnd.openxmlformats-officedocument.spreadsheetml.worksheet+xml"/>
  <Override PartName="/xl/worksheets/sheet675.xml" ContentType="application/vnd.openxmlformats-officedocument.spreadsheetml.worksheet+xml"/>
  <Override PartName="/xl/worksheets/sheet676.xml" ContentType="application/vnd.openxmlformats-officedocument.spreadsheetml.worksheet+xml"/>
  <Override PartName="/xl/worksheets/sheet677.xml" ContentType="application/vnd.openxmlformats-officedocument.spreadsheetml.worksheet+xml"/>
  <Override PartName="/xl/worksheets/sheet678.xml" ContentType="application/vnd.openxmlformats-officedocument.spreadsheetml.worksheet+xml"/>
  <Override PartName="/xl/worksheets/sheet679.xml" ContentType="application/vnd.openxmlformats-officedocument.spreadsheetml.worksheet+xml"/>
  <Override PartName="/xl/worksheets/sheet680.xml" ContentType="application/vnd.openxmlformats-officedocument.spreadsheetml.worksheet+xml"/>
  <Override PartName="/xl/worksheets/sheet681.xml" ContentType="application/vnd.openxmlformats-officedocument.spreadsheetml.worksheet+xml"/>
  <Override PartName="/xl/worksheets/sheet682.xml" ContentType="application/vnd.openxmlformats-officedocument.spreadsheetml.worksheet+xml"/>
  <Override PartName="/xl/worksheets/sheet683.xml" ContentType="application/vnd.openxmlformats-officedocument.spreadsheetml.worksheet+xml"/>
  <Override PartName="/xl/worksheets/sheet684.xml" ContentType="application/vnd.openxmlformats-officedocument.spreadsheetml.worksheet+xml"/>
  <Override PartName="/xl/worksheets/sheet685.xml" ContentType="application/vnd.openxmlformats-officedocument.spreadsheetml.worksheet+xml"/>
  <Override PartName="/xl/worksheets/sheet686.xml" ContentType="application/vnd.openxmlformats-officedocument.spreadsheetml.worksheet+xml"/>
  <Override PartName="/xl/worksheets/sheet687.xml" ContentType="application/vnd.openxmlformats-officedocument.spreadsheetml.worksheet+xml"/>
  <Override PartName="/xl/worksheets/sheet688.xml" ContentType="application/vnd.openxmlformats-officedocument.spreadsheetml.worksheet+xml"/>
  <Override PartName="/xl/worksheets/sheet689.xml" ContentType="application/vnd.openxmlformats-officedocument.spreadsheetml.worksheet+xml"/>
  <Override PartName="/xl/worksheets/sheet690.xml" ContentType="application/vnd.openxmlformats-officedocument.spreadsheetml.worksheet+xml"/>
  <Override PartName="/xl/worksheets/sheet691.xml" ContentType="application/vnd.openxmlformats-officedocument.spreadsheetml.worksheet+xml"/>
  <Override PartName="/xl/worksheets/sheet692.xml" ContentType="application/vnd.openxmlformats-officedocument.spreadsheetml.worksheet+xml"/>
  <Override PartName="/xl/worksheets/sheet693.xml" ContentType="application/vnd.openxmlformats-officedocument.spreadsheetml.worksheet+xml"/>
  <Override PartName="/xl/worksheets/sheet694.xml" ContentType="application/vnd.openxmlformats-officedocument.spreadsheetml.worksheet+xml"/>
  <Override PartName="/xl/worksheets/sheet695.xml" ContentType="application/vnd.openxmlformats-officedocument.spreadsheetml.worksheet+xml"/>
  <Override PartName="/xl/worksheets/sheet696.xml" ContentType="application/vnd.openxmlformats-officedocument.spreadsheetml.worksheet+xml"/>
  <Override PartName="/xl/worksheets/sheet697.xml" ContentType="application/vnd.openxmlformats-officedocument.spreadsheetml.worksheet+xml"/>
  <Override PartName="/xl/worksheets/sheet698.xml" ContentType="application/vnd.openxmlformats-officedocument.spreadsheetml.worksheet+xml"/>
  <Override PartName="/xl/worksheets/sheet699.xml" ContentType="application/vnd.openxmlformats-officedocument.spreadsheetml.worksheet+xml"/>
  <Override PartName="/xl/worksheets/sheet700.xml" ContentType="application/vnd.openxmlformats-officedocument.spreadsheetml.worksheet+xml"/>
  <Override PartName="/xl/worksheets/sheet701.xml" ContentType="application/vnd.openxmlformats-officedocument.spreadsheetml.worksheet+xml"/>
  <Override PartName="/xl/worksheets/sheet702.xml" ContentType="application/vnd.openxmlformats-officedocument.spreadsheetml.worksheet+xml"/>
  <Override PartName="/xl/worksheets/sheet703.xml" ContentType="application/vnd.openxmlformats-officedocument.spreadsheetml.worksheet+xml"/>
  <Override PartName="/xl/worksheets/sheet704.xml" ContentType="application/vnd.openxmlformats-officedocument.spreadsheetml.worksheet+xml"/>
  <Override PartName="/xl/worksheets/sheet705.xml" ContentType="application/vnd.openxmlformats-officedocument.spreadsheetml.worksheet+xml"/>
  <Override PartName="/xl/worksheets/sheet706.xml" ContentType="application/vnd.openxmlformats-officedocument.spreadsheetml.worksheet+xml"/>
  <Override PartName="/xl/worksheets/sheet707.xml" ContentType="application/vnd.openxmlformats-officedocument.spreadsheetml.worksheet+xml"/>
  <Override PartName="/xl/worksheets/sheet708.xml" ContentType="application/vnd.openxmlformats-officedocument.spreadsheetml.worksheet+xml"/>
  <Override PartName="/xl/worksheets/sheet709.xml" ContentType="application/vnd.openxmlformats-officedocument.spreadsheetml.worksheet+xml"/>
  <Override PartName="/xl/worksheets/sheet710.xml" ContentType="application/vnd.openxmlformats-officedocument.spreadsheetml.worksheet+xml"/>
  <Override PartName="/xl/worksheets/sheet711.xml" ContentType="application/vnd.openxmlformats-officedocument.spreadsheetml.worksheet+xml"/>
  <Override PartName="/xl/worksheets/sheet712.xml" ContentType="application/vnd.openxmlformats-officedocument.spreadsheetml.worksheet+xml"/>
  <Override PartName="/xl/worksheets/sheet713.xml" ContentType="application/vnd.openxmlformats-officedocument.spreadsheetml.worksheet+xml"/>
  <Override PartName="/xl/worksheets/sheet714.xml" ContentType="application/vnd.openxmlformats-officedocument.spreadsheetml.worksheet+xml"/>
  <Override PartName="/xl/worksheets/sheet715.xml" ContentType="application/vnd.openxmlformats-officedocument.spreadsheetml.worksheet+xml"/>
  <Override PartName="/xl/worksheets/sheet716.xml" ContentType="application/vnd.openxmlformats-officedocument.spreadsheetml.worksheet+xml"/>
  <Override PartName="/xl/worksheets/sheet717.xml" ContentType="application/vnd.openxmlformats-officedocument.spreadsheetml.worksheet+xml"/>
  <Override PartName="/xl/worksheets/sheet718.xml" ContentType="application/vnd.openxmlformats-officedocument.spreadsheetml.worksheet+xml"/>
  <Override PartName="/xl/worksheets/sheet719.xml" ContentType="application/vnd.openxmlformats-officedocument.spreadsheetml.worksheet+xml"/>
  <Override PartName="/xl/worksheets/sheet720.xml" ContentType="application/vnd.openxmlformats-officedocument.spreadsheetml.worksheet+xml"/>
  <Override PartName="/xl/worksheets/sheet721.xml" ContentType="application/vnd.openxmlformats-officedocument.spreadsheetml.worksheet+xml"/>
  <Override PartName="/xl/worksheets/sheet722.xml" ContentType="application/vnd.openxmlformats-officedocument.spreadsheetml.worksheet+xml"/>
  <Override PartName="/xl/worksheets/sheet723.xml" ContentType="application/vnd.openxmlformats-officedocument.spreadsheetml.worksheet+xml"/>
  <Override PartName="/xl/worksheets/sheet724.xml" ContentType="application/vnd.openxmlformats-officedocument.spreadsheetml.worksheet+xml"/>
  <Override PartName="/xl/worksheets/sheet725.xml" ContentType="application/vnd.openxmlformats-officedocument.spreadsheetml.worksheet+xml"/>
  <Override PartName="/xl/worksheets/sheet726.xml" ContentType="application/vnd.openxmlformats-officedocument.spreadsheetml.worksheet+xml"/>
  <Override PartName="/xl/worksheets/sheet727.xml" ContentType="application/vnd.openxmlformats-officedocument.spreadsheetml.worksheet+xml"/>
  <Override PartName="/xl/worksheets/sheet728.xml" ContentType="application/vnd.openxmlformats-officedocument.spreadsheetml.worksheet+xml"/>
  <Override PartName="/xl/worksheets/sheet729.xml" ContentType="application/vnd.openxmlformats-officedocument.spreadsheetml.worksheet+xml"/>
  <Override PartName="/xl/worksheets/sheet730.xml" ContentType="application/vnd.openxmlformats-officedocument.spreadsheetml.worksheet+xml"/>
  <Override PartName="/xl/worksheets/sheet731.xml" ContentType="application/vnd.openxmlformats-officedocument.spreadsheetml.worksheet+xml"/>
  <Override PartName="/xl/worksheets/sheet732.xml" ContentType="application/vnd.openxmlformats-officedocument.spreadsheetml.worksheet+xml"/>
  <Override PartName="/xl/worksheets/sheet733.xml" ContentType="application/vnd.openxmlformats-officedocument.spreadsheetml.worksheet+xml"/>
  <Override PartName="/xl/worksheets/sheet734.xml" ContentType="application/vnd.openxmlformats-officedocument.spreadsheetml.worksheet+xml"/>
  <Override PartName="/xl/worksheets/sheet735.xml" ContentType="application/vnd.openxmlformats-officedocument.spreadsheetml.worksheet+xml"/>
  <Override PartName="/xl/worksheets/sheet736.xml" ContentType="application/vnd.openxmlformats-officedocument.spreadsheetml.worksheet+xml"/>
  <Override PartName="/xl/worksheets/sheet737.xml" ContentType="application/vnd.openxmlformats-officedocument.spreadsheetml.worksheet+xml"/>
  <Override PartName="/xl/worksheets/sheet738.xml" ContentType="application/vnd.openxmlformats-officedocument.spreadsheetml.worksheet+xml"/>
  <Override PartName="/xl/worksheets/sheet739.xml" ContentType="application/vnd.openxmlformats-officedocument.spreadsheetml.worksheet+xml"/>
  <Override PartName="/xl/worksheets/sheet740.xml" ContentType="application/vnd.openxmlformats-officedocument.spreadsheetml.worksheet+xml"/>
  <Override PartName="/xl/worksheets/sheet741.xml" ContentType="application/vnd.openxmlformats-officedocument.spreadsheetml.worksheet+xml"/>
  <Override PartName="/xl/worksheets/sheet742.xml" ContentType="application/vnd.openxmlformats-officedocument.spreadsheetml.worksheet+xml"/>
  <Override PartName="/xl/worksheets/sheet743.xml" ContentType="application/vnd.openxmlformats-officedocument.spreadsheetml.worksheet+xml"/>
  <Override PartName="/xl/worksheets/sheet744.xml" ContentType="application/vnd.openxmlformats-officedocument.spreadsheetml.worksheet+xml"/>
  <Override PartName="/xl/worksheets/sheet745.xml" ContentType="application/vnd.openxmlformats-officedocument.spreadsheetml.worksheet+xml"/>
  <Override PartName="/xl/worksheets/sheet746.xml" ContentType="application/vnd.openxmlformats-officedocument.spreadsheetml.worksheet+xml"/>
  <Override PartName="/xl/worksheets/sheet747.xml" ContentType="application/vnd.openxmlformats-officedocument.spreadsheetml.worksheet+xml"/>
  <Override PartName="/xl/worksheets/sheet748.xml" ContentType="application/vnd.openxmlformats-officedocument.spreadsheetml.worksheet+xml"/>
  <Override PartName="/xl/worksheets/sheet749.xml" ContentType="application/vnd.openxmlformats-officedocument.spreadsheetml.worksheet+xml"/>
  <Override PartName="/xl/worksheets/sheet750.xml" ContentType="application/vnd.openxmlformats-officedocument.spreadsheetml.worksheet+xml"/>
  <Override PartName="/xl/worksheets/sheet751.xml" ContentType="application/vnd.openxmlformats-officedocument.spreadsheetml.worksheet+xml"/>
  <Override PartName="/xl/worksheets/sheet752.xml" ContentType="application/vnd.openxmlformats-officedocument.spreadsheetml.worksheet+xml"/>
  <Override PartName="/xl/worksheets/sheet753.xml" ContentType="application/vnd.openxmlformats-officedocument.spreadsheetml.worksheet+xml"/>
  <Override PartName="/xl/worksheets/sheet754.xml" ContentType="application/vnd.openxmlformats-officedocument.spreadsheetml.worksheet+xml"/>
  <Override PartName="/xl/worksheets/sheet755.xml" ContentType="application/vnd.openxmlformats-officedocument.spreadsheetml.worksheet+xml"/>
  <Override PartName="/xl/worksheets/sheet756.xml" ContentType="application/vnd.openxmlformats-officedocument.spreadsheetml.worksheet+xml"/>
  <Override PartName="/xl/worksheets/sheet757.xml" ContentType="application/vnd.openxmlformats-officedocument.spreadsheetml.worksheet+xml"/>
  <Override PartName="/xl/worksheets/sheet758.xml" ContentType="application/vnd.openxmlformats-officedocument.spreadsheetml.worksheet+xml"/>
  <Override PartName="/xl/worksheets/sheet759.xml" ContentType="application/vnd.openxmlformats-officedocument.spreadsheetml.worksheet+xml"/>
  <Override PartName="/xl/worksheets/sheet760.xml" ContentType="application/vnd.openxmlformats-officedocument.spreadsheetml.worksheet+xml"/>
  <Override PartName="/xl/worksheets/sheet761.xml" ContentType="application/vnd.openxmlformats-officedocument.spreadsheetml.worksheet+xml"/>
  <Override PartName="/xl/worksheets/sheet762.xml" ContentType="application/vnd.openxmlformats-officedocument.spreadsheetml.worksheet+xml"/>
  <Override PartName="/xl/worksheets/sheet763.xml" ContentType="application/vnd.openxmlformats-officedocument.spreadsheetml.worksheet+xml"/>
  <Override PartName="/xl/worksheets/sheet764.xml" ContentType="application/vnd.openxmlformats-officedocument.spreadsheetml.worksheet+xml"/>
  <Override PartName="/xl/worksheets/sheet765.xml" ContentType="application/vnd.openxmlformats-officedocument.spreadsheetml.worksheet+xml"/>
  <Override PartName="/xl/worksheets/sheet766.xml" ContentType="application/vnd.openxmlformats-officedocument.spreadsheetml.worksheet+xml"/>
  <Override PartName="/xl/worksheets/sheet767.xml" ContentType="application/vnd.openxmlformats-officedocument.spreadsheetml.worksheet+xml"/>
  <Override PartName="/xl/worksheets/sheet768.xml" ContentType="application/vnd.openxmlformats-officedocument.spreadsheetml.worksheet+xml"/>
  <Override PartName="/xl/worksheets/sheet769.xml" ContentType="application/vnd.openxmlformats-officedocument.spreadsheetml.worksheet+xml"/>
  <Override PartName="/xl/worksheets/sheet770.xml" ContentType="application/vnd.openxmlformats-officedocument.spreadsheetml.worksheet+xml"/>
  <Override PartName="/xl/worksheets/sheet771.xml" ContentType="application/vnd.openxmlformats-officedocument.spreadsheetml.worksheet+xml"/>
  <Override PartName="/xl/worksheets/sheet772.xml" ContentType="application/vnd.openxmlformats-officedocument.spreadsheetml.worksheet+xml"/>
  <Override PartName="/xl/worksheets/sheet773.xml" ContentType="application/vnd.openxmlformats-officedocument.spreadsheetml.worksheet+xml"/>
  <Override PartName="/xl/worksheets/sheet774.xml" ContentType="application/vnd.openxmlformats-officedocument.spreadsheetml.worksheet+xml"/>
  <Override PartName="/xl/worksheets/sheet775.xml" ContentType="application/vnd.openxmlformats-officedocument.spreadsheetml.worksheet+xml"/>
  <Override PartName="/xl/worksheets/sheet776.xml" ContentType="application/vnd.openxmlformats-officedocument.spreadsheetml.worksheet+xml"/>
  <Override PartName="/xl/worksheets/sheet777.xml" ContentType="application/vnd.openxmlformats-officedocument.spreadsheetml.worksheet+xml"/>
  <Override PartName="/xl/worksheets/sheet778.xml" ContentType="application/vnd.openxmlformats-officedocument.spreadsheetml.worksheet+xml"/>
  <Override PartName="/xl/worksheets/sheet779.xml" ContentType="application/vnd.openxmlformats-officedocument.spreadsheetml.worksheet+xml"/>
  <Override PartName="/xl/worksheets/sheet780.xml" ContentType="application/vnd.openxmlformats-officedocument.spreadsheetml.worksheet+xml"/>
  <Override PartName="/xl/worksheets/sheet781.xml" ContentType="application/vnd.openxmlformats-officedocument.spreadsheetml.worksheet+xml"/>
  <Override PartName="/xl/worksheets/sheet782.xml" ContentType="application/vnd.openxmlformats-officedocument.spreadsheetml.worksheet+xml"/>
  <Override PartName="/xl/worksheets/sheet783.xml" ContentType="application/vnd.openxmlformats-officedocument.spreadsheetml.worksheet+xml"/>
  <Override PartName="/xl/worksheets/sheet784.xml" ContentType="application/vnd.openxmlformats-officedocument.spreadsheetml.worksheet+xml"/>
  <Override PartName="/xl/worksheets/sheet785.xml" ContentType="application/vnd.openxmlformats-officedocument.spreadsheetml.worksheet+xml"/>
  <Override PartName="/xl/worksheets/sheet786.xml" ContentType="application/vnd.openxmlformats-officedocument.spreadsheetml.worksheet+xml"/>
  <Override PartName="/xl/worksheets/sheet787.xml" ContentType="application/vnd.openxmlformats-officedocument.spreadsheetml.worksheet+xml"/>
  <Override PartName="/xl/worksheets/sheet788.xml" ContentType="application/vnd.openxmlformats-officedocument.spreadsheetml.worksheet+xml"/>
  <Override PartName="/xl/worksheets/sheet789.xml" ContentType="application/vnd.openxmlformats-officedocument.spreadsheetml.worksheet+xml"/>
  <Override PartName="/xl/worksheets/sheet7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13_ncr:1_{EFEE90D1-8F65-4D63-8CE3-004598190EEC}" xr6:coauthVersionLast="45" xr6:coauthVersionMax="45" xr10:uidLastSave="{00000000-0000-0000-0000-000000000000}"/>
  <bookViews>
    <workbookView xWindow="-120" yWindow="-120" windowWidth="20730" windowHeight="11160" tabRatio="930" firstSheet="635" activeTab="643" xr2:uid="{00000000-000D-0000-FFFF-FFFF00000000}"/>
  </bookViews>
  <sheets>
    <sheet name="New Staff" sheetId="920" r:id="rId1"/>
    <sheet name="Asia Life" sheetId="801" r:id="rId2"/>
    <sheet name="Asia Life Digital" sheetId="879" r:id="rId3"/>
    <sheet name="Trainee" sheetId="591" r:id="rId4"/>
    <sheet name="360" sheetId="921" r:id="rId5"/>
    <sheet name="Absolute" sheetId="656" r:id="rId6"/>
    <sheet name="Trainee (2)" sheetId="597" r:id="rId7"/>
    <sheet name="Trainee (4)" sheetId="694" r:id="rId8"/>
    <sheet name="Trainee (3)" sheetId="598" r:id="rId9"/>
    <sheet name="PY Blank Copy" sheetId="554" r:id="rId10"/>
    <sheet name="Bastion" sheetId="680" r:id="rId11"/>
    <sheet name="BFM" sheetId="827" r:id="rId12"/>
    <sheet name="Bon Ton" sheetId="344" r:id="rId13"/>
    <sheet name="Afab" sheetId="868" r:id="rId14"/>
    <sheet name="Advance Tech" sheetId="807" r:id="rId15"/>
    <sheet name="Adeline" sheetId="732" r:id="rId16"/>
    <sheet name="Adstream" sheetId="780" r:id="rId17"/>
    <sheet name="Akauntan Negara Malaysia " sheetId="781" r:id="rId18"/>
    <sheet name="Azman bin Ahmad" sheetId="761" r:id="rId19"/>
    <sheet name="Archy Pub" sheetId="743" r:id="rId20"/>
    <sheet name="Ameba Art" sheetId="729" r:id="rId21"/>
    <sheet name="AljeffriDean" sheetId="723" r:id="rId22"/>
    <sheet name="Astro Shaw" sheetId="720" r:id="rId23"/>
    <sheet name="APL Media Ltd" sheetId="689" r:id="rId24"/>
    <sheet name="AirAsia" sheetId="696" r:id="rId25"/>
    <sheet name="AirAsia (2)" sheetId="701" r:id="rId26"/>
    <sheet name="Art Gallery" sheetId="683" r:id="rId27"/>
    <sheet name="Access Graphic" sheetId="648" r:id="rId28"/>
    <sheet name="Apollo Vista" sheetId="687" r:id="rId29"/>
    <sheet name="Alunan Matrik" sheetId="488" r:id="rId30"/>
    <sheet name="Agnes Maritha" sheetId="462" r:id="rId31"/>
    <sheet name="Asian Overland" sheetId="558" r:id="rId32"/>
    <sheet name="Aim Max" sheetId="569" r:id="rId33"/>
    <sheet name="AKA Balloon" sheetId="575" r:id="rId34"/>
    <sheet name="Asia Itinerary" sheetId="581" r:id="rId35"/>
    <sheet name="Annamah" sheetId="593" r:id="rId36"/>
    <sheet name="Actife Lifestyle" sheetId="599" r:id="rId37"/>
    <sheet name="ADR &amp; JNA" sheetId="609" r:id="rId38"/>
    <sheet name="Actiontintoy" sheetId="645" r:id="rId39"/>
    <sheet name="AXA" sheetId="647" r:id="rId40"/>
    <sheet name="Affa2" sheetId="660" r:id="rId41"/>
    <sheet name="AB Print" sheetId="663" r:id="rId42"/>
    <sheet name="Abdul Shukor" sheetId="722" r:id="rId43"/>
    <sheet name="A.Sani" sheetId="727" r:id="rId44"/>
    <sheet name="Air Media" sheetId="728" r:id="rId45"/>
    <sheet name="AB &amp; Artho" sheetId="787" r:id="rId46"/>
    <sheet name="Asmadi" sheetId="791" r:id="rId47"/>
    <sheet name="ArtisTari Production" sheetId="799" r:id="rId48"/>
    <sheet name="Aidil Travel" sheetId="851" r:id="rId49"/>
    <sheet name="Anovia Bridal" sheetId="852" r:id="rId50"/>
    <sheet name="Artiz Vision" sheetId="881" r:id="rId51"/>
    <sheet name="Advance Creative" sheetId="885" r:id="rId52"/>
    <sheet name="AHR" sheetId="894" r:id="rId53"/>
    <sheet name="Atlantic by Motion" sheetId="908" r:id="rId54"/>
    <sheet name="AirTrip" sheetId="910" r:id="rId55"/>
    <sheet name="Ahmad Syafiq" sheetId="912" r:id="rId56"/>
    <sheet name="AA" sheetId="453" r:id="rId57"/>
    <sheet name="A-Production" sheetId="544" r:id="rId58"/>
    <sheet name="AA (2)" sheetId="486" r:id="rId59"/>
    <sheet name="Access" sheetId="452" r:id="rId60"/>
    <sheet name="Amleisure" sheetId="474" r:id="rId61"/>
    <sheet name="Alliance" sheetId="487" r:id="rId62"/>
    <sheet name="Asia Holiday" sheetId="504" r:id="rId63"/>
    <sheet name="Advance " sheetId="434" r:id="rId64"/>
    <sheet name="Art Tune" sheetId="446" r:id="rId65"/>
    <sheet name="Astro" sheetId="450" r:id="rId66"/>
    <sheet name="Apollo" sheetId="426" r:id="rId67"/>
    <sheet name="AFC Network" sheetId="405" r:id="rId68"/>
    <sheet name="Emilia Ismail" sheetId="794" r:id="rId69"/>
    <sheet name="Eja" sheetId="790" r:id="rId70"/>
    <sheet name="Malaysia Airlines (2)" sheetId="834" r:id="rId71"/>
    <sheet name="Eqtd Consulting" sheetId="865" r:id="rId72"/>
    <sheet name="Eplus" sheetId="677" r:id="rId73"/>
    <sheet name="Exotic" sheetId="783" r:id="rId74"/>
    <sheet name="Ezone" sheetId="733" r:id="rId75"/>
    <sheet name="Expedia" sheetId="700" r:id="rId76"/>
    <sheet name="ET Hospitality" sheetId="688" r:id="rId77"/>
    <sheet name="Exabytes" sheetId="661" r:id="rId78"/>
    <sheet name="Evercool" sheetId="665" r:id="rId79"/>
    <sheet name="EY" sheetId="673" r:id="rId80"/>
    <sheet name="Explore BP" sheetId="664" r:id="rId81"/>
    <sheet name="Emi Yamazaki" sheetId="531" r:id="rId82"/>
    <sheet name="Elang Wah Sdn Bhd" sheetId="635" r:id="rId83"/>
    <sheet name="EC Square" sheetId="629" r:id="rId84"/>
    <sheet name="Excelpolitan" sheetId="618" r:id="rId85"/>
    <sheet name="Epromo" sheetId="592" r:id="rId86"/>
    <sheet name="Event Publishing" sheetId="580" r:id="rId87"/>
    <sheet name="Elite" sheetId="535" r:id="rId88"/>
    <sheet name="Evergreen" sheetId="547" r:id="rId89"/>
    <sheet name="Extiva" sheetId="524" r:id="rId90"/>
    <sheet name="ecs" sheetId="431" r:id="rId91"/>
    <sheet name="Asia Garden" sheetId="375" r:id="rId92"/>
    <sheet name="Consulate General" sheetId="800" r:id="rId93"/>
    <sheet name="Cellex" sheetId="913" r:id="rId94"/>
    <sheet name="Carees Co" sheetId="888" r:id="rId95"/>
    <sheet name="Conference Online" sheetId="796" r:id="rId96"/>
    <sheet name="CIMB Credit Card" sheetId="759" r:id="rId97"/>
    <sheet name="JumpStreet" sheetId="651" r:id="rId98"/>
    <sheet name="Ctrip Business" sheetId="758" r:id="rId99"/>
    <sheet name="Creative" sheetId="755" r:id="rId100"/>
    <sheet name="Cheong Yang Guang" sheetId="763" r:id="rId101"/>
    <sheet name="Consulate" sheetId="712" r:id="rId102"/>
    <sheet name="Chew Win Win" sheetId="698" r:id="rId103"/>
    <sheet name="Chung Ling" sheetId="517" r:id="rId104"/>
    <sheet name="CAC" sheetId="669" r:id="rId105"/>
    <sheet name="Chee Sek Thim" sheetId="329" r:id="rId106"/>
    <sheet name="Fine Winner" sheetId="810" r:id="rId107"/>
    <sheet name="FVW Median" sheetId="897" r:id="rId108"/>
    <sheet name="Focus Marketing" sheetId="815" r:id="rId109"/>
    <sheet name="Foong Chee Yin" sheetId="838" r:id="rId110"/>
    <sheet name="Flatplan" sheetId="813" r:id="rId111"/>
    <sheet name="Felix " sheetId="675" r:id="rId112"/>
    <sheet name="Friendship" sheetId="785" r:id="rId113"/>
    <sheet name="Fukusu" sheetId="692" r:id="rId114"/>
    <sheet name="Focus Malaysia" sheetId="684" r:id="rId115"/>
    <sheet name="Flagstaff" sheetId="681" r:id="rId116"/>
    <sheet name="Fluxline" sheetId="658" r:id="rId117"/>
    <sheet name="FM Global" sheetId="666" r:id="rId118"/>
    <sheet name="FKGlobal" sheetId="603" r:id="rId119"/>
    <sheet name="Fusion" sheetId="650" r:id="rId120"/>
    <sheet name="Franciscus" sheetId="510" r:id="rId121"/>
    <sheet name="Fine Print" sheetId="601" r:id="rId122"/>
    <sheet name="Fara" sheetId="502" r:id="rId123"/>
    <sheet name="Nurul Aini" sheetId="514" r:id="rId124"/>
    <sheet name="Nanjing" sheetId="767" r:id="rId125"/>
    <sheet name="Neoh Suat Hoon" sheetId="672" r:id="rId126"/>
    <sheet name="Natassya" sheetId="515" r:id="rId127"/>
    <sheet name="Freddy" sheetId="512" r:id="rId128"/>
    <sheet name="Firefly" sheetId="315" r:id="rId129"/>
    <sheet name="2020 Media" sheetId="85" r:id="rId130"/>
    <sheet name="Asia On Time" sheetId="385" r:id="rId131"/>
    <sheet name="Adat" sheetId="410" r:id="rId132"/>
    <sheet name="Amazing Planner" sheetId="408" r:id="rId133"/>
    <sheet name="Avant" sheetId="355" r:id="rId134"/>
    <sheet name="Agensi" sheetId="354" r:id="rId135"/>
    <sheet name="Adpix" sheetId="327" r:id="rId136"/>
    <sheet name="Arkitek" sheetId="348" r:id="rId137"/>
    <sheet name="Aun" sheetId="349" r:id="rId138"/>
    <sheet name="ATuZ" sheetId="278" r:id="rId139"/>
    <sheet name="A.S. Kranamm" sheetId="333" r:id="rId140"/>
    <sheet name="Angkat Berat" sheetId="220" r:id="rId141"/>
    <sheet name="Affa" sheetId="308" r:id="rId142"/>
    <sheet name="Avion " sheetId="277" r:id="rId143"/>
    <sheet name="Albert" sheetId="302" r:id="rId144"/>
    <sheet name="Alber Yap" sheetId="319" r:id="rId145"/>
    <sheet name="Avion" sheetId="221" r:id="rId146"/>
    <sheet name="Anjung Budaya" sheetId="222" r:id="rId147"/>
    <sheet name="Areca2" sheetId="296" r:id="rId148"/>
    <sheet name="Areca" sheetId="223" r:id="rId149"/>
    <sheet name="Alpha" sheetId="224" r:id="rId150"/>
    <sheet name="Abd Razak" sheetId="195" r:id="rId151"/>
    <sheet name="ATAP" sheetId="63" r:id="rId152"/>
    <sheet name="ARTS" sheetId="41" r:id="rId153"/>
    <sheet name="Asiatravex" sheetId="24" r:id="rId154"/>
    <sheet name="Hooi" sheetId="45" r:id="rId155"/>
    <sheet name="Brand-New Banner" sheetId="711" r:id="rId156"/>
    <sheet name="Butterfly House" sheetId="691" r:id="rId157"/>
    <sheet name="Bold" sheetId="708" r:id="rId158"/>
    <sheet name="B&amp;W" sheetId="633" r:id="rId159"/>
    <sheet name="Beceative" sheetId="482" r:id="rId160"/>
    <sheet name="British Council" sheetId="640" r:id="rId161"/>
    <sheet name="Brand New" sheetId="646" r:id="rId162"/>
    <sheet name="Bandar utama" sheetId="715" r:id="rId163"/>
    <sheet name="Bee Hee Lai" sheetId="740" r:id="rId164"/>
    <sheet name="Berjaya Sumpo" sheetId="793" r:id="rId165"/>
    <sheet name="Bang Phuong" sheetId="797" r:id="rId166"/>
    <sheet name="Beyond Multimedia" sheetId="798" r:id="rId167"/>
    <sheet name="BabaJob" sheetId="830" r:id="rId168"/>
    <sheet name="Bumimaju" sheetId="835" r:id="rId169"/>
    <sheet name="Busan Lotte Hotel" sheetId="863" r:id="rId170"/>
    <sheet name="Be Inspired" sheetId="891" r:id="rId171"/>
    <sheet name="Boon Seng" sheetId="900" r:id="rId172"/>
    <sheet name="BFM Media" sheetId="901" r:id="rId173"/>
    <sheet name="BB Websolutions" sheetId="632" r:id="rId174"/>
    <sheet name="Bendahari Negeri Pulau Pinang" sheetId="622" r:id="rId175"/>
    <sheet name="BLAM" sheetId="557" r:id="rId176"/>
    <sheet name="Bendahari" sheetId="552" r:id="rId177"/>
    <sheet name="Bousteead Weld Quay" sheetId="540" r:id="rId178"/>
    <sheet name="Benedict Lian Shi XIang" sheetId="532" r:id="rId179"/>
    <sheet name="Balasu" sheetId="526" r:id="rId180"/>
    <sheet name="Bagan Eighteen" sheetId="522" r:id="rId181"/>
    <sheet name="Bonusreka" sheetId="467" r:id="rId182"/>
    <sheet name="Benfont" sheetId="475" r:id="rId183"/>
    <sheet name="Baba Success" sheetId="447" r:id="rId184"/>
    <sheet name="Baba Two" sheetId="428" r:id="rId185"/>
    <sheet name="Bangkok Express" sheetId="425" r:id="rId186"/>
    <sheet name="Bayview" sheetId="415" r:id="rId187"/>
    <sheet name="BJ Hotel Development" sheetId="359" r:id="rId188"/>
    <sheet name="Bernice" sheetId="330" r:id="rId189"/>
    <sheet name="Borneo Vision" sheetId="361" r:id="rId190"/>
    <sheet name="Bamboo" sheetId="338" r:id="rId191"/>
    <sheet name="Borneo" sheetId="78" r:id="rId192"/>
    <sheet name="AdvOGL" sheetId="1" r:id="rId193"/>
    <sheet name="BTP" sheetId="233" r:id="rId194"/>
    <sheet name="BNS" sheetId="283" r:id="rId195"/>
    <sheet name="Broncos1" sheetId="36" r:id="rId196"/>
    <sheet name="Broncos" sheetId="35" r:id="rId197"/>
    <sheet name="Badan Warisan" sheetId="239" r:id="rId198"/>
    <sheet name="Basic" sheetId="73" r:id="rId199"/>
    <sheet name="Biscuit Seng Heang" sheetId="25" r:id="rId200"/>
    <sheet name="Berjaya" sheetId="53" r:id="rId201"/>
    <sheet name="BJ Hotel Development (2)" sheetId="360" r:id="rId202"/>
    <sheet name="Color Max" sheetId="494" r:id="rId203"/>
    <sheet name="Ch'ng" sheetId="493" r:id="rId204"/>
    <sheet name="Capital One" sheetId="416" r:id="rId205"/>
    <sheet name="Celcom" sheetId="403" r:id="rId206"/>
    <sheet name="Chong Li Ching" sheetId="400" r:id="rId207"/>
    <sheet name="Chung Hwa" sheetId="397" r:id="rId208"/>
    <sheet name="Ching Xing Sports" sheetId="367" r:id="rId209"/>
    <sheet name="Corportenet (2)" sheetId="391" r:id="rId210"/>
    <sheet name="Corportenet (3)" sheetId="649" r:id="rId211"/>
    <sheet name="cimb" sheetId="362" r:id="rId212"/>
    <sheet name="cimb (2)" sheetId="396" r:id="rId213"/>
    <sheet name="cimb (3)" sheetId="470" r:id="rId214"/>
    <sheet name="cimb (4)" sheetId="478" r:id="rId215"/>
    <sheet name="Continental" sheetId="341" r:id="rId216"/>
    <sheet name="Chee" sheetId="339" r:id="rId217"/>
    <sheet name="Crown" sheetId="340" r:id="rId218"/>
    <sheet name="Campbell" sheetId="334" r:id="rId219"/>
    <sheet name="China Tiger" sheetId="321" r:id="rId220"/>
    <sheet name="Clarity" sheetId="313" r:id="rId221"/>
    <sheet name="Clarity (2)" sheetId="468" r:id="rId222"/>
    <sheet name="Choo Yew Choon" sheetId="290" r:id="rId223"/>
    <sheet name="Cheong Seng Chan" sheetId="287" r:id="rId224"/>
    <sheet name="Cheong Seng Chan (2)" sheetId="352" r:id="rId225"/>
    <sheet name="Chew " sheetId="236" r:id="rId226"/>
    <sheet name="Ching Xing (2)" sheetId="231" r:id="rId227"/>
    <sheet name="Choo" sheetId="150" r:id="rId228"/>
    <sheet name="Choo Kar Chong" sheetId="230" r:id="rId229"/>
    <sheet name="Chess" sheetId="47" r:id="rId230"/>
    <sheet name="City-Link" sheetId="76" r:id="rId231"/>
    <sheet name="Chin Lei Chen" sheetId="19" r:id="rId232"/>
    <sheet name="Chales Jordan" sheetId="83" r:id="rId233"/>
    <sheet name="Connect" sheetId="320" r:id="rId234"/>
    <sheet name="Chung" sheetId="17" r:id="rId235"/>
    <sheet name="Chung Beng Ent" sheetId="388" r:id="rId236"/>
    <sheet name="Cool Illusions" sheetId="412" r:id="rId237"/>
    <sheet name="Choo Kok Leong" sheetId="417" r:id="rId238"/>
    <sheet name="Centre Florist" sheetId="435" r:id="rId239"/>
    <sheet name="Chiao Tze" sheetId="441" r:id="rId240"/>
    <sheet name="Chung Hwa Confucian" sheetId="448" r:id="rId241"/>
    <sheet name="Confrerie" sheetId="449" r:id="rId242"/>
    <sheet name="Chang Lee Lee" sheetId="465" r:id="rId243"/>
    <sheet name="Chef" sheetId="476" r:id="rId244"/>
    <sheet name="Asia" sheetId="479" r:id="rId245"/>
    <sheet name="Click Start" sheetId="489" r:id="rId246"/>
    <sheet name="Cartesio Sdn Bhd" sheetId="498" r:id="rId247"/>
    <sheet name="Chan Kam Seng" sheetId="503" r:id="rId248"/>
    <sheet name="Centrilinc" sheetId="507" r:id="rId249"/>
    <sheet name="Chan Hon Meng" sheetId="513" r:id="rId250"/>
    <sheet name="Chan Wei Meng" sheetId="528" r:id="rId251"/>
    <sheet name="China Southern" sheetId="538" r:id="rId252"/>
    <sheet name="Cheah Kwan Mien" sheetId="541" r:id="rId253"/>
    <sheet name="Cathay" sheetId="551" r:id="rId254"/>
    <sheet name="Chan Hon Meng2" sheetId="559" r:id="rId255"/>
    <sheet name="Chan Fong" sheetId="562" r:id="rId256"/>
    <sheet name="CNS" sheetId="570" r:id="rId257"/>
    <sheet name="Cooler Lumpur" sheetId="571" r:id="rId258"/>
    <sheet name="Corportenet" sheetId="368" r:id="rId259"/>
    <sheet name="Carolyn Ooi" sheetId="607" r:id="rId260"/>
    <sheet name="CSSB" sheetId="617" r:id="rId261"/>
    <sheet name="Cake" sheetId="623" r:id="rId262"/>
    <sheet name="Chai Chik Ying" sheetId="628" r:id="rId263"/>
    <sheet name="Crowne Plaza" sheetId="630" r:id="rId264"/>
    <sheet name="Capital All Star Enterprise" sheetId="631" r:id="rId265"/>
    <sheet name="Cecilia" sheetId="644" r:id="rId266"/>
    <sheet name="Chan Tang Eng" sheetId="652" r:id="rId267"/>
    <sheet name="Colonial Penang" sheetId="670" r:id="rId268"/>
    <sheet name="Chong Lee Choo" sheetId="703" r:id="rId269"/>
    <sheet name="Conceptual" sheetId="874" r:id="rId270"/>
    <sheet name="Capitol" sheetId="709" r:id="rId271"/>
    <sheet name="Creathink" sheetId="716" r:id="rId272"/>
    <sheet name="CAC " sheetId="772" r:id="rId273"/>
    <sheet name="Chee Seng" sheetId="776" r:id="rId274"/>
    <sheet name="Copthorne Orchid Penang" sheetId="809" r:id="rId275"/>
    <sheet name="China Airlines Limited" sheetId="822" r:id="rId276"/>
    <sheet name="Cheese Ads" sheetId="836" r:id="rId277"/>
    <sheet name="Caritech" sheetId="844" r:id="rId278"/>
    <sheet name="Chailek" sheetId="847" r:id="rId279"/>
    <sheet name="Cheah Hock Lye" sheetId="853" r:id="rId280"/>
    <sheet name="CatEagle" sheetId="870" r:id="rId281"/>
    <sheet name="C.T. Tech" sheetId="886" r:id="rId282"/>
    <sheet name="Can Can Public" sheetId="887" r:id="rId283"/>
    <sheet name="Chong Kar Yuan" sheetId="892" r:id="rId284"/>
    <sheet name="Cityneon" sheetId="911" r:id="rId285"/>
    <sheet name="CCL" sheetId="2" r:id="rId286"/>
    <sheet name="Celcom Sdn Bhd" sheetId="545" r:id="rId287"/>
    <sheet name="CIMB-sal" sheetId="3" r:id="rId288"/>
    <sheet name="C.K.C" sheetId="60" r:id="rId289"/>
    <sheet name="Cititel" sheetId="66" r:id="rId290"/>
    <sheet name="Carat media" sheetId="86" r:id="rId291"/>
    <sheet name="City Bayview" sheetId="67" r:id="rId292"/>
    <sheet name="China Air" sheetId="22" r:id="rId293"/>
    <sheet name="Ching Xing" sheetId="27" r:id="rId294"/>
    <sheet name="Chingay" sheetId="46" r:id="rId295"/>
    <sheet name="Chan Bro" sheetId="260" r:id="rId296"/>
    <sheet name="Creativision" sheetId="261" r:id="rId297"/>
    <sheet name="Chin P Chin" sheetId="262" r:id="rId298"/>
    <sheet name="Capricorn" sheetId="263" r:id="rId299"/>
    <sheet name="Convep2" sheetId="762" r:id="rId300"/>
    <sheet name="Convep" sheetId="264" r:id="rId301"/>
    <sheet name="Cheong F TzeMansion" sheetId="266" r:id="rId302"/>
    <sheet name="Convex" sheetId="62" r:id="rId303"/>
    <sheet name="Didadee" sheetId="697" r:id="rId304"/>
    <sheet name="Deiwayani" sheetId="922" r:id="rId305"/>
    <sheet name="Dragon Airlines" sheetId="775" r:id="rId306"/>
    <sheet name="Discover Vacations" sheetId="854" r:id="rId307"/>
    <sheet name="Daehong" sheetId="742" r:id="rId308"/>
    <sheet name="Danny" sheetId="616" r:id="rId309"/>
    <sheet name="Discover Orient" sheetId="641" r:id="rId310"/>
    <sheet name="Disted " sheetId="613" r:id="rId311"/>
    <sheet name="D'Media" sheetId="530" r:id="rId312"/>
    <sheet name="David Hall" sheetId="555" r:id="rId313"/>
    <sheet name="Dream Art Centre" sheetId="539" r:id="rId314"/>
    <sheet name="DSOP1 (2)" sheetId="350" r:id="rId315"/>
    <sheet name="DHL" sheetId="536" r:id="rId316"/>
    <sheet name="Dream River" sheetId="496" r:id="rId317"/>
    <sheet name="Design Furniture" sheetId="527" r:id="rId318"/>
    <sheet name="Delta" sheetId="387" r:id="rId319"/>
    <sheet name="De Meridian" sheetId="458" r:id="rId320"/>
    <sheet name="D Love Holiday" sheetId="454" r:id="rId321"/>
    <sheet name="Dam" sheetId="418" r:id="rId322"/>
    <sheet name="D Dapor" sheetId="378" r:id="rId323"/>
    <sheet name="Devi" sheetId="351" r:id="rId324"/>
    <sheet name="DSOP1" sheetId="342" r:id="rId325"/>
    <sheet name="David" sheetId="293" r:id="rId326"/>
    <sheet name="Dorian" sheetId="234" r:id="rId327"/>
    <sheet name="Dewan Melayu" sheetId="26" r:id="rId328"/>
    <sheet name="Discovery Overland" sheetId="43" r:id="rId329"/>
    <sheet name="DC Press" sheetId="51" r:id="rId330"/>
    <sheet name="Danzity" sheetId="232" r:id="rId331"/>
    <sheet name="Dreamz" sheetId="64" r:id="rId332"/>
    <sheet name="Deco" sheetId="229" r:id="rId333"/>
    <sheet name="Design Ark" sheetId="274" r:id="rId334"/>
    <sheet name="DSOP" sheetId="265" r:id="rId335"/>
    <sheet name="E&amp;O Hotel" sheetId="483" r:id="rId336"/>
    <sheet name="E&amp;O Trading" sheetId="459" r:id="rId337"/>
    <sheet name="E&amp;O Express" sheetId="455" r:id="rId338"/>
    <sheet name="EPhoto" sheetId="436" r:id="rId339"/>
    <sheet name="Editorial" sheetId="439" r:id="rId340"/>
    <sheet name="Eastin2" sheetId="406" r:id="rId341"/>
    <sheet name="Emsoft" sheetId="382" r:id="rId342"/>
    <sheet name="ET Technic SB" sheetId="379" r:id="rId343"/>
    <sheet name="Ewe Teik Siang" sheetId="364" r:id="rId344"/>
    <sheet name="Eli" sheetId="324" r:id="rId345"/>
    <sheet name="Emanon" sheetId="316" r:id="rId346"/>
    <sheet name="eon2" sheetId="310" r:id="rId347"/>
    <sheet name="Espikel" sheetId="309" r:id="rId348"/>
    <sheet name="ES" sheetId="39" r:id="rId349"/>
    <sheet name="Eden" sheetId="42" r:id="rId350"/>
    <sheet name="Eden (2)" sheetId="240" r:id="rId351"/>
    <sheet name="EPF" sheetId="4" r:id="rId352"/>
    <sheet name="EY Tax-cp204" sheetId="225" r:id="rId353"/>
    <sheet name="E&amp;O" sheetId="267" r:id="rId354"/>
    <sheet name="Eastin" sheetId="268" r:id="rId355"/>
    <sheet name="EON" sheetId="269" r:id="rId356"/>
    <sheet name="EY -formC &amp; R" sheetId="226" r:id="rId357"/>
    <sheet name="Fajar Seloka2" sheetId="456" r:id="rId358"/>
    <sheet name="Fettes Park" sheetId="413" r:id="rId359"/>
    <sheet name="Fiabci" sheetId="414" r:id="rId360"/>
    <sheet name="Feng Studio" sheetId="402" r:id="rId361"/>
    <sheet name="Fuji Xerox (3)" sheetId="399" r:id="rId362"/>
    <sheet name="Fuji Xerox" sheetId="345" r:id="rId363"/>
    <sheet name="Freedom G" sheetId="301" r:id="rId364"/>
    <sheet name="FR Design" sheetId="322" r:id="rId365"/>
    <sheet name="Forever" sheetId="305" r:id="rId366"/>
    <sheet name="FTZ Travel" sheetId="79" r:id="rId367"/>
    <sheet name="Fajar Seloka" sheetId="44" r:id="rId368"/>
    <sheet name="Freedom" sheetId="238" r:id="rId369"/>
    <sheet name="Folia" sheetId="241" r:id="rId370"/>
    <sheet name="Obgyn" sheetId="430" r:id="rId371"/>
    <sheet name="Oriental" sheetId="440" r:id="rId372"/>
    <sheet name="One FM" sheetId="621" r:id="rId373"/>
    <sheet name="OMNI" sheetId="721" r:id="rId374"/>
    <sheet name="Ooi" sheetId="286" r:id="rId375"/>
    <sheet name="Foo Yu Keong" sheetId="12" r:id="rId376"/>
    <sheet name="Firefly2" sheetId="404" r:id="rId377"/>
    <sheet name="FIH Ent" sheetId="380" r:id="rId378"/>
    <sheet name="Glory Property" sheetId="820" r:id="rId379"/>
    <sheet name="GHT Malaysia" sheetId="895" r:id="rId380"/>
    <sheet name="Great Eastern" sheetId="877" r:id="rId381"/>
    <sheet name="Golden Adventure" sheetId="871" r:id="rId382"/>
    <sheet name="Good Foodie" sheetId="869" r:id="rId383"/>
    <sheet name="Goh Yen Ting" sheetId="858" r:id="rId384"/>
    <sheet name="Gooi Hean Kar" sheetId="859" r:id="rId385"/>
    <sheet name="Gemilang" sheetId="843" r:id="rId386"/>
    <sheet name="Goche" sheetId="778" r:id="rId387"/>
    <sheet name="Golden Sands" sheetId="734" r:id="rId388"/>
    <sheet name="Ginncons" sheetId="795" r:id="rId389"/>
    <sheet name="G'town" sheetId="766" r:id="rId390"/>
    <sheet name="Grand Travel" sheetId="500" r:id="rId391"/>
    <sheet name="Gulliever" sheetId="706" r:id="rId392"/>
    <sheet name="Gem" sheetId="695" r:id="rId393"/>
    <sheet name="Google" sheetId="572" r:id="rId394"/>
    <sheet name="Global Leadership" sheetId="563" r:id="rId395"/>
    <sheet name="Gtown" sheetId="518" r:id="rId396"/>
    <sheet name="GTWHI" sheetId="443" r:id="rId397"/>
    <sheet name="Ghee Hiang" sheetId="460" r:id="rId398"/>
    <sheet name="Go Int Group" sheetId="420" r:id="rId399"/>
    <sheet name="G Maker" sheetId="392" r:id="rId400"/>
    <sheet name="Goh Chen Yee2" sheetId="374" r:id="rId401"/>
    <sheet name="Goh Hock Hoe" sheetId="371" r:id="rId402"/>
    <sheet name="GM" sheetId="84" r:id="rId403"/>
    <sheet name="Gooi" sheetId="72" r:id="rId404"/>
    <sheet name="Gan" sheetId="10" r:id="rId405"/>
    <sheet name="Ghee Hup" sheetId="11" r:id="rId406"/>
    <sheet name="Gan Adv" sheetId="9" r:id="rId407"/>
    <sheet name="GT WHI" sheetId="257" r:id="rId408"/>
    <sheet name="Glory Florist" sheetId="258" r:id="rId409"/>
    <sheet name="Goh Chen Yee" sheetId="275" r:id="rId410"/>
    <sheet name="G-hotel" sheetId="259" r:id="rId411"/>
    <sheet name="GanFW" sheetId="5" r:id="rId412"/>
    <sheet name="Highbury" sheetId="905" r:id="rId413"/>
    <sheet name="HotelnAir" sheetId="802" r:id="rId414"/>
    <sheet name="Travelogy" sheetId="828" r:id="rId415"/>
    <sheet name="NorthStar" sheetId="904" r:id="rId416"/>
    <sheet name="Hur Gi Naam" sheetId="896" r:id="rId417"/>
    <sheet name="Hastadi Mulijono" sheetId="893" r:id="rId418"/>
    <sheet name="Horizon" sheetId="857" r:id="rId419"/>
    <sheet name="Hot Print 1" sheetId="831" r:id="rId420"/>
    <sheet name="Hores" sheetId="821" r:id="rId421"/>
    <sheet name="HIlton Tokyo" sheetId="829" r:id="rId422"/>
    <sheet name="Haze" sheetId="792" r:id="rId423"/>
    <sheet name="Hop On Media" sheetId="693" r:id="rId424"/>
    <sheet name="Heart" sheetId="774" r:id="rId425"/>
    <sheet name="Hot Print" sheetId="553" r:id="rId426"/>
    <sheet name="HG Lim" sheetId="668" r:id="rId427"/>
    <sheet name="Heng Lee Lee" sheetId="653" r:id="rId428"/>
    <sheet name="Hana Tour (2)" sheetId="816" r:id="rId429"/>
    <sheet name="Hana Tour" sheetId="643" r:id="rId430"/>
    <sheet name="Hana Tour Service" sheetId="730" r:id="rId431"/>
    <sheet name="Hunza" sheetId="634" r:id="rId432"/>
    <sheet name="Hugh Nicholas" sheetId="627" r:id="rId433"/>
    <sheet name="Haron" sheetId="600" r:id="rId434"/>
    <sheet name="HinTeik" sheetId="589" r:id="rId435"/>
    <sheet name="Ho Jia Qian" sheetId="576" r:id="rId436"/>
    <sheet name="Hizwan Hamid" sheetId="573" r:id="rId437"/>
    <sheet name="Hoo Kim" sheetId="560" r:id="rId438"/>
    <sheet name="Han WIra" sheetId="407" r:id="rId439"/>
    <sheet name="HK Tramways" sheetId="543" r:id="rId440"/>
    <sheet name="Hameed" sheetId="492" r:id="rId441"/>
    <sheet name="Holiday Tours" sheetId="477" r:id="rId442"/>
    <sheet name="harpers" sheetId="429" r:id="rId443"/>
    <sheet name="Hong Kong Convention" sheetId="383" r:id="rId444"/>
    <sheet name="Heng" sheetId="356" r:id="rId445"/>
    <sheet name="Huei Yow" sheetId="326" r:id="rId446"/>
    <sheet name="Husam" sheetId="298" r:id="rId447"/>
    <sheet name="HikeEnt" sheetId="284" r:id="rId448"/>
    <sheet name="HikeEnt (2)" sheetId="285" r:id="rId449"/>
    <sheet name="Hong Guan" sheetId="20" r:id="rId450"/>
    <sheet name="Hard Rock" sheetId="68" r:id="rId451"/>
    <sheet name="Ernst&amp;YoungTax" sheetId="82" r:id="rId452"/>
    <sheet name="Hanafiah" sheetId="80" r:id="rId453"/>
    <sheet name="Helmi" sheetId="57" r:id="rId454"/>
    <sheet name="Hainan" sheetId="235" r:id="rId455"/>
    <sheet name="Hotel EQ" sheetId="270" r:id="rId456"/>
    <sheet name="Holiday Villa" sheetId="247" r:id="rId457"/>
    <sheet name="Helen Saw" sheetId="248" r:id="rId458"/>
    <sheet name="Hekty" sheetId="249" r:id="rId459"/>
    <sheet name="Hekty (2)" sheetId="250" r:id="rId460"/>
    <sheet name="Hai Nan" sheetId="251" r:id="rId461"/>
    <sheet name="Hwa Yik" sheetId="49" r:id="rId462"/>
    <sheet name="Informa" sheetId="738" r:id="rId463"/>
    <sheet name="ID INC" sheetId="842" r:id="rId464"/>
    <sheet name="Illusion" sheetId="902" r:id="rId465"/>
    <sheet name="Innogen" sheetId="814" r:id="rId466"/>
    <sheet name="Info Colour" sheetId="788" r:id="rId467"/>
    <sheet name="Ironman Trading" sheetId="771" r:id="rId468"/>
    <sheet name="Imperial" sheetId="505" r:id="rId469"/>
    <sheet name="David Hall (2)" sheetId="602" r:id="rId470"/>
    <sheet name="Izzardzafli" sheetId="724" r:id="rId471"/>
    <sheet name="IPK College" sheetId="685" r:id="rId472"/>
    <sheet name="I2 Promotion" sheetId="659" r:id="rId473"/>
    <sheet name="INTI" sheetId="615" r:id="rId474"/>
    <sheet name="Indent Media" sheetId="596" r:id="rId475"/>
    <sheet name="ITC" sheetId="520" r:id="rId476"/>
    <sheet name="Impress" sheetId="537" r:id="rId477"/>
    <sheet name="Invest-in-Penang" sheetId="303" r:id="rId478"/>
    <sheet name="Instant" sheetId="471" r:id="rId479"/>
    <sheet name="Instant (2)" sheetId="588" r:id="rId480"/>
    <sheet name="Impakstrat" sheetId="295" r:id="rId481"/>
    <sheet name="Image Hall" sheetId="291" r:id="rId482"/>
    <sheet name="Izwan" sheetId="6" r:id="rId483"/>
    <sheet name="Impression" sheetId="75" r:id="rId484"/>
    <sheet name="Ink" sheetId="59" r:id="rId485"/>
    <sheet name="Ink Publishing" sheetId="823" r:id="rId486"/>
    <sheet name="In Zone" sheetId="271" r:id="rId487"/>
    <sheet name="Integrat Tourism " sheetId="272" r:id="rId488"/>
    <sheet name="Image Farm" sheetId="28" r:id="rId489"/>
    <sheet name="Irisan" sheetId="273" r:id="rId490"/>
    <sheet name="Jenexus" sheetId="867" r:id="rId491"/>
    <sheet name="Johnny Chee" sheetId="889" r:id="rId492"/>
    <sheet name="Jeeyoun" sheetId="862" r:id="rId493"/>
    <sheet name="JV Int" sheetId="860" r:id="rId494"/>
    <sheet name="Joy Chan" sheetId="735" r:id="rId495"/>
    <sheet name="J&amp;A Production" sheetId="840" r:id="rId496"/>
    <sheet name="Jackie M" sheetId="786" r:id="rId497"/>
    <sheet name="Jurutera" sheetId="811" r:id="rId498"/>
    <sheet name="JWL" sheetId="736" r:id="rId499"/>
    <sheet name="Josh" sheetId="714" r:id="rId500"/>
    <sheet name="Joanne Khoo" sheetId="699" r:id="rId501"/>
    <sheet name="Johdaya" sheetId="713" r:id="rId502"/>
    <sheet name="Jobstreet" sheetId="445" r:id="rId503"/>
    <sheet name="Jetmax" sheetId="667" r:id="rId504"/>
    <sheet name="Jerome Quah" sheetId="533" r:id="rId505"/>
    <sheet name="Jaykodi" sheetId="485" r:id="rId506"/>
    <sheet name="Jass" sheetId="490" r:id="rId507"/>
    <sheet name="Jenny" sheetId="423" r:id="rId508"/>
    <sheet name="Joe Sidek" sheetId="401" r:id="rId509"/>
    <sheet name="Jinastik" sheetId="228" r:id="rId510"/>
    <sheet name="jeffs" sheetId="56" r:id="rId511"/>
    <sheet name="Jasmin" sheetId="74" r:id="rId512"/>
    <sheet name="JBV" sheetId="87" r:id="rId513"/>
    <sheet name="Janice" sheetId="18" r:id="rId514"/>
    <sheet name="Julie" sheetId="7" r:id="rId515"/>
    <sheet name="Jeffs Art" sheetId="37" r:id="rId516"/>
    <sheet name="JKKK SPS" sheetId="33" r:id="rId517"/>
    <sheet name="Jutaprint" sheetId="65" r:id="rId518"/>
    <sheet name="AdvJulie" sheetId="15" r:id="rId519"/>
    <sheet name="Koperasi Sekolah" sheetId="817" r:id="rId520"/>
    <sheet name="Knight PR" sheetId="906" r:id="rId521"/>
    <sheet name="Kathy" sheetId="898" r:id="rId522"/>
    <sheet name="Kok Chun Khai" sheetId="864" r:id="rId523"/>
    <sheet name="Kelvin Ong" sheetId="845" r:id="rId524"/>
    <sheet name="KSL travel" sheetId="872" r:id="rId525"/>
    <sheet name="Kelab Lumba" sheetId="824" r:id="rId526"/>
    <sheet name="KY Studio" sheetId="764" r:id="rId527"/>
    <sheet name="komtar Hotel " sheetId="777" r:id="rId528"/>
    <sheet name="Khoo Swee Heang" sheetId="769" r:id="rId529"/>
    <sheet name="Kelab Sukan" sheetId="457" r:id="rId530"/>
    <sheet name="KL Metro" sheetId="707" r:id="rId531"/>
    <sheet name="Kenray" sheetId="682" r:id="rId532"/>
    <sheet name="Ko Kai Kong" sheetId="674" r:id="rId533"/>
    <sheet name="Kraken" sheetId="671" r:id="rId534"/>
    <sheet name="Kam Seng Yew" sheetId="637" r:id="rId535"/>
    <sheet name="Kota Corwallis" sheetId="676" r:id="rId536"/>
    <sheet name="Hong Cheng" sheetId="918" r:id="rId537"/>
    <sheet name="H'ng Lee Lee" sheetId="654" r:id="rId538"/>
    <sheet name="Katak Creation" sheetId="626" r:id="rId539"/>
    <sheet name="Kilang Ghee Hup" sheetId="625" r:id="rId540"/>
    <sheet name="Kapten Buehbossa" sheetId="619" r:id="rId541"/>
    <sheet name="Kolej UTAR" sheetId="614" r:id="rId542"/>
    <sheet name="KDU College" sheetId="611" r:id="rId543"/>
    <sheet name="Kailarsh" sheetId="585" r:id="rId544"/>
    <sheet name="Kolej Sentral" sheetId="612" r:id="rId545"/>
    <sheet name="Khaw Shu Xiao " sheetId="583" r:id="rId546"/>
    <sheet name="Keong Yeh Han" sheetId="584" r:id="rId547"/>
    <sheet name="Kim Fashion 2" sheetId="567" r:id="rId548"/>
    <sheet name="Kua Janice" sheetId="578" r:id="rId549"/>
    <sheet name="Konatsu LGCC" sheetId="574" r:id="rId550"/>
    <sheet name="Kwek Shen Chun" sheetId="577" r:id="rId551"/>
    <sheet name="Kamilia" sheetId="529" r:id="rId552"/>
    <sheet name="Kee Seok Poh" sheetId="564" r:id="rId553"/>
    <sheet name="Koleksi Wasayang" sheetId="516" r:id="rId554"/>
    <sheet name="Kua Tze Phing" sheetId="484" r:id="rId555"/>
    <sheet name="Khoo Lay Im" sheetId="472" r:id="rId556"/>
    <sheet name="Koay Poy Teik" sheetId="376" r:id="rId557"/>
    <sheet name="Kwong Wah Realty" sheetId="442" r:id="rId558"/>
    <sheet name="K2 Trading" sheetId="437" r:id="rId559"/>
    <sheet name="Key Jeung" sheetId="419" r:id="rId560"/>
    <sheet name="Khazanah" sheetId="433" r:id="rId561"/>
    <sheet name="Koay Song Lin" sheetId="346" r:id="rId562"/>
    <sheet name="Lotte Hotel" sheetId="861" r:id="rId563"/>
    <sheet name="Lye Imm" sheetId="880" r:id="rId564"/>
    <sheet name="Lyric Labs" sheetId="919" r:id="rId565"/>
    <sheet name="Lion Travel" sheetId="907" r:id="rId566"/>
    <sheet name="L&amp;O Stand" sheetId="819" r:id="rId567"/>
    <sheet name="Leisure" sheetId="875" r:id="rId568"/>
    <sheet name="Linear Online" sheetId="873" r:id="rId569"/>
    <sheet name="Lam Chooi Kheng2" sheetId="826" r:id="rId570"/>
    <sheet name="Low Yen Peng" sheetId="848" r:id="rId571"/>
    <sheet name="Loo Chee Khuan" sheetId="808" r:id="rId572"/>
    <sheet name="Lada Eco" sheetId="818" r:id="rId573"/>
    <sheet name="Local Culinary" sheetId="804" r:id="rId574"/>
    <sheet name="Lim Guan Eng" sheetId="744" r:id="rId575"/>
    <sheet name="Lee Ick Joo" sheetId="803" r:id="rId576"/>
    <sheet name="Lim Wooi Hong" sheetId="770" r:id="rId577"/>
    <sheet name="Law Heng Kiang" sheetId="745" r:id="rId578"/>
    <sheet name="Yeoh Soon Hin" sheetId="882" r:id="rId579"/>
    <sheet name="Dato' Rosli" sheetId="832" r:id="rId580"/>
    <sheet name="YB Dato' Abdul Malik" sheetId="746" r:id="rId581"/>
    <sheet name="Dato Mustafa" sheetId="747" r:id="rId582"/>
    <sheet name="Danny Goon" sheetId="748" r:id="rId583"/>
    <sheet name="Tan Sam Soon" sheetId="749" r:id="rId584"/>
    <sheet name="Dato Seri Aru" sheetId="750" r:id="rId585"/>
    <sheet name="Kenneth" sheetId="751" r:id="rId586"/>
    <sheet name="MyGap" sheetId="917" r:id="rId587"/>
    <sheet name="Movinlight" sheetId="916" r:id="rId588"/>
    <sheet name="Matahari " sheetId="890" r:id="rId589"/>
    <sheet name="Malathi" sheetId="849" r:id="rId590"/>
    <sheet name="Monkey Ideas Event" sheetId="903" r:id="rId591"/>
    <sheet name="Motivate" sheetId="899" r:id="rId592"/>
    <sheet name="Minh" sheetId="878" r:id="rId593"/>
    <sheet name="Marketing Awarness" sheetId="856" r:id="rId594"/>
    <sheet name="Media Hub" sheetId="855" r:id="rId595"/>
    <sheet name="Mary Ann Harriss" sheetId="752" r:id="rId596"/>
    <sheet name="Khoo Boo Lim" sheetId="753" r:id="rId597"/>
    <sheet name="Gooi Zi Sen" sheetId="883" r:id="rId598"/>
    <sheet name="Ong Ah Teong" sheetId="884" r:id="rId599"/>
    <sheet name="Louise" sheetId="725" r:id="rId600"/>
    <sheet name="Long Fong" sheetId="754" r:id="rId601"/>
    <sheet name="Lim Yee Harng" sheetId="719" r:id="rId602"/>
    <sheet name="Lim Woi Hong" sheetId="717" r:id="rId603"/>
    <sheet name="L&amp;O" sheetId="718" r:id="rId604"/>
    <sheet name="Leader Asia" sheetId="737" r:id="rId605"/>
    <sheet name="Lanskar" sheetId="704" r:id="rId606"/>
    <sheet name="Lokle Siew Fook" sheetId="594" r:id="rId607"/>
    <sheet name="Lembaga Penggalakan" sheetId="657" r:id="rId608"/>
    <sheet name="Leong Wen Pin" sheetId="638" r:id="rId609"/>
    <sheet name="Land Success" sheetId="590" r:id="rId610"/>
    <sheet name="Love A Cupcake (2)" sheetId="587" r:id="rId611"/>
    <sheet name="Leong Kit Yeng" sheetId="608" r:id="rId612"/>
    <sheet name="Love A Cupcake" sheetId="586" r:id="rId613"/>
    <sheet name="LiveWire" sheetId="579" r:id="rId614"/>
    <sheet name="LA Vintage" sheetId="534" r:id="rId615"/>
    <sheet name="Lim Saiko" sheetId="568" r:id="rId616"/>
    <sheet name="Leonard" sheetId="565" r:id="rId617"/>
    <sheet name="Lam Ah" sheetId="525" r:id="rId618"/>
    <sheet name="Lee Ter Yi" sheetId="509" r:id="rId619"/>
    <sheet name="Leong Wei Leng" sheetId="508" r:id="rId620"/>
    <sheet name="Leong" sheetId="491" r:id="rId621"/>
    <sheet name="Lembbaga" sheetId="480" r:id="rId622"/>
    <sheet name="Lam Kah" sheetId="411" r:id="rId623"/>
    <sheet name="Low Chung Tsu" sheetId="466" r:id="rId624"/>
    <sheet name="Lembaga" sheetId="451" r:id="rId625"/>
    <sheet name="Leong yin" sheetId="409" r:id="rId626"/>
    <sheet name="Loh Yin Suet" sheetId="377" r:id="rId627"/>
    <sheet name="Lau Jian Pyng" sheetId="390" r:id="rId628"/>
    <sheet name="Liang Chow Ming" sheetId="389" r:id="rId629"/>
    <sheet name="Legion Parking" sheetId="370" r:id="rId630"/>
    <sheet name="Liang" sheetId="369" r:id="rId631"/>
    <sheet name="Lok (2)" sheetId="358" r:id="rId632"/>
    <sheet name="Lok" sheetId="357" r:id="rId633"/>
    <sheet name="Lee Wai Keong" sheetId="347" r:id="rId634"/>
    <sheet name="Khaw Juat Seng" sheetId="312" r:id="rId635"/>
    <sheet name="KWSP" sheetId="365" r:id="rId636"/>
    <sheet name="PT Exodus" sheetId="424" r:id="rId637"/>
    <sheet name="Pertubuhan (2)" sheetId="421" r:id="rId638"/>
    <sheet name="Pertubuhan (3)" sheetId="779" r:id="rId639"/>
    <sheet name="Ketua Pengarah" sheetId="366" r:id="rId640"/>
    <sheet name="Ketua Pengarah (2)" sheetId="444" r:id="rId641"/>
    <sheet name="Ketua Pengarah (3)" sheetId="760" r:id="rId642"/>
    <sheet name="Ketua Pengarah (PTPTN)" sheetId="384" r:id="rId643"/>
    <sheet name="LHDN " sheetId="463" r:id="rId644"/>
    <sheet name="LHDN  (2)" sheetId="464" r:id="rId645"/>
    <sheet name="LHDN  (3)" sheetId="731" r:id="rId646"/>
    <sheet name="Koay Beng Hong" sheetId="336" r:id="rId647"/>
    <sheet name="Khoo Hoay Ching" sheetId="276" r:id="rId648"/>
    <sheet name="Kembang" sheetId="306" r:id="rId649"/>
    <sheet name="Kembang (2)" sheetId="393" r:id="rId650"/>
    <sheet name="KF Sticker" sheetId="297" r:id="rId651"/>
    <sheet name="Komunikatin" sheetId="292" r:id="rId652"/>
    <sheet name="Kee Seok Choo" sheetId="289" r:id="rId653"/>
    <sheet name="Kim Fashion" sheetId="282" r:id="rId654"/>
    <sheet name="KersonMediaGlobal" sheetId="38" r:id="rId655"/>
    <sheet name="Kopel" sheetId="58" r:id="rId656"/>
    <sheet name="KTM" sheetId="54" r:id="rId657"/>
    <sheet name="KDU" sheetId="21" r:id="rId658"/>
    <sheet name="Karisma" sheetId="34" r:id="rId659"/>
    <sheet name="Kelab Muzium" sheetId="252" r:id="rId660"/>
    <sheet name="Kreatif Arts" sheetId="253" r:id="rId661"/>
    <sheet name="Kwong Wah" sheetId="254" r:id="rId662"/>
    <sheet name="Ken Karting" sheetId="255" r:id="rId663"/>
    <sheet name="Kaki" sheetId="256" r:id="rId664"/>
    <sheet name="Kaki 2" sheetId="473" r:id="rId665"/>
    <sheet name="Kelana Megah" sheetId="52" r:id="rId666"/>
    <sheet name="AdvLouis" sheetId="13" r:id="rId667"/>
    <sheet name="Lim Kok Peng" sheetId="335" r:id="rId668"/>
    <sheet name="Lim Wei Boon" sheetId="328" r:id="rId669"/>
    <sheet name="Lim Hooi Leng" sheetId="325" r:id="rId670"/>
    <sheet name="Lim Boon Kooi" sheetId="314" r:id="rId671"/>
    <sheet name="Liong Lisa" sheetId="304" r:id="rId672"/>
    <sheet name="Lydia Khan" sheetId="300" r:id="rId673"/>
    <sheet name="Lee Video" sheetId="281" r:id="rId674"/>
    <sheet name="Lam Chooi Kheng" sheetId="237" r:id="rId675"/>
    <sheet name="LA Design" sheetId="279" r:id="rId676"/>
    <sheet name="Life Publisher" sheetId="30" r:id="rId677"/>
    <sheet name="Life Publisher1" sheetId="31" r:id="rId678"/>
    <sheet name="Liyana" sheetId="152" r:id="rId679"/>
    <sheet name="Linxmas" sheetId="32" r:id="rId680"/>
    <sheet name="Lean Seng" sheetId="50" r:id="rId681"/>
    <sheet name="Lydia" sheetId="88" r:id="rId682"/>
    <sheet name="Lydia1" sheetId="89" r:id="rId683"/>
    <sheet name="Leandro" sheetId="151" r:id="rId684"/>
    <sheet name="LimWahThai" sheetId="61" r:id="rId685"/>
    <sheet name="LimWahThaiLocalFood" sheetId="227" r:id="rId686"/>
    <sheet name="LTA" sheetId="154" r:id="rId687"/>
    <sheet name="LTA2" sheetId="155" r:id="rId688"/>
    <sheet name="MB Exhibitions" sheetId="866" r:id="rId689"/>
    <sheet name="Mon Reve" sheetId="876" r:id="rId690"/>
    <sheet name="Flagstaff (2)" sheetId="914" r:id="rId691"/>
    <sheet name="Mode Tour" sheetId="839" r:id="rId692"/>
    <sheet name="Mark" sheetId="812" r:id="rId693"/>
    <sheet name="Metro View" sheetId="846" r:id="rId694"/>
    <sheet name="Maxim Holidays" sheetId="833" r:id="rId695"/>
    <sheet name="Meticbiz" sheetId="825" r:id="rId696"/>
    <sheet name="M Summit" sheetId="806" r:id="rId697"/>
    <sheet name="M Summit (2)" sheetId="909" r:id="rId698"/>
    <sheet name="My Horizon" sheetId="837" r:id="rId699"/>
    <sheet name="Malaysia Hub" sheetId="789" r:id="rId700"/>
    <sheet name="Muntri Mews" sheetId="773" r:id="rId701"/>
    <sheet name="Me Sketch" sheetId="784" r:id="rId702"/>
    <sheet name="Mohd Izuddin" sheetId="768" r:id="rId703"/>
    <sheet name="Marziah" sheetId="690" r:id="rId704"/>
    <sheet name="Metro Green Adventure" sheetId="757" r:id="rId705"/>
    <sheet name="MATTA" sheetId="782" r:id="rId706"/>
    <sheet name="MIA" sheetId="741" r:id="rId707"/>
    <sheet name="Mount Miriam2" sheetId="765" r:id="rId708"/>
    <sheet name="Mediacorp" sheetId="739" r:id="rId709"/>
    <sheet name="MediaUno" sheetId="756" r:id="rId710"/>
    <sheet name="Mohammad" sheetId="726" r:id="rId711"/>
    <sheet name="Mohd Shahrizan" sheetId="915" r:id="rId712"/>
    <sheet name="Makamewah" sheetId="710" r:id="rId713"/>
    <sheet name="Loh Yen Peng" sheetId="805" r:id="rId714"/>
    <sheet name="Magnificent Empire" sheetId="705" r:id="rId715"/>
    <sheet name="Mirzal" sheetId="702" r:id="rId716"/>
    <sheet name="My Passion" sheetId="686" r:id="rId717"/>
    <sheet name="Mursyi" sheetId="519" r:id="rId718"/>
    <sheet name="Lim Hooi Leng (2)" sheetId="604" r:id="rId719"/>
    <sheet name="Southern Media" sheetId="655" r:id="rId720"/>
    <sheet name="Messe Berlin" sheetId="679" r:id="rId721"/>
    <sheet name="Marina Bay Sands" sheetId="678" r:id="rId722"/>
    <sheet name="Masterpiece" sheetId="662" r:id="rId723"/>
    <sheet name="Malaysia Airlines2" sheetId="642" r:id="rId724"/>
    <sheet name="Magnum Leisure" sheetId="639" r:id="rId725"/>
    <sheet name="Maqbul" sheetId="610" r:id="rId726"/>
    <sheet name="My Nyonya" sheetId="636" r:id="rId727"/>
    <sheet name="Maps Hotel" sheetId="624" r:id="rId728"/>
    <sheet name="Max-Airplay" sheetId="606" r:id="rId729"/>
    <sheet name="Marsh" sheetId="605" r:id="rId730"/>
    <sheet name="Mary Ann" sheetId="566" r:id="rId731"/>
    <sheet name="Media Transasia" sheetId="595" r:id="rId732"/>
    <sheet name="Mobiled" sheetId="550" r:id="rId733"/>
    <sheet name="Mobi Pot" sheetId="548" r:id="rId734"/>
    <sheet name="MSIG" sheetId="561" r:id="rId735"/>
    <sheet name="Malaysia Tourism (Tokyo)" sheetId="523" r:id="rId736"/>
    <sheet name="Meru" sheetId="521" r:id="rId737"/>
    <sheet name="Malaysia Airlines" sheetId="556" r:id="rId738"/>
    <sheet name="Media Smart" sheetId="499" r:id="rId739"/>
    <sheet name="MediaPlus" sheetId="542" r:id="rId740"/>
    <sheet name="Malaysia Tourism Pro" sheetId="549" r:id="rId741"/>
    <sheet name="Mind Sense" sheetId="511" r:id="rId742"/>
    <sheet name="Malaysia Book Of Record" sheetId="501" r:id="rId743"/>
    <sheet name="Mohammed Anwar" sheetId="422" r:id="rId744"/>
    <sheet name="Museum Hotel" sheetId="506" r:id="rId745"/>
    <sheet name="Mohd Jufry" sheetId="481" r:id="rId746"/>
    <sheet name="Mohammad Ashraf" sheetId="497" r:id="rId747"/>
    <sheet name="Messe" sheetId="461" r:id="rId748"/>
    <sheet name="MACP" sheetId="469" r:id="rId749"/>
    <sheet name="Maverick2" sheetId="438" r:id="rId750"/>
    <sheet name="Metro Green" sheetId="427" r:id="rId751"/>
    <sheet name="MCSB" sheetId="395" r:id="rId752"/>
    <sheet name="Malihom" sheetId="394" r:id="rId753"/>
    <sheet name="Moonlight" sheetId="386" r:id="rId754"/>
    <sheet name="Mapics" sheetId="381" r:id="rId755"/>
    <sheet name="Markeing Solutions" sheetId="373" r:id="rId756"/>
    <sheet name="Malaysia Tourism" sheetId="363" r:id="rId757"/>
    <sheet name="Maverick" sheetId="353" r:id="rId758"/>
    <sheet name="Melissa" sheetId="343" r:id="rId759"/>
    <sheet name="Muntri" sheetId="337" r:id="rId760"/>
    <sheet name="Mohamad" sheetId="331" r:id="rId761"/>
    <sheet name="Mureli" sheetId="332" r:id="rId762"/>
    <sheet name="MGS" sheetId="323" r:id="rId763"/>
    <sheet name="Malaysian Tourism" sheetId="318" r:id="rId764"/>
    <sheet name="MICEM2" sheetId="307" r:id="rId765"/>
    <sheet name="MPPP" sheetId="294" r:id="rId766"/>
    <sheet name="MPPP (2)" sheetId="432" r:id="rId767"/>
    <sheet name="Magicprint" sheetId="280" r:id="rId768"/>
    <sheet name="MarketSource" sheetId="317" r:id="rId769"/>
    <sheet name="Micem" sheetId="206" r:id="rId770"/>
    <sheet name="Majlis KebudayaanNegeri" sheetId="207" r:id="rId771"/>
    <sheet name="MattaPg" sheetId="208" r:id="rId772"/>
    <sheet name="Mega" sheetId="209" r:id="rId773"/>
    <sheet name="MattaJohor" sheetId="210" r:id="rId774"/>
    <sheet name="Myceb" sheetId="546" r:id="rId775"/>
    <sheet name="MattaMelaka" sheetId="211" r:id="rId776"/>
    <sheet name="MDTF" sheetId="212" r:id="rId777"/>
    <sheet name="Metroplex" sheetId="213" r:id="rId778"/>
    <sheet name="Marco Adv" sheetId="214" r:id="rId779"/>
    <sheet name="Marco" sheetId="215" r:id="rId780"/>
    <sheet name="Moganes" sheetId="216" r:id="rId781"/>
    <sheet name="Michael" sheetId="217" r:id="rId782"/>
    <sheet name="Mongoose" sheetId="218" r:id="rId783"/>
    <sheet name="MIVS" sheetId="219" r:id="rId784"/>
    <sheet name="MSVCR" sheetId="242" r:id="rId785"/>
    <sheet name="Mount Miriam" sheetId="243" r:id="rId786"/>
    <sheet name="Muda" sheetId="244" r:id="rId787"/>
    <sheet name="MRCS" sheetId="245" r:id="rId788"/>
    <sheet name="Metroplex (2)" sheetId="246" r:id="rId789"/>
    <sheet name="Sheet4" sheetId="185" r:id="rId790"/>
  </sheets>
  <definedNames>
    <definedName name="numbers" localSheetId="4">{"";"One";"Two";"Three";"Four";"Five";"Six";"Seven";"Eight";"Nine";"Ten";"Eleven";"Twelve";"Thirteen";"Fourteen";"Fifteen";"Sixteen";"Seventeen";"Eighteen";"Nineteen"}</definedName>
    <definedName name="numbers" localSheetId="43">{"";"One";"Two";"Three";"Four";"Five";"Six";"Seven";"Eight";"Nine";"Ten";"Eleven";"Twelve";"Thirteen";"Fourteen";"Fifteen";"Sixteen";"Seventeen";"Eighteen";"Nineteen"}</definedName>
    <definedName name="numbers" localSheetId="56">{"";"One";"Two";"Three";"Four";"Five";"Six";"Seven";"Eight";"Nine";"Ten";"Eleven";"Twelve";"Thirteen";"Fourteen";"Fifteen";"Sixteen";"Seventeen";"Eighteen";"Nineteen"}</definedName>
    <definedName name="numbers" localSheetId="58">{"";"One";"Two";"Three";"Four";"Five";"Six";"Seven";"Eight";"Nine";"Ten";"Eleven";"Twelve";"Thirteen";"Fourteen";"Fifteen";"Sixteen";"Seventeen";"Eighteen";"Nineteen"}</definedName>
    <definedName name="numbers" localSheetId="45">{"";"One";"Two";"Three";"Four";"Five";"Six";"Seven";"Eight";"Nine";"Ten";"Eleven";"Twelve";"Thirteen";"Fourteen";"Fifteen";"Sixteen";"Seventeen";"Eighteen";"Nineteen"}</definedName>
    <definedName name="numbers" localSheetId="41">{"";"One";"Two";"Three";"Four";"Five";"Six";"Seven";"Eight";"Nine";"Ten";"Eleven";"Twelve";"Thirteen";"Fourteen";"Fifteen";"Sixteen";"Seventeen";"Eighteen";"Nineteen"}</definedName>
    <definedName name="numbers" localSheetId="42">{"";"One";"Two";"Three";"Four";"Five";"Six";"Seven";"Eight";"Nine";"Ten";"Eleven";"Twelve";"Thirteen";"Fourteen";"Fifteen";"Sixteen";"Seventeen";"Eighteen";"Nineteen"}</definedName>
    <definedName name="numbers" localSheetId="5">{"";"One";"Two";"Three";"Four";"Five";"Six";"Seven";"Eight";"Nine";"Ten";"Eleven";"Twelve";"Thirteen";"Fourteen";"Fifteen";"Sixteen";"Seventeen";"Eighteen";"Nineteen"}</definedName>
    <definedName name="numbers" localSheetId="59">{"";"One";"Two";"Three";"Four";"Five";"Six";"Seven";"Eight";"Nine";"Ten";"Eleven";"Twelve";"Thirteen";"Fourteen";"Fifteen";"Sixteen";"Seventeen";"Eighteen";"Nineteen"}</definedName>
    <definedName name="numbers" localSheetId="27">{"";"One";"Two";"Three";"Four";"Five";"Six";"Seven";"Eight";"Nine";"Ten";"Eleven";"Twelve";"Thirteen";"Fourteen";"Fifteen";"Sixteen";"Seventeen";"Eighteen";"Nineteen"}</definedName>
    <definedName name="numbers" localSheetId="36">{"";"One";"Two";"Three";"Four";"Five";"Six";"Seven";"Eight";"Nine";"Ten";"Eleven";"Twelve";"Thirteen";"Fourteen";"Fifteen";"Sixteen";"Seventeen";"Eighteen";"Nineteen"}</definedName>
    <definedName name="numbers" localSheetId="38">{"";"One";"Two";"Three";"Four";"Five";"Six";"Seven";"Eight";"Nine";"Ten";"Eleven";"Twelve";"Thirteen";"Fourteen";"Fifteen";"Sixteen";"Seventeen";"Eighteen";"Nineteen"}</definedName>
    <definedName name="numbers" localSheetId="131">{"";"One";"Two";"Three";"Four";"Five";"Six";"Seven";"Eight";"Nine";"Ten";"Eleven";"Twelve";"Thirteen";"Fourteen";"Fifteen";"Sixteen";"Seventeen";"Eighteen";"Nineteen"}</definedName>
    <definedName name="numbers" localSheetId="15">{"";"One";"Two";"Three";"Four";"Five";"Six";"Seven";"Eight";"Nine";"Ten";"Eleven";"Twelve";"Thirteen";"Fourteen";"Fifteen";"Sixteen";"Seventeen";"Eighteen";"Nineteen"}</definedName>
    <definedName name="numbers" localSheetId="37">{"";"One";"Two";"Three";"Four";"Five";"Six";"Seven";"Eight";"Nine";"Ten";"Eleven";"Twelve";"Thirteen";"Fourteen";"Fifteen";"Sixteen";"Seventeen";"Eighteen";"Nineteen"}</definedName>
    <definedName name="numbers" localSheetId="16">{"";"One";"Two";"Three";"Four";"Five";"Six";"Seven";"Eight";"Nine";"Ten";"Eleven";"Twelve";"Thirteen";"Fourteen";"Fifteen";"Sixteen";"Seventeen";"Eighteen";"Nineteen"}</definedName>
    <definedName name="numbers" localSheetId="51">{"";"One";"Two";"Three";"Four";"Five";"Six";"Seven";"Eight";"Nine";"Ten";"Eleven";"Twelve";"Thirteen";"Fourteen";"Fifteen";"Sixteen";"Seventeen";"Eighteen";"Nineteen"}</definedName>
    <definedName name="numbers" localSheetId="14">{"";"One";"Two";"Three";"Four";"Five";"Six";"Seven";"Eight";"Nine";"Ten";"Eleven";"Twelve";"Thirteen";"Fourteen";"Fifteen";"Sixteen";"Seventeen";"Eighteen";"Nineteen"}</definedName>
    <definedName name="numbers" localSheetId="13">{"";"One";"Two";"Three";"Four";"Five";"Six";"Seven";"Eight";"Nine";"Ten";"Eleven";"Twelve";"Thirteen";"Fourteen";"Fifteen";"Sixteen";"Seventeen";"Eighteen";"Nineteen"}</definedName>
    <definedName name="numbers" localSheetId="141">{"";"One";"Two";"Three";"Four";"Five";"Six";"Seven";"Eight";"Nine";"Ten";"Eleven";"Twelve";"Thirteen";"Fourteen";"Fifteen";"Sixteen";"Seventeen";"Eighteen";"Nineteen"}</definedName>
    <definedName name="numbers" localSheetId="40">{"";"One";"Two";"Three";"Four";"Five";"Six";"Seven";"Eight";"Nine";"Ten";"Eleven";"Twelve";"Thirteen";"Fourteen";"Fifteen";"Sixteen";"Seventeen";"Eighteen";"Nineteen"}</definedName>
    <definedName name="numbers" localSheetId="30">{"";"One";"Two";"Three";"Four";"Five";"Six";"Seven";"Eight";"Nine";"Ten";"Eleven";"Twelve";"Thirteen";"Fourteen";"Fifteen";"Sixteen";"Seventeen";"Eighteen";"Nineteen"}</definedName>
    <definedName name="numbers" localSheetId="52">{"";"One";"Two";"Three";"Four";"Five";"Six";"Seven";"Eight";"Nine";"Ten";"Eleven";"Twelve";"Thirteen";"Fourteen";"Fifteen";"Sixteen";"Seventeen";"Eighteen";"Nineteen"}</definedName>
    <definedName name="numbers" localSheetId="48">{"";"One";"Two";"Three";"Four";"Five";"Six";"Seven";"Eight";"Nine";"Ten";"Eleven";"Twelve";"Thirteen";"Fourteen";"Fifteen";"Sixteen";"Seventeen";"Eighteen";"Nineteen"}</definedName>
    <definedName name="numbers" localSheetId="32">{"";"One";"Two";"Three";"Four";"Five";"Six";"Seven";"Eight";"Nine";"Ten";"Eleven";"Twelve";"Thirteen";"Fourteen";"Fifteen";"Sixteen";"Seventeen";"Eighteen";"Nineteen"}</definedName>
    <definedName name="numbers" localSheetId="44">{"";"One";"Two";"Three";"Four";"Five";"Six";"Seven";"Eight";"Nine";"Ten";"Eleven";"Twelve";"Thirteen";"Fourteen";"Fifteen";"Sixteen";"Seventeen";"Eighteen";"Nineteen"}</definedName>
    <definedName name="numbers" localSheetId="24">{"";"One";"Two";"Three";"Four";"Five";"Six";"Seven";"Eight";"Nine";"Ten";"Eleven";"Twelve";"Thirteen";"Fourteen";"Fifteen";"Sixteen";"Seventeen";"Eighteen";"Nineteen"}</definedName>
    <definedName name="numbers" localSheetId="25">{"";"One";"Two";"Three";"Four";"Five";"Six";"Seven";"Eight";"Nine";"Ten";"Eleven";"Twelve";"Thirteen";"Fourteen";"Fifteen";"Sixteen";"Seventeen";"Eighteen";"Nineteen"}</definedName>
    <definedName name="numbers" localSheetId="54">{"";"One";"Two";"Three";"Four";"Five";"Six";"Seven";"Eight";"Nine";"Ten";"Eleven";"Twelve";"Thirteen";"Fourteen";"Fifteen";"Sixteen";"Seventeen";"Eighteen";"Nineteen"}</definedName>
    <definedName name="numbers" localSheetId="33">{"";"One";"Two";"Three";"Four";"Five";"Six";"Seven";"Eight";"Nine";"Ten";"Eleven";"Twelve";"Thirteen";"Fourteen";"Fifteen";"Sixteen";"Seventeen";"Eighteen";"Nineteen"}</definedName>
    <definedName name="numbers" localSheetId="17">{"";"One";"Two";"Three";"Four";"Five";"Six";"Seven";"Eight";"Nine";"Ten";"Eleven";"Twelve";"Thirteen";"Fourteen";"Fifteen";"Sixteen";"Seventeen";"Eighteen";"Nineteen"}</definedName>
    <definedName name="numbers" localSheetId="21">{"";"One";"Two";"Three";"Four";"Five";"Six";"Seven";"Eight";"Nine";"Ten";"Eleven";"Twelve";"Thirteen";"Fourteen";"Fifteen";"Sixteen";"Seventeen";"Eighteen";"Nineteen"}</definedName>
    <definedName name="numbers" localSheetId="61">{"";"One";"Two";"Three";"Four";"Five";"Six";"Seven";"Eight";"Nine";"Ten";"Eleven";"Twelve";"Thirteen";"Fourteen";"Fifteen";"Sixteen";"Seventeen";"Eighteen";"Nineteen"}</definedName>
    <definedName name="numbers" localSheetId="29">{"";"One";"Two";"Three";"Four";"Five";"Six";"Seven";"Eight";"Nine";"Ten";"Eleven";"Twelve";"Thirteen";"Fourteen";"Fifteen";"Sixteen";"Seventeen";"Eighteen";"Nineteen"}</definedName>
    <definedName name="numbers" localSheetId="20">{"";"One";"Two";"Three";"Four";"Five";"Six";"Seven";"Eight";"Nine";"Ten";"Eleven";"Twelve";"Thirteen";"Fourteen";"Fifteen";"Sixteen";"Seventeen";"Eighteen";"Nineteen"}</definedName>
    <definedName name="numbers" localSheetId="60">{"";"One";"Two";"Three";"Four";"Five";"Six";"Seven";"Eight";"Nine";"Ten";"Eleven";"Twelve";"Thirteen";"Fourteen";"Fifteen";"Sixteen";"Seventeen";"Eighteen";"Nineteen"}</definedName>
    <definedName name="numbers" localSheetId="35">{"";"One";"Two";"Three";"Four";"Five";"Six";"Seven";"Eight";"Nine";"Ten";"Eleven";"Twelve";"Thirteen";"Fourteen";"Fifteen";"Sixteen";"Seventeen";"Eighteen";"Nineteen"}</definedName>
    <definedName name="numbers" localSheetId="49">{"";"One";"Two";"Three";"Four";"Five";"Six";"Seven";"Eight";"Nine";"Ten";"Eleven";"Twelve";"Thirteen";"Fourteen";"Fifteen";"Sixteen";"Seventeen";"Eighteen";"Nineteen"}</definedName>
    <definedName name="numbers" localSheetId="23">{"";"One";"Two";"Three";"Four";"Five";"Six";"Seven";"Eight";"Nine";"Ten";"Eleven";"Twelve";"Thirteen";"Fourteen";"Fifteen";"Sixteen";"Seventeen";"Eighteen";"Nineteen"}</definedName>
    <definedName name="numbers" localSheetId="66">{"";"One";"Two";"Three";"Four";"Five";"Six";"Seven";"Eight";"Nine";"Ten";"Eleven";"Twelve";"Thirteen";"Fourteen";"Fifteen";"Sixteen";"Seventeen";"Eighteen";"Nineteen"}</definedName>
    <definedName name="numbers" localSheetId="28">{"";"One";"Two";"Three";"Four";"Five";"Six";"Seven";"Eight";"Nine";"Ten";"Eleven";"Twelve";"Thirteen";"Fourteen";"Fifteen";"Sixteen";"Seventeen";"Eighteen";"Nineteen"}</definedName>
    <definedName name="numbers" localSheetId="57">{"";"One";"Two";"Three";"Four";"Five";"Six";"Seven";"Eight";"Nine";"Ten";"Eleven";"Twelve";"Thirteen";"Fourteen";"Fifteen";"Sixteen";"Seventeen";"Eighteen";"Nineteen"}</definedName>
    <definedName name="numbers" localSheetId="19">{"";"One";"Two";"Three";"Four";"Five";"Six";"Seven";"Eight";"Nine";"Ten";"Eleven";"Twelve";"Thirteen";"Fourteen";"Fifteen";"Sixteen";"Seventeen";"Eighteen";"Nineteen"}</definedName>
    <definedName name="numbers" localSheetId="147">{"";"One";"Two";"Three";"Four";"Five";"Six";"Seven";"Eight";"Nine";"Ten";"Eleven";"Twelve";"Thirteen";"Fourteen";"Fifteen";"Sixteen";"Seventeen";"Eighteen";"Nineteen"}</definedName>
    <definedName name="numbers" localSheetId="26">{"";"One";"Two";"Three";"Four";"Five";"Six";"Seven";"Eight";"Nine";"Ten";"Eleven";"Twelve";"Thirteen";"Fourteen";"Fifteen";"Sixteen";"Seventeen";"Eighteen";"Nineteen"}</definedName>
    <definedName name="numbers" localSheetId="47">{"";"One";"Two";"Three";"Four";"Five";"Six";"Seven";"Eight";"Nine";"Ten";"Eleven";"Twelve";"Thirteen";"Fourteen";"Fifteen";"Sixteen";"Seventeen";"Eighteen";"Nineteen"}</definedName>
    <definedName name="numbers" localSheetId="50">{"";"One";"Two";"Three";"Four";"Five";"Six";"Seven";"Eight";"Nine";"Ten";"Eleven";"Twelve";"Thirteen";"Fourteen";"Fifteen";"Sixteen";"Seventeen";"Eighteen";"Nineteen"}</definedName>
    <definedName name="numbers" localSheetId="34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numbers" localSheetId="2">{"";"One";"Two";"Three";"Four";"Five";"Six";"Seven";"Eight";"Nine";"Ten";"Eleven";"Twelve";"Thirteen";"Fourteen";"Fifteen";"Sixteen";"Seventeen";"Eighteen";"Nineteen"}</definedName>
    <definedName name="numbers" localSheetId="130">{"";"One";"Two";"Three";"Four";"Five";"Six";"Seven";"Eight";"Nine";"Ten";"Eleven";"Twelve";"Thirteen";"Fourteen";"Fifteen";"Sixteen";"Seventeen";"Eighteen";"Nineteen"}</definedName>
    <definedName name="numbers" localSheetId="31">{"";"One";"Two";"Three";"Four";"Five";"Six";"Seven";"Eight";"Nine";"Ten";"Eleven";"Twelve";"Thirteen";"Fourteen";"Fifteen";"Sixteen";"Seventeen";"Eighteen";"Nineteen"}</definedName>
    <definedName name="numbers" localSheetId="46">{"";"One";"Two";"Three";"Four";"Five";"Six";"Seven";"Eight";"Nine";"Ten";"Eleven";"Twelve";"Thirteen";"Fourteen";"Fifteen";"Sixteen";"Seventeen";"Eighteen";"Nineteen"}</definedName>
    <definedName name="numbers" localSheetId="65">{"";"One";"Two";"Three";"Four";"Five";"Six";"Seven";"Eight";"Nine";"Ten";"Eleven";"Twelve";"Thirteen";"Fourteen";"Fifteen";"Sixteen";"Seventeen";"Eighteen";"Nineteen"}</definedName>
    <definedName name="numbers" localSheetId="22">{"";"One";"Two";"Three";"Four";"Five";"Six";"Seven";"Eight";"Nine";"Ten";"Eleven";"Twelve";"Thirteen";"Fourteen";"Fifteen";"Sixteen";"Seventeen";"Eighteen";"Nineteen"}</definedName>
    <definedName name="numbers" localSheetId="53">{"";"One";"Two";"Three";"Four";"Five";"Six";"Seven";"Eight";"Nine";"Ten";"Eleven";"Twelve";"Thirteen";"Fourteen";"Fifteen";"Sixteen";"Seventeen";"Eighteen";"Nineteen"}</definedName>
    <definedName name="numbers" localSheetId="145">{"";"One";"Two";"Three";"Four";"Five";"Six";"Seven";"Eight";"Nine";"Ten";"Eleven";"Twelve";"Thirteen";"Fourteen";"Fifteen";"Sixteen";"Seventeen";"Eighteen";"Nineteen"}</definedName>
    <definedName name="numbers" localSheetId="39">{"";"One";"Two";"Three";"Four";"Five";"Six";"Seven";"Eight";"Nine";"Ten";"Eleven";"Twelve";"Thirteen";"Fourteen";"Fifteen";"Sixteen";"Seventeen";"Eighteen";"Nineteen"}</definedName>
    <definedName name="numbers" localSheetId="18">{"";"One";"Two";"Three";"Four";"Five";"Six";"Seven";"Eight";"Nine";"Ten";"Eleven";"Twelve";"Thirteen";"Fourteen";"Fifteen";"Sixteen";"Seventeen";"Eighteen";"Nineteen"}</definedName>
    <definedName name="numbers" localSheetId="158">{"";"One";"Two";"Three";"Four";"Five";"Six";"Seven";"Eight";"Nine";"Ten";"Eleven";"Twelve";"Thirteen";"Fourteen";"Fifteen";"Sixteen";"Seventeen";"Eighteen";"Nineteen"}</definedName>
    <definedName name="numbers" localSheetId="184">{"";"One";"Two";"Three";"Four";"Five";"Six";"Seven";"Eight";"Nine";"Ten";"Eleven";"Twelve";"Thirteen";"Fourteen";"Fifteen";"Sixteen";"Seventeen";"Eighteen";"Nineteen"}</definedName>
    <definedName name="numbers" localSheetId="167">{"";"One";"Two";"Three";"Four";"Five";"Six";"Seven";"Eight";"Nine";"Ten";"Eleven";"Twelve";"Thirteen";"Fourteen";"Fifteen";"Sixteen";"Seventeen";"Eighteen";"Nineteen"}</definedName>
    <definedName name="numbers" localSheetId="179">{"";"One";"Two";"Three";"Four";"Five";"Six";"Seven";"Eight";"Nine";"Ten";"Eleven";"Twelve";"Thirteen";"Fourteen";"Fifteen";"Sixteen";"Seventeen";"Eighteen";"Nineteen"}</definedName>
    <definedName name="numbers" localSheetId="190">{"";"One";"Two";"Three";"Four";"Five";"Six";"Seven";"Eight";"Nine";"Ten";"Eleven";"Twelve";"Thirteen";"Fourteen";"Fifteen";"Sixteen";"Seventeen";"Eighteen";"Nineteen"}</definedName>
    <definedName name="numbers" localSheetId="162">{"";"One";"Two";"Three";"Four";"Five";"Six";"Seven";"Eight";"Nine";"Ten";"Eleven";"Twelve";"Thirteen";"Fourteen";"Fifteen";"Sixteen";"Seventeen";"Eighteen";"Nineteen"}</definedName>
    <definedName name="numbers" localSheetId="165">{"";"One";"Two";"Three";"Four";"Five";"Six";"Seven";"Eight";"Nine";"Ten";"Eleven";"Twelve";"Thirteen";"Fourteen";"Fifteen";"Sixteen";"Seventeen";"Eighteen";"Nineteen"}</definedName>
    <definedName name="numbers" localSheetId="10">{"";"One";"Two";"Three";"Four";"Five";"Six";"Seven";"Eight";"Nine";"Ten";"Eleven";"Twelve";"Thirteen";"Fourteen";"Fifteen";"Sixteen";"Seventeen";"Eighteen";"Nineteen"}</definedName>
    <definedName name="numbers" localSheetId="186">{"";"One";"Two";"Three";"Four";"Five";"Six";"Seven";"Eight";"Nine";"Ten";"Eleven";"Twelve";"Thirteen";"Fourteen";"Fifteen";"Sixteen";"Seventeen";"Eighteen";"Nineteen"}</definedName>
    <definedName name="numbers" localSheetId="173">{"";"One";"Two";"Three";"Four";"Five";"Six";"Seven";"Eight";"Nine";"Ten";"Eleven";"Twelve";"Thirteen";"Fourteen";"Fifteen";"Sixteen";"Seventeen";"Eighteen";"Nineteen"}</definedName>
    <definedName name="numbers" localSheetId="170">{"";"One";"Two";"Three";"Four";"Five";"Six";"Seven";"Eight";"Nine";"Ten";"Eleven";"Twelve";"Thirteen";"Fourteen";"Fifteen";"Sixteen";"Seventeen";"Eighteen";"Nineteen"}</definedName>
    <definedName name="numbers" localSheetId="163">{"";"One";"Two";"Three";"Four";"Five";"Six";"Seven";"Eight";"Nine";"Ten";"Eleven";"Twelve";"Thirteen";"Fourteen";"Fifteen";"Sixteen";"Seventeen";"Eighteen";"Nineteen"}</definedName>
    <definedName name="numbers" localSheetId="176">{"";"One";"Two";"Three";"Four";"Five";"Six";"Seven";"Eight";"Nine";"Ten";"Eleven";"Twelve";"Thirteen";"Fourteen";"Fifteen";"Sixteen";"Seventeen";"Eighteen";"Nineteen"}</definedName>
    <definedName name="numbers" localSheetId="174">{"";"One";"Two";"Three";"Four";"Five";"Six";"Seven";"Eight";"Nine";"Ten";"Eleven";"Twelve";"Thirteen";"Fourteen";"Fifteen";"Sixteen";"Seventeen";"Eighteen";"Nineteen"}</definedName>
    <definedName name="numbers" localSheetId="182">{"";"One";"Two";"Three";"Four";"Five";"Six";"Seven";"Eight";"Nine";"Ten";"Eleven";"Twelve";"Thirteen";"Fourteen";"Fifteen";"Sixteen";"Seventeen";"Eighteen";"Nineteen"}</definedName>
    <definedName name="numbers" localSheetId="164">{"";"One";"Two";"Three";"Four";"Five";"Six";"Seven";"Eight";"Nine";"Ten";"Eleven";"Twelve";"Thirteen";"Fourteen";"Fifteen";"Sixteen";"Seventeen";"Eighteen";"Nineteen"}</definedName>
    <definedName name="numbers" localSheetId="166">{"";"One";"Two";"Three";"Four";"Five";"Six";"Seven";"Eight";"Nine";"Ten";"Eleven";"Twelve";"Thirteen";"Fourteen";"Fifteen";"Sixteen";"Seventeen";"Eighteen";"Nineteen"}</definedName>
    <definedName name="numbers" localSheetId="11">{"";"One";"Two";"Three";"Four";"Five";"Six";"Seven";"Eight";"Nine";"Ten";"Eleven";"Twelve";"Thirteen";"Fourteen";"Fifteen";"Sixteen";"Seventeen";"Eighteen";"Nineteen"}</definedName>
    <definedName name="numbers" localSheetId="172">{"";"One";"Two";"Three";"Four";"Five";"Six";"Seven";"Eight";"Nine";"Ten";"Eleven";"Twelve";"Thirteen";"Fourteen";"Fifteen";"Sixteen";"Seventeen";"Eighteen";"Nineteen"}</definedName>
    <definedName name="numbers" localSheetId="175">{"";"One";"Two";"Three";"Four";"Five";"Six";"Seven";"Eight";"Nine";"Ten";"Eleven";"Twelve";"Thirteen";"Fourteen";"Fifteen";"Sixteen";"Seventeen";"Eighteen";"Nineteen"}</definedName>
    <definedName name="numbers" localSheetId="157">{"";"One";"Two";"Three";"Four";"Five";"Six";"Seven";"Eight";"Nine";"Ten";"Eleven";"Twelve";"Thirteen";"Fourteen";"Fifteen";"Sixteen";"Seventeen";"Eighteen";"Nineteen"}</definedName>
    <definedName name="numbers" localSheetId="12">{"";"One";"Two";"Three";"Four";"Five";"Six";"Seven";"Eight";"Nine";"Ten";"Eleven";"Twelve";"Thirteen";"Fourteen";"Fifteen";"Sixteen";"Seventeen";"Eighteen";"Nineteen"}</definedName>
    <definedName name="numbers" localSheetId="171">{"";"One";"Two";"Three";"Four";"Five";"Six";"Seven";"Eight";"Nine";"Ten";"Eleven";"Twelve";"Thirteen";"Fourteen";"Fifteen";"Sixteen";"Seventeen";"Eighteen";"Nineteen"}</definedName>
    <definedName name="numbers" localSheetId="189">{"";"One";"Two";"Three";"Four";"Five";"Six";"Seven";"Eight";"Nine";"Ten";"Eleven";"Twelve";"Thirteen";"Fourteen";"Fifteen";"Sixteen";"Seventeen";"Eighteen";"Nineteen"}</definedName>
    <definedName name="numbers" localSheetId="177">{"";"One";"Two";"Three";"Four";"Five";"Six";"Seven";"Eight";"Nine";"Ten";"Eleven";"Twelve";"Thirteen";"Fourteen";"Fifteen";"Sixteen";"Seventeen";"Eighteen";"Nineteen"}</definedName>
    <definedName name="numbers" localSheetId="161">{"";"One";"Two";"Three";"Four";"Five";"Six";"Seven";"Eight";"Nine";"Ten";"Eleven";"Twelve";"Thirteen";"Fourteen";"Fifteen";"Sixteen";"Seventeen";"Eighteen";"Nineteen"}</definedName>
    <definedName name="numbers" localSheetId="155">{"";"One";"Two";"Three";"Four";"Five";"Six";"Seven";"Eight";"Nine";"Ten";"Eleven";"Twelve";"Thirteen";"Fourteen";"Fifteen";"Sixteen";"Seventeen";"Eighteen";"Nineteen"}</definedName>
    <definedName name="numbers" localSheetId="160">{"";"One";"Two";"Three";"Four";"Five";"Six";"Seven";"Eight";"Nine";"Ten";"Eleven";"Twelve";"Thirteen";"Fourteen";"Fifteen";"Sixteen";"Seventeen";"Eighteen";"Nineteen"}</definedName>
    <definedName name="numbers" localSheetId="168">{"";"One";"Two";"Three";"Four";"Five";"Six";"Seven";"Eight";"Nine";"Ten";"Eleven";"Twelve";"Thirteen";"Fourteen";"Fifteen";"Sixteen";"Seventeen";"Eighteen";"Nineteen"}</definedName>
    <definedName name="numbers" localSheetId="169">{"";"One";"Two";"Three";"Four";"Five";"Six";"Seven";"Eight";"Nine";"Ten";"Eleven";"Twelve";"Thirteen";"Fourteen";"Fifteen";"Sixteen";"Seventeen";"Eighteen";"Nineteen"}</definedName>
    <definedName name="numbers" localSheetId="156">{"";"One";"Two";"Three";"Four";"Five";"Six";"Seven";"Eight";"Nine";"Ten";"Eleven";"Twelve";"Thirteen";"Fourteen";"Fifteen";"Sixteen";"Seventeen";"Eighteen";"Nineteen"}</definedName>
    <definedName name="numbers" localSheetId="281">{"";"One";"Two";"Three";"Four";"Five";"Six";"Seven";"Eight";"Nine";"Ten";"Eleven";"Twelve";"Thirteen";"Fourteen";"Fifteen";"Sixteen";"Seventeen";"Eighteen";"Nineteen"}</definedName>
    <definedName name="numbers" localSheetId="104">{"";"One";"Two";"Three";"Four";"Five";"Six";"Seven";"Eight";"Nine";"Ten";"Eleven";"Twelve";"Thirteen";"Fourteen";"Fifteen";"Sixteen";"Seventeen";"Eighteen";"Nineteen"}</definedName>
    <definedName name="numbers" localSheetId="272">{"";"One";"Two";"Three";"Four";"Five";"Six";"Seven";"Eight";"Nine";"Ten";"Eleven";"Twelve";"Thirteen";"Fourteen";"Fifteen";"Sixteen";"Seventeen";"Eighteen";"Nineteen"}</definedName>
    <definedName name="numbers" localSheetId="261">{"";"One";"Two";"Three";"Four";"Five";"Six";"Seven";"Eight";"Nine";"Ten";"Eleven";"Twelve";"Thirteen";"Fourteen";"Fifteen";"Sixteen";"Seventeen";"Eighteen";"Nineteen"}</definedName>
    <definedName name="numbers" localSheetId="282">{"";"One";"Two";"Three";"Four";"Five";"Six";"Seven";"Eight";"Nine";"Ten";"Eleven";"Twelve";"Thirteen";"Fourteen";"Fifteen";"Sixteen";"Seventeen";"Eighteen";"Nineteen"}</definedName>
    <definedName name="numbers" localSheetId="264">{"";"One";"Two";"Three";"Four";"Five";"Six";"Seven";"Eight";"Nine";"Ten";"Eleven";"Twelve";"Thirteen";"Fourteen";"Fifteen";"Sixteen";"Seventeen";"Eighteen";"Nineteen"}</definedName>
    <definedName name="numbers" localSheetId="204">{"";"One";"Two";"Three";"Four";"Five";"Six";"Seven";"Eight";"Nine";"Ten";"Eleven";"Twelve";"Thirteen";"Fourteen";"Fifteen";"Sixteen";"Seventeen";"Eighteen";"Nineteen"}</definedName>
    <definedName name="numbers" localSheetId="270">{"";"One";"Two";"Three";"Four";"Five";"Six";"Seven";"Eight";"Nine";"Ten";"Eleven";"Twelve";"Thirteen";"Fourteen";"Fifteen";"Sixteen";"Seventeen";"Eighteen";"Nineteen"}</definedName>
    <definedName name="numbers" localSheetId="94">{"";"One";"Two";"Three";"Four";"Five";"Six";"Seven";"Eight";"Nine";"Ten";"Eleven";"Twelve";"Thirteen";"Fourteen";"Fifteen";"Sixteen";"Seventeen";"Eighteen";"Nineteen"}</definedName>
    <definedName name="numbers" localSheetId="277">{"";"One";"Two";"Three";"Four";"Five";"Six";"Seven";"Eight";"Nine";"Ten";"Eleven";"Twelve";"Thirteen";"Fourteen";"Fifteen";"Sixteen";"Seventeen";"Eighteen";"Nineteen"}</definedName>
    <definedName name="numbers" localSheetId="259">{"";"One";"Two";"Three";"Four";"Five";"Six";"Seven";"Eight";"Nine";"Ten";"Eleven";"Twelve";"Thirteen";"Fourteen";"Fifteen";"Sixteen";"Seventeen";"Eighteen";"Nineteen"}</definedName>
    <definedName name="numbers" localSheetId="280">{"";"One";"Two";"Three";"Four";"Five";"Six";"Seven";"Eight";"Nine";"Ten";"Eleven";"Twelve";"Thirteen";"Fourteen";"Fifteen";"Sixteen";"Seventeen";"Eighteen";"Nineteen"}</definedName>
    <definedName name="numbers" localSheetId="253">{"";"One";"Two";"Three";"Four";"Five";"Six";"Seven";"Eight";"Nine";"Ten";"Eleven";"Twelve";"Thirteen";"Fourteen";"Fifteen";"Sixteen";"Seventeen";"Eighteen";"Nineteen"}</definedName>
    <definedName name="numbers" localSheetId="265">{"";"One";"Two";"Three";"Four";"Five";"Six";"Seven";"Eight";"Nine";"Ten";"Eleven";"Twelve";"Thirteen";"Fourteen";"Fifteen";"Sixteen";"Seventeen";"Eighteen";"Nineteen"}</definedName>
    <definedName name="numbers" localSheetId="286">{"";"One";"Two";"Three";"Four";"Five";"Six";"Seven";"Eight";"Nine";"Ten";"Eleven";"Twelve";"Thirteen";"Fourteen";"Fifteen";"Sixteen";"Seventeen";"Eighteen";"Nineteen"}</definedName>
    <definedName name="numbers" localSheetId="93">{"";"One";"Two";"Three";"Four";"Five";"Six";"Seven";"Eight";"Nine";"Ten";"Eleven";"Twelve";"Thirteen";"Fourteen";"Fifteen";"Sixteen";"Seventeen";"Eighteen";"Nineteen"}</definedName>
    <definedName name="numbers" localSheetId="262">{"";"One";"Two";"Three";"Four";"Five";"Six";"Seven";"Eight";"Nine";"Ten";"Eleven";"Twelve";"Thirteen";"Fourteen";"Fifteen";"Sixteen";"Seventeen";"Eighteen";"Nineteen"}</definedName>
    <definedName name="numbers" localSheetId="278">{"";"One";"Two";"Three";"Four";"Five";"Six";"Seven";"Eight";"Nine";"Ten";"Eleven";"Twelve";"Thirteen";"Fourteen";"Fifteen";"Sixteen";"Seventeen";"Eighteen";"Nineteen"}</definedName>
    <definedName name="numbers" localSheetId="255">{"";"One";"Two";"Three";"Four";"Five";"Six";"Seven";"Eight";"Nine";"Ten";"Eleven";"Twelve";"Thirteen";"Fourteen";"Fifteen";"Sixteen";"Seventeen";"Eighteen";"Nineteen"}</definedName>
    <definedName name="numbers" localSheetId="254">{"";"One";"Two";"Three";"Four";"Five";"Six";"Seven";"Eight";"Nine";"Ten";"Eleven";"Twelve";"Thirteen";"Fourteen";"Fifteen";"Sixteen";"Seventeen";"Eighteen";"Nineteen"}</definedName>
    <definedName name="numbers" localSheetId="266">{"";"One";"Two";"Three";"Four";"Five";"Six";"Seven";"Eight";"Nine";"Ten";"Eleven";"Twelve";"Thirteen";"Fourteen";"Fifteen";"Sixteen";"Seventeen";"Eighteen";"Nineteen"}</definedName>
    <definedName name="numbers" localSheetId="242">{"";"One";"Two";"Three";"Four";"Five";"Six";"Seven";"Eight";"Nine";"Ten";"Eleven";"Twelve";"Thirteen";"Fourteen";"Fifteen";"Sixteen";"Seventeen";"Eighteen";"Nineteen"}</definedName>
    <definedName name="numbers" localSheetId="279">{"";"One";"Two";"Three";"Four";"Five";"Six";"Seven";"Eight";"Nine";"Ten";"Eleven";"Twelve";"Thirteen";"Fourteen";"Fifteen";"Sixteen";"Seventeen";"Eighteen";"Nineteen"}</definedName>
    <definedName name="numbers" localSheetId="252">{"";"One";"Two";"Three";"Four";"Five";"Six";"Seven";"Eight";"Nine";"Ten";"Eleven";"Twelve";"Thirteen";"Fourteen";"Fifteen";"Sixteen";"Seventeen";"Eighteen";"Nineteen"}</definedName>
    <definedName name="numbers" localSheetId="273">{"";"One";"Two";"Three";"Four";"Five";"Six";"Seven";"Eight";"Nine";"Ten";"Eleven";"Twelve";"Thirteen";"Fourteen";"Fifteen";"Sixteen";"Seventeen";"Eighteen";"Nineteen"}</definedName>
    <definedName name="numbers" localSheetId="276">{"";"One";"Two";"Three";"Four";"Five";"Six";"Seven";"Eight";"Nine";"Ten";"Eleven";"Twelve";"Thirteen";"Fourteen";"Fifteen";"Sixteen";"Seventeen";"Eighteen";"Nineteen"}</definedName>
    <definedName name="numbers" localSheetId="243">{"";"One";"Two";"Three";"Four";"Five";"Six";"Seven";"Eight";"Nine";"Ten";"Eleven";"Twelve";"Thirteen";"Fourteen";"Fifteen";"Sixteen";"Seventeen";"Eighteen";"Nineteen"}</definedName>
    <definedName name="numbers" localSheetId="223">{"";"One";"Two";"Three";"Four";"Five";"Six";"Seven";"Eight";"Nine";"Ten";"Eleven";"Twelve";"Thirteen";"Fourteen";"Fifteen";"Sixteen";"Seventeen";"Eighteen";"Nineteen"}</definedName>
    <definedName name="numbers" localSheetId="100">{"";"One";"Two";"Three";"Four";"Five";"Six";"Seven";"Eight";"Nine";"Ten";"Eleven";"Twelve";"Thirteen";"Fourteen";"Fifteen";"Sixteen";"Seventeen";"Eighteen";"Nineteen"}</definedName>
    <definedName name="numbers" localSheetId="102">{"";"One";"Two";"Three";"Four";"Five";"Six";"Seven";"Eight";"Nine";"Ten";"Eleven";"Twelve";"Thirteen";"Fourteen";"Fifteen";"Sixteen";"Seventeen";"Eighteen";"Nineteen"}</definedName>
    <definedName name="numbers" localSheetId="275">{"";"One";"Two";"Three";"Four";"Five";"Six";"Seven";"Eight";"Nine";"Ten";"Eleven";"Twelve";"Thirteen";"Fourteen";"Fifteen";"Sixteen";"Seventeen";"Eighteen";"Nineteen"}</definedName>
    <definedName name="numbers" localSheetId="251">{"";"One";"Two";"Three";"Four";"Five";"Six";"Seven";"Eight";"Nine";"Ten";"Eleven";"Twelve";"Thirteen";"Fourteen";"Fifteen";"Sixteen";"Seventeen";"Eighteen";"Nineteen"}</definedName>
    <definedName name="numbers" localSheetId="293">{"";"One";"Two";"Three";"Four";"Five";"Six";"Seven";"Eight";"Nine";"Ten";"Eleven";"Twelve";"Thirteen";"Fourteen";"Fifteen";"Sixteen";"Seventeen";"Eighteen";"Nineteen"}</definedName>
    <definedName name="numbers" localSheetId="208">{"";"One";"Two";"Three";"Four";"Five";"Six";"Seven";"Eight";"Nine";"Ten";"Eleven";"Twelve";"Thirteen";"Fourteen";"Fifteen";"Sixteen";"Seventeen";"Eighteen";"Nineteen"}</definedName>
    <definedName name="numbers" localSheetId="283">{"";"One";"Two";"Three";"Four";"Five";"Six";"Seven";"Eight";"Nine";"Ten";"Eleven";"Twelve";"Thirteen";"Fourteen";"Fifteen";"Sixteen";"Seventeen";"Eighteen";"Nineteen"}</definedName>
    <definedName name="numbers" localSheetId="268">{"";"One";"Two";"Three";"Four";"Five";"Six";"Seven";"Eight";"Nine";"Ten";"Eleven";"Twelve";"Thirteen";"Fourteen";"Fifteen";"Sixteen";"Seventeen";"Eighteen";"Nineteen"}</definedName>
    <definedName name="numbers" localSheetId="206">{"";"One";"Two";"Three";"Four";"Five";"Six";"Seven";"Eight";"Nine";"Ten";"Eleven";"Twelve";"Thirteen";"Fourteen";"Fifteen";"Sixteen";"Seventeen";"Eighteen";"Nineteen"}</definedName>
    <definedName name="numbers" localSheetId="237">{"";"One";"Two";"Three";"Four";"Five";"Six";"Seven";"Eight";"Nine";"Ten";"Eleven";"Twelve";"Thirteen";"Fourteen";"Fifteen";"Sixteen";"Seventeen";"Eighteen";"Nineteen"}</definedName>
    <definedName name="numbers" localSheetId="207">{"";"One";"Two";"Three";"Four";"Five";"Six";"Seven";"Eight";"Nine";"Ten";"Eleven";"Twelve";"Thirteen";"Fourteen";"Fifteen";"Sixteen";"Seventeen";"Eighteen";"Nineteen"}</definedName>
    <definedName name="numbers" localSheetId="211">{"";"One";"Two";"Three";"Four";"Five";"Six";"Seven";"Eight";"Nine";"Ten";"Eleven";"Twelve";"Thirteen";"Fourteen";"Fifteen";"Sixteen";"Seventeen";"Eighteen";"Nineteen"}</definedName>
    <definedName name="numbers" localSheetId="212">{"";"One";"Two";"Three";"Four";"Five";"Six";"Seven";"Eight";"Nine";"Ten";"Eleven";"Twelve";"Thirteen";"Fourteen";"Fifteen";"Sixteen";"Seventeen";"Eighteen";"Nineteen"}</definedName>
    <definedName name="numbers" localSheetId="213">{"";"One";"Two";"Three";"Four";"Five";"Six";"Seven";"Eight";"Nine";"Ten";"Eleven";"Twelve";"Thirteen";"Fourteen";"Fifteen";"Sixteen";"Seventeen";"Eighteen";"Nineteen"}</definedName>
    <definedName name="numbers" localSheetId="214">{"";"One";"Two";"Three";"Four";"Five";"Six";"Seven";"Eight";"Nine";"Ten";"Eleven";"Twelve";"Thirteen";"Fourteen";"Fifteen";"Sixteen";"Seventeen";"Eighteen";"Nineteen"}</definedName>
    <definedName name="numbers" localSheetId="96">{"";"One";"Two";"Three";"Four";"Five";"Six";"Seven";"Eight";"Nine";"Ten";"Eleven";"Twelve";"Thirteen";"Fourteen";"Fifteen";"Sixteen";"Seventeen";"Eighteen";"Nineteen"}</definedName>
    <definedName name="numbers" localSheetId="289">{"";"One";"Two";"Three";"Four";"Five";"Six";"Seven";"Eight";"Nine";"Ten";"Eleven";"Twelve";"Thirteen";"Fourteen";"Fifteen";"Sixteen";"Seventeen";"Eighteen";"Nineteen"}</definedName>
    <definedName name="numbers" localSheetId="220">{"";"One";"Two";"Three";"Four";"Five";"Six";"Seven";"Eight";"Nine";"Ten";"Eleven";"Twelve";"Thirteen";"Fourteen";"Fifteen";"Sixteen";"Seventeen";"Eighteen";"Nineteen"}</definedName>
    <definedName name="numbers" localSheetId="245">{"";"One";"Two";"Three";"Four";"Five";"Six";"Seven";"Eight";"Nine";"Ten";"Eleven";"Twelve";"Thirteen";"Fourteen";"Fifteen";"Sixteen";"Seventeen";"Eighteen";"Nineteen"}</definedName>
    <definedName name="numbers" localSheetId="256">{"";"One";"Two";"Three";"Four";"Five";"Six";"Seven";"Eight";"Nine";"Ten";"Eleven";"Twelve";"Thirteen";"Fourteen";"Fifteen";"Sixteen";"Seventeen";"Eighteen";"Nineteen"}</definedName>
    <definedName name="numbers" localSheetId="267">{"";"One";"Two";"Three";"Four";"Five";"Six";"Seven";"Eight";"Nine";"Ten";"Eleven";"Twelve";"Thirteen";"Fourteen";"Fifteen";"Sixteen";"Seventeen";"Eighteen";"Nineteen"}</definedName>
    <definedName name="numbers" localSheetId="269">{"";"One";"Two";"Three";"Four";"Five";"Six";"Seven";"Eight";"Nine";"Ten";"Eleven";"Twelve";"Thirteen";"Fourteen";"Fifteen";"Sixteen";"Seventeen";"Eighteen";"Nineteen"}</definedName>
    <definedName name="numbers" localSheetId="95">{"";"One";"Two";"Three";"Four";"Five";"Six";"Seven";"Eight";"Nine";"Ten";"Eleven";"Twelve";"Thirteen";"Fourteen";"Fifteen";"Sixteen";"Seventeen";"Eighteen";"Nineteen"}</definedName>
    <definedName name="numbers" localSheetId="101">{"";"One";"Two";"Three";"Four";"Five";"Six";"Seven";"Eight";"Nine";"Ten";"Eleven";"Twelve";"Thirteen";"Fourteen";"Fifteen";"Sixteen";"Seventeen";"Eighteen";"Nineteen"}</definedName>
    <definedName name="numbers" localSheetId="92">{"";"One";"Two";"Three";"Four";"Five";"Six";"Seven";"Eight";"Nine";"Ten";"Eleven";"Twelve";"Thirteen";"Fourteen";"Fifteen";"Sixteen";"Seventeen";"Eighteen";"Nineteen"}</definedName>
    <definedName name="numbers" localSheetId="299">{"";"One";"Two";"Three";"Four";"Five";"Six";"Seven";"Eight";"Nine";"Ten";"Eleven";"Twelve";"Thirteen";"Fourteen";"Fifteen";"Sixteen";"Seventeen";"Eighteen";"Nineteen"}</definedName>
    <definedName name="numbers" localSheetId="257">{"";"One";"Two";"Three";"Four";"Five";"Six";"Seven";"Eight";"Nine";"Ten";"Eleven";"Twelve";"Thirteen";"Fourteen";"Fifteen";"Sixteen";"Seventeen";"Eighteen";"Nineteen"}</definedName>
    <definedName name="numbers" localSheetId="274">{"";"One";"Two";"Three";"Four";"Five";"Six";"Seven";"Eight";"Nine";"Ten";"Eleven";"Twelve";"Thirteen";"Fourteen";"Fifteen";"Sixteen";"Seventeen";"Eighteen";"Nineteen"}</definedName>
    <definedName name="numbers" localSheetId="258">{"";"One";"Two";"Three";"Four";"Five";"Six";"Seven";"Eight";"Nine";"Ten";"Eleven";"Twelve";"Thirteen";"Fourteen";"Fifteen";"Sixteen";"Seventeen";"Eighteen";"Nineteen"}</definedName>
    <definedName name="numbers" localSheetId="209">{"";"One";"Two";"Three";"Four";"Five";"Six";"Seven";"Eight";"Nine";"Ten";"Eleven";"Twelve";"Thirteen";"Fourteen";"Fifteen";"Sixteen";"Seventeen";"Eighteen";"Nineteen"}</definedName>
    <definedName name="numbers" localSheetId="210">{"";"One";"Two";"Three";"Four";"Five";"Six";"Seven";"Eight";"Nine";"Ten";"Eleven";"Twelve";"Thirteen";"Fourteen";"Fifteen";"Sixteen";"Seventeen";"Eighteen";"Nineteen"}</definedName>
    <definedName name="numbers" localSheetId="271">{"";"One";"Two";"Three";"Four";"Five";"Six";"Seven";"Eight";"Nine";"Ten";"Eleven";"Twelve";"Thirteen";"Fourteen";"Fifteen";"Sixteen";"Seventeen";"Eighteen";"Nineteen"}</definedName>
    <definedName name="numbers" localSheetId="99">{"";"One";"Two";"Three";"Four";"Five";"Six";"Seven";"Eight";"Nine";"Ten";"Eleven";"Twelve";"Thirteen";"Fourteen";"Fifteen";"Sixteen";"Seventeen";"Eighteen";"Nineteen"}</definedName>
    <definedName name="numbers" localSheetId="263">{"";"One";"Two";"Three";"Four";"Five";"Six";"Seven";"Eight";"Nine";"Ten";"Eleven";"Twelve";"Thirteen";"Fourteen";"Fifteen";"Sixteen";"Seventeen";"Eighteen";"Nineteen"}</definedName>
    <definedName name="numbers" localSheetId="260">{"";"One";"Two";"Three";"Four";"Five";"Six";"Seven";"Eight";"Nine";"Ten";"Eleven";"Twelve";"Thirteen";"Fourteen";"Fifteen";"Sixteen";"Seventeen";"Eighteen";"Nineteen"}</definedName>
    <definedName name="numbers" localSheetId="98">{"";"One";"Two";"Three";"Four";"Five";"Six";"Seven";"Eight";"Nine";"Ten";"Eleven";"Twelve";"Thirteen";"Fourteen";"Fifteen";"Sixteen";"Seventeen";"Eighteen";"Nineteen"}</definedName>
    <definedName name="numbers" localSheetId="307">{"";"One";"Two";"Three";"Four";"Five";"Six";"Seven";"Eight";"Nine";"Ten";"Eleven";"Twelve";"Thirteen";"Fourteen";"Fifteen";"Sixteen";"Seventeen";"Eighteen";"Nineteen"}</definedName>
    <definedName name="numbers" localSheetId="308">{"";"One";"Two";"Three";"Four";"Five";"Six";"Seven";"Eight";"Nine";"Ten";"Eleven";"Twelve";"Thirteen";"Fourteen";"Fifteen";"Sixteen";"Seventeen";"Eighteen";"Nineteen"}</definedName>
    <definedName name="numbers" localSheetId="582">{"";"One";"Two";"Three";"Four";"Five";"Six";"Seven";"Eight";"Nine";"Ten";"Eleven";"Twelve";"Thirteen";"Fourteen";"Fifteen";"Sixteen";"Seventeen";"Eighteen";"Nineteen"}</definedName>
    <definedName name="numbers" localSheetId="581">{"";"One";"Two";"Three";"Four";"Five";"Six";"Seven";"Eight";"Nine";"Ten";"Eleven";"Twelve";"Thirteen";"Fourteen";"Fifteen";"Sixteen";"Seventeen";"Eighteen";"Nineteen"}</definedName>
    <definedName name="numbers" localSheetId="579">{"";"One";"Two";"Three";"Four";"Five";"Six";"Seven";"Eight";"Nine";"Ten";"Eleven";"Twelve";"Thirteen";"Fourteen";"Fifteen";"Sixteen";"Seventeen";"Eighteen";"Nineteen"}</definedName>
    <definedName name="numbers" localSheetId="584">{"";"One";"Two";"Three";"Four";"Five";"Six";"Seven";"Eight";"Nine";"Ten";"Eleven";"Twelve";"Thirteen";"Fourteen";"Fifteen";"Sixteen";"Seventeen";"Eighteen";"Nineteen"}</definedName>
    <definedName name="numbers" localSheetId="325">{"";"One";"Two";"Three";"Four";"Five";"Six";"Seven";"Eight";"Nine";"Ten";"Eleven";"Twelve";"Thirteen";"Fourteen";"Fifteen";"Sixteen";"Seventeen";"Eighteen";"Nineteen"}</definedName>
    <definedName name="numbers" localSheetId="312">{"";"One";"Two";"Three";"Four";"Five";"Six";"Seven";"Eight";"Nine";"Ten";"Eleven";"Twelve";"Thirteen";"Fourteen";"Fifteen";"Sixteen";"Seventeen";"Eighteen";"Nineteen"}</definedName>
    <definedName name="numbers" localSheetId="469">{"";"One";"Two";"Three";"Four";"Five";"Six";"Seven";"Eight";"Nine";"Ten";"Eleven";"Twelve";"Thirteen";"Fourteen";"Fifteen";"Sixteen";"Seventeen";"Eighteen";"Nineteen"}</definedName>
    <definedName name="numbers" localSheetId="319">{"";"One";"Two";"Three";"Four";"Five";"Six";"Seven";"Eight";"Nine";"Ten";"Eleven";"Twelve";"Thirteen";"Fourteen";"Fifteen";"Sixteen";"Seventeen";"Eighteen";"Nineteen"}</definedName>
    <definedName name="numbers" localSheetId="304">{"";"One";"Two";"Three";"Four";"Five";"Six";"Seven";"Eight";"Nine";"Ten";"Eleven";"Twelve";"Thirteen";"Fourteen";"Fifteen";"Sixteen";"Seventeen";"Eighteen";"Nineteen"}</definedName>
    <definedName name="numbers" localSheetId="333">{"";"One";"Two";"Three";"Four";"Five";"Six";"Seven";"Eight";"Nine";"Ten";"Eleven";"Twelve";"Thirteen";"Fourteen";"Fifteen";"Sixteen";"Seventeen";"Eighteen";"Nineteen"}</definedName>
    <definedName name="numbers" localSheetId="317">{"";"One";"Two";"Three";"Four";"Five";"Six";"Seven";"Eight";"Nine";"Ten";"Eleven";"Twelve";"Thirteen";"Fourteen";"Fifteen";"Sixteen";"Seventeen";"Eighteen";"Nineteen"}</definedName>
    <definedName name="numbers" localSheetId="315">{"";"One";"Two";"Three";"Four";"Five";"Six";"Seven";"Eight";"Nine";"Ten";"Eleven";"Twelve";"Thirteen";"Fourteen";"Fifteen";"Sixteen";"Seventeen";"Eighteen";"Nineteen"}</definedName>
    <definedName name="numbers" localSheetId="303">{"";"One";"Two";"Three";"Four";"Five";"Six";"Seven";"Eight";"Nine";"Ten";"Eleven";"Twelve";"Thirteen";"Fourteen";"Fifteen";"Sixteen";"Seventeen";"Eighteen";"Nineteen"}</definedName>
    <definedName name="numbers" localSheetId="309">{"";"One";"Two";"Three";"Four";"Five";"Six";"Seven";"Eight";"Nine";"Ten";"Eleven";"Twelve";"Thirteen";"Fourteen";"Fifteen";"Sixteen";"Seventeen";"Eighteen";"Nineteen"}</definedName>
    <definedName name="numbers" localSheetId="306">{"";"One";"Two";"Three";"Four";"Five";"Six";"Seven";"Eight";"Nine";"Ten";"Eleven";"Twelve";"Thirteen";"Fourteen";"Fifteen";"Sixteen";"Seventeen";"Eighteen";"Nineteen"}</definedName>
    <definedName name="numbers" localSheetId="328">{"";"One";"Two";"Three";"Four";"Five";"Six";"Seven";"Eight";"Nine";"Ten";"Eleven";"Twelve";"Thirteen";"Fourteen";"Fifteen";"Sixteen";"Seventeen";"Eighteen";"Nineteen"}</definedName>
    <definedName name="numbers" localSheetId="310">{"";"One";"Two";"Three";"Four";"Five";"Six";"Seven";"Eight";"Nine";"Ten";"Eleven";"Twelve";"Thirteen";"Fourteen";"Fifteen";"Sixteen";"Seventeen";"Eighteen";"Nineteen"}</definedName>
    <definedName name="numbers" localSheetId="305">{"";"One";"Two";"Three";"Four";"Five";"Six";"Seven";"Eight";"Nine";"Ten";"Eleven";"Twelve";"Thirteen";"Fourteen";"Fifteen";"Sixteen";"Seventeen";"Eighteen";"Nineteen"}</definedName>
    <definedName name="numbers" localSheetId="313">{"";"One";"Two";"Three";"Four";"Five";"Six";"Seven";"Eight";"Nine";"Ten";"Eleven";"Twelve";"Thirteen";"Fourteen";"Fifteen";"Sixteen";"Seventeen";"Eighteen";"Nineteen"}</definedName>
    <definedName name="numbers" localSheetId="316">{"";"One";"Two";"Three";"Four";"Five";"Six";"Seven";"Eight";"Nine";"Ten";"Eleven";"Twelve";"Thirteen";"Fourteen";"Fifteen";"Sixteen";"Seventeen";"Eighteen";"Nineteen"}</definedName>
    <definedName name="numbers" localSheetId="324">{"";"One";"Two";"Three";"Four";"Five";"Six";"Seven";"Eight";"Nine";"Ten";"Eleven";"Twelve";"Thirteen";"Fourteen";"Fifteen";"Sixteen";"Seventeen";"Eighteen";"Nineteen"}</definedName>
    <definedName name="numbers" localSheetId="314">{"";"One";"Two";"Three";"Four";"Five";"Six";"Seven";"Eight";"Nine";"Ten";"Eleven";"Twelve";"Thirteen";"Fourteen";"Fifteen";"Sixteen";"Seventeen";"Eighteen";"Nineteen"}</definedName>
    <definedName name="numbers" localSheetId="337">{"";"One";"Two";"Three";"Four";"Five";"Six";"Seven";"Eight";"Nine";"Ten";"Eleven";"Twelve";"Thirteen";"Fourteen";"Fifteen";"Sixteen";"Seventeen";"Eighteen";"Nineteen"}</definedName>
    <definedName name="numbers" localSheetId="335">{"";"One";"Two";"Three";"Four";"Five";"Six";"Seven";"Eight";"Nine";"Ten";"Eleven";"Twelve";"Thirteen";"Fourteen";"Fifteen";"Sixteen";"Seventeen";"Eighteen";"Nineteen"}</definedName>
    <definedName name="numbers" localSheetId="83">{"";"One";"Two";"Three";"Four";"Five";"Six";"Seven";"Eight";"Nine";"Ten";"Eleven";"Twelve";"Thirteen";"Fourteen";"Fifteen";"Sixteen";"Seventeen";"Eighteen";"Nineteen"}</definedName>
    <definedName name="numbers" localSheetId="349">{"";"One";"Two";"Three";"Four";"Five";"Six";"Seven";"Eight";"Nine";"Ten";"Eleven";"Twelve";"Thirteen";"Fourteen";"Fifteen";"Sixteen";"Seventeen";"Eighteen";"Nineteen"}</definedName>
    <definedName name="numbers" localSheetId="339">{"";"One";"Two";"Three";"Four";"Five";"Six";"Seven";"Eight";"Nine";"Ten";"Eleven";"Twelve";"Thirteen";"Fourteen";"Fifteen";"Sixteen";"Seventeen";"Eighteen";"Nineteen"}</definedName>
    <definedName name="numbers" localSheetId="69">{"";"One";"Two";"Three";"Four";"Five";"Six";"Seven";"Eight";"Nine";"Ten";"Eleven";"Twelve";"Thirteen";"Fourteen";"Fifteen";"Sixteen";"Seventeen";"Eighteen";"Nineteen"}</definedName>
    <definedName name="numbers" localSheetId="82">{"";"One";"Two";"Three";"Four";"Five";"Six";"Seven";"Eight";"Nine";"Ten";"Eleven";"Twelve";"Thirteen";"Fourteen";"Fifteen";"Sixteen";"Seventeen";"Eighteen";"Nineteen"}</definedName>
    <definedName name="numbers" localSheetId="344">{"";"One";"Two";"Three";"Four";"Five";"Six";"Seven";"Eight";"Nine";"Ten";"Eleven";"Twelve";"Thirteen";"Fourteen";"Fifteen";"Sixteen";"Seventeen";"Eighteen";"Nineteen"}</definedName>
    <definedName name="numbers" localSheetId="87">{"";"One";"Two";"Three";"Four";"Five";"Six";"Seven";"Eight";"Nine";"Ten";"Eleven";"Twelve";"Thirteen";"Fourteen";"Fifteen";"Sixteen";"Seventeen";"Eighteen";"Nineteen"}</definedName>
    <definedName name="numbers" localSheetId="345">{"";"One";"Two";"Three";"Four";"Five";"Six";"Seven";"Eight";"Nine";"Ten";"Eleven";"Twelve";"Thirteen";"Fourteen";"Fifteen";"Sixteen";"Seventeen";"Eighteen";"Nineteen"}</definedName>
    <definedName name="numbers" localSheetId="68">{"";"One";"Two";"Three";"Four";"Five";"Six";"Seven";"Eight";"Nine";"Ten";"Eleven";"Twelve";"Thirteen";"Fourteen";"Fifteen";"Sixteen";"Seventeen";"Eighteen";"Nineteen"}</definedName>
    <definedName name="numbers" localSheetId="341">{"";"One";"Two";"Three";"Four";"Five";"Six";"Seven";"Eight";"Nine";"Ten";"Eleven";"Twelve";"Thirteen";"Fourteen";"Fifteen";"Sixteen";"Seventeen";"Eighteen";"Nineteen"}</definedName>
    <definedName name="numbers" localSheetId="72">{"";"One";"Two";"Three";"Four";"Five";"Six";"Seven";"Eight";"Nine";"Ten";"Eleven";"Twelve";"Thirteen";"Fourteen";"Fifteen";"Sixteen";"Seventeen";"Eighteen";"Nineteen"}</definedName>
    <definedName name="numbers" localSheetId="85">{"";"One";"Two";"Three";"Four";"Five";"Six";"Seven";"Eight";"Nine";"Ten";"Eleven";"Twelve";"Thirteen";"Fourteen";"Fifteen";"Sixteen";"Seventeen";"Eighteen";"Nineteen"}</definedName>
    <definedName name="numbers" localSheetId="71">{"";"One";"Two";"Three";"Four";"Five";"Six";"Seven";"Eight";"Nine";"Ten";"Eleven";"Twelve";"Thirteen";"Fourteen";"Fifteen";"Sixteen";"Seventeen";"Eighteen";"Nineteen"}</definedName>
    <definedName name="numbers" localSheetId="76">{"";"One";"Two";"Three";"Four";"Five";"Six";"Seven";"Eight";"Nine";"Ten";"Eleven";"Twelve";"Thirteen";"Fourteen";"Fifteen";"Sixteen";"Seventeen";"Eighteen";"Nineteen"}</definedName>
    <definedName name="numbers" localSheetId="86">{"";"One";"Two";"Three";"Four";"Five";"Six";"Seven";"Eight";"Nine";"Ten";"Eleven";"Twelve";"Thirteen";"Fourteen";"Fifteen";"Sixteen";"Seventeen";"Eighteen";"Nineteen"}</definedName>
    <definedName name="numbers" localSheetId="88">{"";"One";"Two";"Three";"Four";"Five";"Six";"Seven";"Eight";"Nine";"Ten";"Eleven";"Twelve";"Thirteen";"Fourteen";"Fifteen";"Sixteen";"Seventeen";"Eighteen";"Nineteen"}</definedName>
    <definedName name="numbers" localSheetId="343">{"";"One";"Two";"Three";"Four";"Five";"Six";"Seven";"Eight";"Nine";"Ten";"Eleven";"Twelve";"Thirteen";"Fourteen";"Fifteen";"Sixteen";"Seventeen";"Eighteen";"Nineteen"}</definedName>
    <definedName name="numbers" localSheetId="77">{"";"One";"Two";"Three";"Four";"Five";"Six";"Seven";"Eight";"Nine";"Ten";"Eleven";"Twelve";"Thirteen";"Fourteen";"Fifteen";"Sixteen";"Seventeen";"Eighteen";"Nineteen"}</definedName>
    <definedName name="numbers" localSheetId="84">{"";"One";"Two";"Three";"Four";"Five";"Six";"Seven";"Eight";"Nine";"Ten";"Eleven";"Twelve";"Thirteen";"Fourteen";"Fifteen";"Sixteen";"Seventeen";"Eighteen";"Nineteen"}</definedName>
    <definedName name="numbers" localSheetId="73">{"";"One";"Two";"Three";"Four";"Five";"Six";"Seven";"Eight";"Nine";"Ten";"Eleven";"Twelve";"Thirteen";"Fourteen";"Fifteen";"Sixteen";"Seventeen";"Eighteen";"Nineteen"}</definedName>
    <definedName name="numbers" localSheetId="75">{"";"One";"Two";"Three";"Four";"Five";"Six";"Seven";"Eight";"Nine";"Ten";"Eleven";"Twelve";"Thirteen";"Fourteen";"Fifteen";"Sixteen";"Seventeen";"Eighteen";"Nineteen"}</definedName>
    <definedName name="numbers" localSheetId="80">{"";"One";"Two";"Three";"Four";"Five";"Six";"Seven";"Eight";"Nine";"Ten";"Eleven";"Twelve";"Thirteen";"Fourteen";"Fifteen";"Sixteen";"Seventeen";"Eighteen";"Nineteen"}</definedName>
    <definedName name="numbers" localSheetId="79">{"";"One";"Two";"Three";"Four";"Five";"Six";"Seven";"Eight";"Nine";"Ten";"Eleven";"Twelve";"Thirteen";"Fourteen";"Fifteen";"Sixteen";"Seventeen";"Eighteen";"Nineteen"}</definedName>
    <definedName name="numbers" localSheetId="356">{"";"One";"Two";"Three";"Four";"Five";"Six";"Seven";"Eight";"Nine";"Ten";"Eleven";"Twelve";"Thirteen";"Fourteen";"Fifteen";"Sixteen";"Seventeen";"Eighteen";"Nineteen"}</definedName>
    <definedName name="numbers" localSheetId="74">{"";"One";"Two";"Three";"Four";"Five";"Six";"Seven";"Eight";"Nine";"Ten";"Eleven";"Twelve";"Thirteen";"Fourteen";"Fifteen";"Sixteen";"Seventeen";"Eighteen";"Nineteen"}</definedName>
    <definedName name="numbers" localSheetId="111">{"";"One";"Two";"Three";"Four";"Five";"Six";"Seven";"Eight";"Nine";"Ten";"Eleven";"Twelve";"Thirteen";"Fourteen";"Fifteen";"Sixteen";"Seventeen";"Eighteen";"Nineteen"}</definedName>
    <definedName name="numbers" localSheetId="121">{"";"One";"Two";"Three";"Four";"Five";"Six";"Seven";"Eight";"Nine";"Ten";"Eleven";"Twelve";"Thirteen";"Fourteen";"Fifteen";"Sixteen";"Seventeen";"Eighteen";"Nineteen"}</definedName>
    <definedName name="numbers" localSheetId="106">{"";"One";"Two";"Three";"Four";"Five";"Six";"Seven";"Eight";"Nine";"Ten";"Eleven";"Twelve";"Thirteen";"Fourteen";"Fifteen";"Sixteen";"Seventeen";"Eighteen";"Nineteen"}</definedName>
    <definedName name="numbers" localSheetId="118">{"";"One";"Two";"Three";"Four";"Five";"Six";"Seven";"Eight";"Nine";"Ten";"Eleven";"Twelve";"Thirteen";"Fourteen";"Fifteen";"Sixteen";"Seventeen";"Eighteen";"Nineteen"}</definedName>
    <definedName name="numbers" localSheetId="115">{"";"One";"Two";"Three";"Four";"Five";"Six";"Seven";"Eight";"Nine";"Ten";"Eleven";"Twelve";"Thirteen";"Fourteen";"Fifteen";"Sixteen";"Seventeen";"Eighteen";"Nineteen"}</definedName>
    <definedName name="numbers" localSheetId="690">{"";"One";"Two";"Three";"Four";"Five";"Six";"Seven";"Eight";"Nine";"Ten";"Eleven";"Twelve";"Thirteen";"Fourteen";"Fifteen";"Sixteen";"Seventeen";"Eighteen";"Nineteen"}</definedName>
    <definedName name="numbers" localSheetId="110">{"";"One";"Two";"Three";"Four";"Five";"Six";"Seven";"Eight";"Nine";"Ten";"Eleven";"Twelve";"Thirteen";"Fourteen";"Fifteen";"Sixteen";"Seventeen";"Eighteen";"Nineteen"}</definedName>
    <definedName name="numbers" localSheetId="116">{"";"One";"Two";"Three";"Four";"Five";"Six";"Seven";"Eight";"Nine";"Ten";"Eleven";"Twelve";"Thirteen";"Fourteen";"Fifteen";"Sixteen";"Seventeen";"Eighteen";"Nineteen"}</definedName>
    <definedName name="numbers" localSheetId="117">{"";"One";"Two";"Three";"Four";"Five";"Six";"Seven";"Eight";"Nine";"Ten";"Eleven";"Twelve";"Thirteen";"Fourteen";"Fifteen";"Sixteen";"Seventeen";"Eighteen";"Nineteen"}</definedName>
    <definedName name="numbers" localSheetId="114">{"";"One";"Two";"Three";"Four";"Five";"Six";"Seven";"Eight";"Nine";"Ten";"Eleven";"Twelve";"Thirteen";"Fourteen";"Fifteen";"Sixteen";"Seventeen";"Eighteen";"Nineteen"}</definedName>
    <definedName name="numbers" localSheetId="108">{"";"One";"Two";"Three";"Four";"Five";"Six";"Seven";"Eight";"Nine";"Ten";"Eleven";"Twelve";"Thirteen";"Fourteen";"Fifteen";"Sixteen";"Seventeen";"Eighteen";"Nineteen"}</definedName>
    <definedName name="numbers" localSheetId="375">{"";"One";"Two";"Three";"Four";"Five";"Six";"Seven";"Eight";"Nine";"Ten";"Eleven";"Twelve";"Thirteen";"Fourteen";"Fifteen";"Sixteen";"Seventeen";"Eighteen";"Nineteen"}</definedName>
    <definedName name="numbers" localSheetId="109">{"";"One";"Two";"Three";"Four";"Five";"Six";"Seven";"Eight";"Nine";"Ten";"Eleven";"Twelve";"Thirteen";"Fourteen";"Fifteen";"Sixteen";"Seventeen";"Eighteen";"Nineteen"}</definedName>
    <definedName name="numbers" localSheetId="363">{"";"One";"Two";"Three";"Four";"Five";"Six";"Seven";"Eight";"Nine";"Ten";"Eleven";"Twelve";"Thirteen";"Fourteen";"Fifteen";"Sixteen";"Seventeen";"Eighteen";"Nineteen"}</definedName>
    <definedName name="numbers" localSheetId="112">{"";"One";"Two";"Three";"Four";"Five";"Six";"Seven";"Eight";"Nine";"Ten";"Eleven";"Twelve";"Thirteen";"Fourteen";"Fifteen";"Sixteen";"Seventeen";"Eighteen";"Nineteen"}</definedName>
    <definedName name="numbers" localSheetId="366">{"";"One";"Two";"Three";"Four";"Five";"Six";"Seven";"Eight";"Nine";"Ten";"Eleven";"Twelve";"Thirteen";"Fourteen";"Fifteen";"Sixteen";"Seventeen";"Eighteen";"Nineteen"}</definedName>
    <definedName name="numbers" localSheetId="362">{"";"One";"Two";"Three";"Four";"Five";"Six";"Seven";"Eight";"Nine";"Ten";"Eleven";"Twelve";"Thirteen";"Fourteen";"Fifteen";"Sixteen";"Seventeen";"Eighteen";"Nineteen"}</definedName>
    <definedName name="numbers" localSheetId="361">{"";"One";"Two";"Three";"Four";"Five";"Six";"Seven";"Eight";"Nine";"Ten";"Eleven";"Twelve";"Thirteen";"Fourteen";"Fifteen";"Sixteen";"Seventeen";"Eighteen";"Nineteen"}</definedName>
    <definedName name="numbers" localSheetId="113">{"";"One";"Two";"Three";"Four";"Five";"Six";"Seven";"Eight";"Nine";"Ten";"Eleven";"Twelve";"Thirteen";"Fourteen";"Fifteen";"Sixteen";"Seventeen";"Eighteen";"Nineteen"}</definedName>
    <definedName name="numbers" localSheetId="119">{"";"One";"Two";"Three";"Four";"Five";"Six";"Seven";"Eight";"Nine";"Ten";"Eleven";"Twelve";"Thirteen";"Fourteen";"Fifteen";"Sixteen";"Seventeen";"Eighteen";"Nineteen"}</definedName>
    <definedName name="numbers" localSheetId="107">{"";"One";"Two";"Three";"Four";"Five";"Six";"Seven";"Eight";"Nine";"Ten";"Eleven";"Twelve";"Thirteen";"Fourteen";"Fifteen";"Sixteen";"Seventeen";"Eighteen";"Nineteen"}</definedName>
    <definedName name="numbers" localSheetId="392">{"";"One";"Two";"Three";"Four";"Five";"Six";"Seven";"Eight";"Nine";"Ten";"Eleven";"Twelve";"Thirteen";"Fourteen";"Fifteen";"Sixteen";"Seventeen";"Eighteen";"Nineteen"}</definedName>
    <definedName name="numbers" localSheetId="385">{"";"One";"Two";"Three";"Four";"Five";"Six";"Seven";"Eight";"Nine";"Ten";"Eleven";"Twelve";"Thirteen";"Fourteen";"Fifteen";"Sixteen";"Seventeen";"Eighteen";"Nineteen"}</definedName>
    <definedName name="numbers" localSheetId="410">{"";"One";"Two";"Three";"Four";"Five";"Six";"Seven";"Eight";"Nine";"Ten";"Eleven";"Twelve";"Thirteen";"Fourteen";"Fifteen";"Sixteen";"Seventeen";"Eighteen";"Nineteen"}</definedName>
    <definedName name="numbers" localSheetId="379">{"";"One";"Two";"Three";"Four";"Five";"Six";"Seven";"Eight";"Nine";"Ten";"Eleven";"Twelve";"Thirteen";"Fourteen";"Fifteen";"Sixteen";"Seventeen";"Eighteen";"Nineteen"}</definedName>
    <definedName name="numbers" localSheetId="388">{"";"One";"Two";"Three";"Four";"Five";"Six";"Seven";"Eight";"Nine";"Ten";"Eleven";"Twelve";"Thirteen";"Fourteen";"Fifteen";"Sixteen";"Seventeen";"Eighteen";"Nineteen"}</definedName>
    <definedName name="numbers" localSheetId="394">{"";"One";"Two";"Three";"Four";"Five";"Six";"Seven";"Eight";"Nine";"Ten";"Eleven";"Twelve";"Thirteen";"Fourteen";"Fifteen";"Sixteen";"Seventeen";"Eighteen";"Nineteen"}</definedName>
    <definedName name="numbers" localSheetId="378">{"";"One";"Two";"Three";"Four";"Five";"Six";"Seven";"Eight";"Nine";"Ten";"Eleven";"Twelve";"Thirteen";"Fourteen";"Fifteen";"Sixteen";"Seventeen";"Eighteen";"Nineteen"}</definedName>
    <definedName name="numbers" localSheetId="398">{"";"One";"Two";"Three";"Four";"Five";"Six";"Seven";"Eight";"Nine";"Ten";"Eleven";"Twelve";"Thirteen";"Fourteen";"Fifteen";"Sixteen";"Seventeen";"Eighteen";"Nineteen"}</definedName>
    <definedName name="numbers" localSheetId="386">{"";"One";"Two";"Three";"Four";"Five";"Six";"Seven";"Eight";"Nine";"Ten";"Eleven";"Twelve";"Thirteen";"Fourteen";"Fifteen";"Sixteen";"Seventeen";"Eighteen";"Nineteen"}</definedName>
    <definedName name="numbers" localSheetId="383">{"";"One";"Two";"Three";"Four";"Five";"Six";"Seven";"Eight";"Nine";"Ten";"Eleven";"Twelve";"Thirteen";"Fourteen";"Fifteen";"Sixteen";"Seventeen";"Eighteen";"Nineteen"}</definedName>
    <definedName name="numbers" localSheetId="387">{"";"One";"Two";"Three";"Four";"Five";"Six";"Seven";"Eight";"Nine";"Ten";"Eleven";"Twelve";"Thirteen";"Fourteen";"Fifteen";"Sixteen";"Seventeen";"Eighteen";"Nineteen"}</definedName>
    <definedName name="numbers" localSheetId="382">{"";"One";"Two";"Three";"Four";"Five";"Six";"Seven";"Eight";"Nine";"Ten";"Eleven";"Twelve";"Thirteen";"Fourteen";"Fifteen";"Sixteen";"Seventeen";"Eighteen";"Nineteen"}</definedName>
    <definedName name="numbers" localSheetId="393">{"";"One";"Two";"Three";"Four";"Five";"Six";"Seven";"Eight";"Nine";"Ten";"Eleven";"Twelve";"Thirteen";"Fourteen";"Fifteen";"Sixteen";"Seventeen";"Eighteen";"Nineteen"}</definedName>
    <definedName name="numbers" localSheetId="384">{"";"One";"Two";"Three";"Four";"Five";"Six";"Seven";"Eight";"Nine";"Ten";"Eleven";"Twelve";"Thirteen";"Fourteen";"Fifteen";"Sixteen";"Seventeen";"Eighteen";"Nineteen"}</definedName>
    <definedName name="numbers" localSheetId="597">{"";"One";"Two";"Three";"Four";"Five";"Six";"Seven";"Eight";"Nine";"Ten";"Eleven";"Twelve";"Thirteen";"Fourteen";"Fifteen";"Sixteen";"Seventeen";"Eighteen";"Nineteen"}</definedName>
    <definedName name="numbers" localSheetId="380">{"";"One";"Two";"Three";"Four";"Five";"Six";"Seven";"Eight";"Nine";"Ten";"Eleven";"Twelve";"Thirteen";"Fourteen";"Fifteen";"Sixteen";"Seventeen";"Eighteen";"Nineteen"}</definedName>
    <definedName name="numbers" localSheetId="389">{"";"One";"Two";"Three";"Four";"Five";"Six";"Seven";"Eight";"Nine";"Ten";"Eleven";"Twelve";"Thirteen";"Fourteen";"Fifteen";"Sixteen";"Seventeen";"Eighteen";"Nineteen"}</definedName>
    <definedName name="numbers" localSheetId="396">{"";"One";"Two";"Three";"Four";"Five";"Six";"Seven";"Eight";"Nine";"Ten";"Eleven";"Twelve";"Thirteen";"Fourteen";"Fifteen";"Sixteen";"Seventeen";"Eighteen";"Nineteen"}</definedName>
    <definedName name="numbers" localSheetId="391">{"";"One";"Two";"Three";"Four";"Five";"Six";"Seven";"Eight";"Nine";"Ten";"Eleven";"Twelve";"Thirteen";"Fourteen";"Fifteen";"Sixteen";"Seventeen";"Eighteen";"Nineteen"}</definedName>
    <definedName name="numbers" localSheetId="429">{"";"One";"Two";"Three";"Four";"Five";"Six";"Seven";"Eight";"Nine";"Ten";"Eleven";"Twelve";"Thirteen";"Fourteen";"Fifteen";"Sixteen";"Seventeen";"Eighteen";"Nineteen"}</definedName>
    <definedName name="numbers" localSheetId="428">{"";"One";"Two";"Three";"Four";"Five";"Six";"Seven";"Eight";"Nine";"Ten";"Eleven";"Twelve";"Thirteen";"Fourteen";"Fifteen";"Sixteen";"Seventeen";"Eighteen";"Nineteen"}</definedName>
    <definedName name="numbers" localSheetId="430">{"";"One";"Two";"Three";"Four";"Five";"Six";"Seven";"Eight";"Nine";"Ten";"Eleven";"Twelve";"Thirteen";"Fourteen";"Fifteen";"Sixteen";"Seventeen";"Eighteen";"Nineteen"}</definedName>
    <definedName name="numbers" localSheetId="433">{"";"One";"Two";"Three";"Four";"Five";"Six";"Seven";"Eight";"Nine";"Ten";"Eleven";"Twelve";"Thirteen";"Fourteen";"Fifteen";"Sixteen";"Seventeen";"Eighteen";"Nineteen"}</definedName>
    <definedName name="numbers" localSheetId="442">{"";"One";"Two";"Three";"Four";"Five";"Six";"Seven";"Eight";"Nine";"Ten";"Eleven";"Twelve";"Thirteen";"Fourteen";"Fifteen";"Sixteen";"Seventeen";"Eighteen";"Nineteen"}</definedName>
    <definedName name="numbers" localSheetId="417">{"";"One";"Two";"Three";"Four";"Five";"Six";"Seven";"Eight";"Nine";"Ten";"Eleven";"Twelve";"Thirteen";"Fourteen";"Fifteen";"Sixteen";"Seventeen";"Eighteen";"Nineteen"}</definedName>
    <definedName name="numbers" localSheetId="422">{"";"One";"Two";"Three";"Four";"Five";"Six";"Seven";"Eight";"Nine";"Ten";"Eleven";"Twelve";"Thirteen";"Fourteen";"Fifteen";"Sixteen";"Seventeen";"Eighteen";"Nineteen"}</definedName>
    <definedName name="numbers" localSheetId="424">{"";"One";"Two";"Three";"Four";"Five";"Six";"Seven";"Eight";"Nine";"Ten";"Eleven";"Twelve";"Thirteen";"Fourteen";"Fifteen";"Sixteen";"Seventeen";"Eighteen";"Nineteen"}</definedName>
    <definedName name="numbers" localSheetId="458">{"";"One";"Two";"Three";"Four";"Five";"Six";"Seven";"Eight";"Nine";"Ten";"Eleven";"Twelve";"Thirteen";"Fourteen";"Fifteen";"Sixteen";"Seventeen";"Eighteen";"Nineteen"}</definedName>
    <definedName name="numbers" localSheetId="427">{"";"One";"Two";"Three";"Four";"Five";"Six";"Seven";"Eight";"Nine";"Ten";"Eleven";"Twelve";"Thirteen";"Fourteen";"Fifteen";"Sixteen";"Seventeen";"Eighteen";"Nineteen"}</definedName>
    <definedName name="numbers" localSheetId="426">{"";"One";"Two";"Three";"Four";"Five";"Six";"Seven";"Eight";"Nine";"Ten";"Eleven";"Twelve";"Thirteen";"Fourteen";"Fifteen";"Sixteen";"Seventeen";"Eighteen";"Nineteen"}</definedName>
    <definedName name="numbers" localSheetId="412">{"";"One";"Two";"Three";"Four";"Five";"Six";"Seven";"Eight";"Nine";"Ten";"Eleven";"Twelve";"Thirteen";"Fourteen";"Fifteen";"Sixteen";"Seventeen";"Eighteen";"Nineteen"}</definedName>
    <definedName name="numbers" localSheetId="421">{"";"One";"Two";"Three";"Four";"Five";"Six";"Seven";"Eight";"Nine";"Ten";"Eleven";"Twelve";"Thirteen";"Fourteen";"Fifteen";"Sixteen";"Seventeen";"Eighteen";"Nineteen"}</definedName>
    <definedName name="numbers" localSheetId="434">{"";"One";"Two";"Three";"Four";"Five";"Six";"Seven";"Eight";"Nine";"Ten";"Eleven";"Twelve";"Thirteen";"Fourteen";"Fifteen";"Sixteen";"Seventeen";"Eighteen";"Nineteen"}</definedName>
    <definedName name="numbers" localSheetId="436">{"";"One";"Two";"Three";"Four";"Five";"Six";"Seven";"Eight";"Nine";"Ten";"Eleven";"Twelve";"Thirteen";"Fourteen";"Fifteen";"Sixteen";"Seventeen";"Eighteen";"Nineteen"}</definedName>
    <definedName name="numbers" localSheetId="439">{"";"One";"Two";"Three";"Four";"Five";"Six";"Seven";"Eight";"Nine";"Ten";"Eleven";"Twelve";"Thirteen";"Fourteen";"Fifteen";"Sixteen";"Seventeen";"Eighteen";"Nineteen"}</definedName>
    <definedName name="numbers" localSheetId="537">{"";"One";"Two";"Three";"Four";"Five";"Six";"Seven";"Eight";"Nine";"Ten";"Eleven";"Twelve";"Thirteen";"Fourteen";"Fifteen";"Sixteen";"Seventeen";"Eighteen";"Nineteen"}</definedName>
    <definedName name="numbers" localSheetId="435">{"";"One";"Two";"Three";"Four";"Five";"Six";"Seven";"Eight";"Nine";"Ten";"Eleven";"Twelve";"Thirteen";"Fourteen";"Fifteen";"Sixteen";"Seventeen";"Eighteen";"Nineteen"}</definedName>
    <definedName name="numbers" localSheetId="441">{"";"One";"Two";"Three";"Four";"Five";"Six";"Seven";"Eight";"Nine";"Ten";"Eleven";"Twelve";"Thirteen";"Fourteen";"Fifteen";"Sixteen";"Seventeen";"Eighteen";"Nineteen"}</definedName>
    <definedName name="numbers" localSheetId="536">{"";"One";"Two";"Three";"Four";"Five";"Six";"Seven";"Eight";"Nine";"Ten";"Eleven";"Twelve";"Thirteen";"Fourteen";"Fifteen";"Sixteen";"Seventeen";"Eighteen";"Nineteen"}</definedName>
    <definedName name="numbers" localSheetId="449">{"";"One";"Two";"Three";"Four";"Five";"Six";"Seven";"Eight";"Nine";"Ten";"Eleven";"Twelve";"Thirteen";"Fourteen";"Fifteen";"Sixteen";"Seventeen";"Eighteen";"Nineteen"}</definedName>
    <definedName name="numbers" localSheetId="437">{"";"One";"Two";"Three";"Four";"Five";"Six";"Seven";"Eight";"Nine";"Ten";"Eleven";"Twelve";"Thirteen";"Fourteen";"Fifteen";"Sixteen";"Seventeen";"Eighteen";"Nineteen"}</definedName>
    <definedName name="numbers" localSheetId="154">{"";"One";"Two";"Three";"Four";"Five";"Six";"Seven";"Eight";"Nine";"Ten";"Eleven";"Twelve";"Thirteen";"Fourteen";"Fifteen";"Sixteen";"Seventeen";"Eighteen";"Nineteen"}</definedName>
    <definedName name="numbers" localSheetId="423">{"";"One";"Two";"Three";"Four";"Five";"Six";"Seven";"Eight";"Nine";"Ten";"Eleven";"Twelve";"Thirteen";"Fourteen";"Fifteen";"Sixteen";"Seventeen";"Eighteen";"Nineteen"}</definedName>
    <definedName name="numbers" localSheetId="420">{"";"One";"Two";"Three";"Four";"Five";"Six";"Seven";"Eight";"Nine";"Ten";"Eleven";"Twelve";"Thirteen";"Fourteen";"Fifteen";"Sixteen";"Seventeen";"Eighteen";"Nineteen"}</definedName>
    <definedName name="numbers" localSheetId="418">{"";"One";"Two";"Three";"Four";"Five";"Six";"Seven";"Eight";"Nine";"Ten";"Eleven";"Twelve";"Thirteen";"Fourteen";"Fifteen";"Sixteen";"Seventeen";"Eighteen";"Nineteen"}</definedName>
    <definedName name="numbers" localSheetId="425">{"";"One";"Two";"Three";"Four";"Five";"Six";"Seven";"Eight";"Nine";"Ten";"Eleven";"Twelve";"Thirteen";"Fourteen";"Fifteen";"Sixteen";"Seventeen";"Eighteen";"Nineteen"}</definedName>
    <definedName name="numbers" localSheetId="413">{"";"One";"Two";"Three";"Four";"Five";"Six";"Seven";"Eight";"Nine";"Ten";"Eleven";"Twelve";"Thirteen";"Fourteen";"Fifteen";"Sixteen";"Seventeen";"Eighteen";"Nineteen"}</definedName>
    <definedName name="numbers" localSheetId="432">{"";"One";"Two";"Three";"Four";"Five";"Six";"Seven";"Eight";"Nine";"Ten";"Eleven";"Twelve";"Thirteen";"Fourteen";"Fifteen";"Sixteen";"Seventeen";"Eighteen";"Nineteen"}</definedName>
    <definedName name="numbers" localSheetId="431">{"";"One";"Two";"Three";"Four";"Five";"Six";"Seven";"Eight";"Nine";"Ten";"Eleven";"Twelve";"Thirteen";"Fourteen";"Fifteen";"Sixteen";"Seventeen";"Eighteen";"Nineteen"}</definedName>
    <definedName name="numbers" localSheetId="416">{"";"One";"Two";"Three";"Four";"Five";"Six";"Seven";"Eight";"Nine";"Ten";"Eleven";"Twelve";"Thirteen";"Fourteen";"Fifteen";"Sixteen";"Seventeen";"Eighteen";"Nineteen"}</definedName>
    <definedName name="numbers" localSheetId="472">{"";"One";"Two";"Three";"Four";"Five";"Six";"Seven";"Eight";"Nine";"Ten";"Eleven";"Twelve";"Thirteen";"Fourteen";"Fifteen";"Sixteen";"Seventeen";"Eighteen";"Nineteen"}</definedName>
    <definedName name="numbers" localSheetId="463">{"";"One";"Two";"Three";"Four";"Five";"Six";"Seven";"Eight";"Nine";"Ten";"Eleven";"Twelve";"Thirteen";"Fourteen";"Fifteen";"Sixteen";"Seventeen";"Eighteen";"Nineteen"}</definedName>
    <definedName name="numbers" localSheetId="464">{"";"One";"Two";"Three";"Four";"Five";"Six";"Seven";"Eight";"Nine";"Ten";"Eleven";"Twelve";"Thirteen";"Fourteen";"Fifteen";"Sixteen";"Seventeen";"Eighteen";"Nineteen"}</definedName>
    <definedName name="numbers" localSheetId="488">{"";"One";"Two";"Three";"Four";"Five";"Six";"Seven";"Eight";"Nine";"Ten";"Eleven";"Twelve";"Thirteen";"Fourteen";"Fifteen";"Sixteen";"Seventeen";"Eighteen";"Nineteen"}</definedName>
    <definedName name="numbers" localSheetId="476">{"";"One";"Two";"Three";"Four";"Five";"Six";"Seven";"Eight";"Nine";"Ten";"Eleven";"Twelve";"Thirteen";"Fourteen";"Fifteen";"Sixteen";"Seventeen";"Eighteen";"Nineteen"}</definedName>
    <definedName name="numbers" localSheetId="474">{"";"One";"Two";"Three";"Four";"Five";"Six";"Seven";"Eight";"Nine";"Ten";"Eleven";"Twelve";"Thirteen";"Fourteen";"Fifteen";"Sixteen";"Seventeen";"Eighteen";"Nineteen"}</definedName>
    <definedName name="numbers" localSheetId="466">{"";"One";"Two";"Three";"Four";"Five";"Six";"Seven";"Eight";"Nine";"Ten";"Eleven";"Twelve";"Thirteen";"Fourteen";"Fifteen";"Sixteen";"Seventeen";"Eighteen";"Nineteen"}</definedName>
    <definedName name="numbers" localSheetId="462">{"";"One";"Two";"Three";"Four";"Five";"Six";"Seven";"Eight";"Nine";"Ten";"Eleven";"Twelve";"Thirteen";"Fourteen";"Fifteen";"Sixteen";"Seventeen";"Eighteen";"Nineteen"}</definedName>
    <definedName name="numbers" localSheetId="484">{"";"One";"Two";"Three";"Four";"Five";"Six";"Seven";"Eight";"Nine";"Ten";"Eleven";"Twelve";"Thirteen";"Fourteen";"Fifteen";"Sixteen";"Seventeen";"Eighteen";"Nineteen"}</definedName>
    <definedName name="numbers" localSheetId="485">{"";"One";"Two";"Three";"Four";"Five";"Six";"Seven";"Eight";"Nine";"Ten";"Eleven";"Twelve";"Thirteen";"Fourteen";"Fifteen";"Sixteen";"Seventeen";"Eighteen";"Nineteen"}</definedName>
    <definedName name="numbers" localSheetId="465">{"";"One";"Two";"Three";"Four";"Five";"Six";"Seven";"Eight";"Nine";"Ten";"Eleven";"Twelve";"Thirteen";"Fourteen";"Fifteen";"Sixteen";"Seventeen";"Eighteen";"Nineteen"}</definedName>
    <definedName name="numbers" localSheetId="478">{"";"One";"Two";"Three";"Four";"Five";"Six";"Seven";"Eight";"Nine";"Ten";"Eleven";"Twelve";"Thirteen";"Fourteen";"Fifteen";"Sixteen";"Seventeen";"Eighteen";"Nineteen"}</definedName>
    <definedName name="numbers" localSheetId="479">{"";"One";"Two";"Three";"Four";"Five";"Six";"Seven";"Eight";"Nine";"Ten";"Eleven";"Twelve";"Thirteen";"Fourteen";"Fifteen";"Sixteen";"Seventeen";"Eighteen";"Nineteen"}</definedName>
    <definedName name="numbers" localSheetId="473">{"";"One";"Two";"Three";"Four";"Five";"Six";"Seven";"Eight";"Nine";"Ten";"Eleven";"Twelve";"Thirteen";"Fourteen";"Fifteen";"Sixteen";"Seventeen";"Eighteen";"Nineteen"}</definedName>
    <definedName name="numbers" localSheetId="471">{"";"One";"Two";"Three";"Four";"Five";"Six";"Seven";"Eight";"Nine";"Ten";"Eleven";"Twelve";"Thirteen";"Fourteen";"Fifteen";"Sixteen";"Seventeen";"Eighteen";"Nineteen"}</definedName>
    <definedName name="numbers" localSheetId="467">{"";"One";"Two";"Three";"Four";"Five";"Six";"Seven";"Eight";"Nine";"Ten";"Eleven";"Twelve";"Thirteen";"Fourteen";"Fifteen";"Sixteen";"Seventeen";"Eighteen";"Nineteen"}</definedName>
    <definedName name="numbers" localSheetId="470">{"";"One";"Two";"Three";"Four";"Five";"Six";"Seven";"Eight";"Nine";"Ten";"Eleven";"Twelve";"Thirteen";"Fourteen";"Fifteen";"Sixteen";"Seventeen";"Eighteen";"Nineteen"}</definedName>
    <definedName name="numbers" localSheetId="495">{"";"One";"Two";"Three";"Four";"Five";"Six";"Seven";"Eight";"Nine";"Ten";"Eleven";"Twelve";"Thirteen";"Fourteen";"Fifteen";"Sixteen";"Seventeen";"Eighteen";"Nineteen"}</definedName>
    <definedName name="numbers" localSheetId="496">{"";"One";"Two";"Three";"Four";"Five";"Six";"Seven";"Eight";"Nine";"Ten";"Eleven";"Twelve";"Thirteen";"Fourteen";"Fifteen";"Sixteen";"Seventeen";"Eighteen";"Nineteen"}</definedName>
    <definedName name="numbers" localSheetId="505">{"";"One";"Two";"Three";"Four";"Five";"Six";"Seven";"Eight";"Nine";"Ten";"Eleven";"Twelve";"Thirteen";"Fourteen";"Fifteen";"Sixteen";"Seventeen";"Eighteen";"Nineteen"}</definedName>
    <definedName name="numbers" localSheetId="492">{"";"One";"Two";"Three";"Four";"Five";"Six";"Seven";"Eight";"Nine";"Ten";"Eleven";"Twelve";"Thirteen";"Fourteen";"Fifteen";"Sixteen";"Seventeen";"Eighteen";"Nineteen"}</definedName>
    <definedName name="numbers" localSheetId="490">{"";"One";"Two";"Three";"Four";"Five";"Six";"Seven";"Eight";"Nine";"Ten";"Eleven";"Twelve";"Thirteen";"Fourteen";"Fifteen";"Sixteen";"Seventeen";"Eighteen";"Nineteen"}</definedName>
    <definedName name="numbers" localSheetId="504">{"";"One";"Two";"Three";"Four";"Five";"Six";"Seven";"Eight";"Nine";"Ten";"Eleven";"Twelve";"Thirteen";"Fourteen";"Fifteen";"Sixteen";"Seventeen";"Eighteen";"Nineteen"}</definedName>
    <definedName name="numbers" localSheetId="503">{"";"One";"Two";"Three";"Four";"Five";"Six";"Seven";"Eight";"Nine";"Ten";"Eleven";"Twelve";"Thirteen";"Fourteen";"Fifteen";"Sixteen";"Seventeen";"Eighteen";"Nineteen"}</definedName>
    <definedName name="numbers" localSheetId="500">{"";"One";"Two";"Three";"Four";"Five";"Six";"Seven";"Eight";"Nine";"Ten";"Eleven";"Twelve";"Thirteen";"Fourteen";"Fifteen";"Sixteen";"Seventeen";"Eighteen";"Nineteen"}</definedName>
    <definedName name="numbers" localSheetId="508">{"";"One";"Two";"Three";"Four";"Five";"Six";"Seven";"Eight";"Nine";"Ten";"Eleven";"Twelve";"Thirteen";"Fourteen";"Fifteen";"Sixteen";"Seventeen";"Eighteen";"Nineteen"}</definedName>
    <definedName name="numbers" localSheetId="501">{"";"One";"Two";"Three";"Four";"Five";"Six";"Seven";"Eight";"Nine";"Ten";"Eleven";"Twelve";"Thirteen";"Fourteen";"Fifteen";"Sixteen";"Seventeen";"Eighteen";"Nineteen"}</definedName>
    <definedName name="numbers" localSheetId="491">{"";"One";"Two";"Three";"Four";"Five";"Six";"Seven";"Eight";"Nine";"Ten";"Eleven";"Twelve";"Thirteen";"Fourteen";"Fifteen";"Sixteen";"Seventeen";"Eighteen";"Nineteen"}</definedName>
    <definedName name="numbers" localSheetId="499">{"";"One";"Two";"Three";"Four";"Five";"Six";"Seven";"Eight";"Nine";"Ten";"Eleven";"Twelve";"Thirteen";"Fourteen";"Fifteen";"Sixteen";"Seventeen";"Eighteen";"Nineteen"}</definedName>
    <definedName name="numbers" localSheetId="494">{"";"One";"Two";"Three";"Four";"Five";"Six";"Seven";"Eight";"Nine";"Ten";"Eleven";"Twelve";"Thirteen";"Fourteen";"Fifteen";"Sixteen";"Seventeen";"Eighteen";"Nineteen"}</definedName>
    <definedName name="numbers" localSheetId="97">{"";"One";"Two";"Three";"Four";"Five";"Six";"Seven";"Eight";"Nine";"Ten";"Eleven";"Twelve";"Thirteen";"Fourteen";"Fifteen";"Sixteen";"Seventeen";"Eighteen";"Nineteen"}</definedName>
    <definedName name="numbers" localSheetId="497">{"";"One";"Two";"Three";"Four";"Five";"Six";"Seven";"Eight";"Nine";"Ten";"Eleven";"Twelve";"Thirteen";"Fourteen";"Fifteen";"Sixteen";"Seventeen";"Eighteen";"Nineteen"}</definedName>
    <definedName name="numbers" localSheetId="493">{"";"One";"Two";"Three";"Four";"Five";"Six";"Seven";"Eight";"Nine";"Ten";"Eleven";"Twelve";"Thirteen";"Fourteen";"Fifteen";"Sixteen";"Seventeen";"Eighteen";"Nineteen"}</definedName>
    <definedName name="numbers" localSheetId="498">{"";"One";"Two";"Three";"Four";"Five";"Six";"Seven";"Eight";"Nine";"Ten";"Eleven";"Twelve";"Thirteen";"Fourteen";"Fifteen";"Sixteen";"Seventeen";"Eighteen";"Nineteen"}</definedName>
    <definedName name="numbers" localSheetId="558">{"";"One";"Two";"Three";"Four";"Five";"Six";"Seven";"Eight";"Nine";"Ten";"Eleven";"Twelve";"Thirteen";"Fourteen";"Fifteen";"Sixteen";"Seventeen";"Eighteen";"Nineteen"}</definedName>
    <definedName name="numbers" localSheetId="543">{"";"One";"Two";"Three";"Four";"Five";"Six";"Seven";"Eight";"Nine";"Ten";"Eleven";"Twelve";"Thirteen";"Fourteen";"Fifteen";"Sixteen";"Seventeen";"Eighteen";"Nineteen"}</definedName>
    <definedName name="numbers" localSheetId="663">{"";"One";"Two";"Three";"Four";"Five";"Six";"Seven";"Eight";"Nine";"Ten";"Eleven";"Twelve";"Thirteen";"Fourteen";"Fifteen";"Sixteen";"Seventeen";"Eighteen";"Nineteen"}</definedName>
    <definedName name="numbers" localSheetId="534">{"";"One";"Two";"Three";"Four";"Five";"Six";"Seven";"Eight";"Nine";"Ten";"Eleven";"Twelve";"Thirteen";"Fourteen";"Fifteen";"Sixteen";"Seventeen";"Eighteen";"Nineteen"}</definedName>
    <definedName name="numbers" localSheetId="540">{"";"One";"Two";"Three";"Four";"Five";"Six";"Seven";"Eight";"Nine";"Ten";"Eleven";"Twelve";"Thirteen";"Fourteen";"Fifteen";"Sixteen";"Seventeen";"Eighteen";"Nineteen"}</definedName>
    <definedName name="numbers" localSheetId="658">{"";"One";"Two";"Three";"Four";"Five";"Six";"Seven";"Eight";"Nine";"Ten";"Eleven";"Twelve";"Thirteen";"Fourteen";"Fifteen";"Sixteen";"Seventeen";"Eighteen";"Nineteen"}</definedName>
    <definedName name="numbers" localSheetId="538">{"";"One";"Two";"Three";"Four";"Five";"Six";"Seven";"Eight";"Nine";"Ten";"Eleven";"Twelve";"Thirteen";"Fourteen";"Fifteen";"Sixteen";"Seventeen";"Eighteen";"Nineteen"}</definedName>
    <definedName name="numbers" localSheetId="521">{"";"One";"Two";"Three";"Four";"Five";"Six";"Seven";"Eight";"Nine";"Ten";"Eleven";"Twelve";"Thirteen";"Fourteen";"Fifteen";"Sixteen";"Seventeen";"Eighteen";"Nineteen"}</definedName>
    <definedName name="numbers" localSheetId="542">{"";"One";"Two";"Three";"Four";"Five";"Six";"Seven";"Eight";"Nine";"Ten";"Eleven";"Twelve";"Thirteen";"Fourteen";"Fifteen";"Sixteen";"Seventeen";"Eighteen";"Nineteen"}</definedName>
    <definedName name="numbers" localSheetId="552">{"";"One";"Two";"Three";"Four";"Five";"Six";"Seven";"Eight";"Nine";"Ten";"Eleven";"Twelve";"Thirteen";"Fourteen";"Fifteen";"Sixteen";"Seventeen";"Eighteen";"Nineteen"}</definedName>
    <definedName name="numbers" localSheetId="525">{"";"One";"Two";"Three";"Four";"Five";"Six";"Seven";"Eight";"Nine";"Ten";"Eleven";"Twelve";"Thirteen";"Fourteen";"Fifteen";"Sixteen";"Seventeen";"Eighteen";"Nineteen"}</definedName>
    <definedName name="numbers" localSheetId="523">{"";"One";"Two";"Three";"Four";"Five";"Six";"Seven";"Eight";"Nine";"Ten";"Eleven";"Twelve";"Thirteen";"Fourteen";"Fifteen";"Sixteen";"Seventeen";"Eighteen";"Nineteen"}</definedName>
    <definedName name="numbers" localSheetId="648">{"";"One";"Two";"Three";"Four";"Five";"Six";"Seven";"Eight";"Nine";"Ten";"Eleven";"Twelve";"Thirteen";"Fourteen";"Fifteen";"Sixteen";"Seventeen";"Eighteen";"Nineteen"}</definedName>
    <definedName name="numbers" localSheetId="649">{"";"One";"Two";"Three";"Four";"Five";"Six";"Seven";"Eight";"Nine";"Ten";"Eleven";"Twelve";"Thirteen";"Fourteen";"Fifteen";"Sixteen";"Seventeen";"Eighteen";"Nineteen"}</definedName>
    <definedName name="numbers" localSheetId="585">{"";"One";"Two";"Three";"Four";"Five";"Six";"Seven";"Eight";"Nine";"Ten";"Eleven";"Twelve";"Thirteen";"Fourteen";"Fifteen";"Sixteen";"Seventeen";"Eighteen";"Nineteen"}</definedName>
    <definedName name="numbers" localSheetId="531">{"";"One";"Two";"Three";"Four";"Five";"Six";"Seven";"Eight";"Nine";"Ten";"Eleven";"Twelve";"Thirteen";"Fourteen";"Fifteen";"Sixteen";"Seventeen";"Eighteen";"Nineteen"}</definedName>
    <definedName name="numbers" localSheetId="546">{"";"One";"Two";"Three";"Four";"Five";"Six";"Seven";"Eight";"Nine";"Ten";"Eleven";"Twelve";"Thirteen";"Fourteen";"Fifteen";"Sixteen";"Seventeen";"Eighteen";"Nineteen"}</definedName>
    <definedName name="numbers" localSheetId="639">{"";"One";"Two";"Three";"Four";"Five";"Six";"Seven";"Eight";"Nine";"Ten";"Eleven";"Twelve";"Thirteen";"Fourteen";"Fifteen";"Sixteen";"Seventeen";"Eighteen";"Nineteen"}</definedName>
    <definedName name="numbers" localSheetId="640">{"";"One";"Two";"Three";"Four";"Five";"Six";"Seven";"Eight";"Nine";"Ten";"Eleven";"Twelve";"Thirteen";"Fourteen";"Fifteen";"Sixteen";"Seventeen";"Eighteen";"Nineteen"}</definedName>
    <definedName name="numbers" localSheetId="641">{"";"One";"Two";"Three";"Four";"Five";"Six";"Seven";"Eight";"Nine";"Ten";"Eleven";"Twelve";"Thirteen";"Fourteen";"Fifteen";"Sixteen";"Seventeen";"Eighteen";"Nineteen"}</definedName>
    <definedName name="numbers" localSheetId="642">{"";"One";"Two";"Three";"Four";"Five";"Six";"Seven";"Eight";"Nine";"Ten";"Eleven";"Twelve";"Thirteen";"Fourteen";"Fifteen";"Sixteen";"Seventeen";"Eighteen";"Nineteen"}</definedName>
    <definedName name="numbers" localSheetId="634">{"";"One";"Two";"Three";"Four";"Five";"Six";"Seven";"Eight";"Nine";"Ten";"Eleven";"Twelve";"Thirteen";"Fourteen";"Fifteen";"Sixteen";"Seventeen";"Eighteen";"Nineteen"}</definedName>
    <definedName name="numbers" localSheetId="545">{"";"One";"Two";"Three";"Four";"Five";"Six";"Seven";"Eight";"Nine";"Ten";"Eleven";"Twelve";"Thirteen";"Fourteen";"Fifteen";"Sixteen";"Seventeen";"Eighteen";"Nineteen"}</definedName>
    <definedName name="numbers" localSheetId="596">{"";"One";"Two";"Three";"Four";"Five";"Six";"Seven";"Eight";"Nine";"Ten";"Eleven";"Twelve";"Thirteen";"Fourteen";"Fifteen";"Sixteen";"Seventeen";"Eighteen";"Nineteen"}</definedName>
    <definedName name="numbers" localSheetId="528">{"";"One";"Two";"Three";"Four";"Five";"Six";"Seven";"Eight";"Nine";"Ten";"Eleven";"Twelve";"Thirteen";"Fourteen";"Fifteen";"Sixteen";"Seventeen";"Eighteen";"Nineteen"}</definedName>
    <definedName name="numbers" localSheetId="539">{"";"One";"Two";"Three";"Four";"Five";"Six";"Seven";"Eight";"Nine";"Ten";"Eleven";"Twelve";"Thirteen";"Fourteen";"Fifteen";"Sixteen";"Seventeen";"Eighteen";"Nineteen"}</definedName>
    <definedName name="numbers" localSheetId="547">{"";"One";"Two";"Three";"Four";"Five";"Six";"Seven";"Eight";"Nine";"Ten";"Eleven";"Twelve";"Thirteen";"Fourteen";"Fifteen";"Sixteen";"Seventeen";"Eighteen";"Nineteen"}</definedName>
    <definedName name="numbers" localSheetId="530">{"";"One";"Two";"Three";"Four";"Five";"Six";"Seven";"Eight";"Nine";"Ten";"Eleven";"Twelve";"Thirteen";"Fourteen";"Fifteen";"Sixteen";"Seventeen";"Eighteen";"Nineteen"}</definedName>
    <definedName name="numbers" localSheetId="520">{"";"One";"Two";"Three";"Four";"Five";"Six";"Seven";"Eight";"Nine";"Ten";"Eleven";"Twelve";"Thirteen";"Fourteen";"Fifteen";"Sixteen";"Seventeen";"Eighteen";"Nineteen"}</definedName>
    <definedName name="numbers" localSheetId="532">{"";"One";"Two";"Three";"Four";"Five";"Six";"Seven";"Eight";"Nine";"Ten";"Eleven";"Twelve";"Thirteen";"Fourteen";"Fifteen";"Sixteen";"Seventeen";"Eighteen";"Nineteen"}</definedName>
    <definedName name="numbers" localSheetId="522">{"";"One";"Two";"Three";"Four";"Five";"Six";"Seven";"Eight";"Nine";"Ten";"Eleven";"Twelve";"Thirteen";"Fourteen";"Fifteen";"Sixteen";"Seventeen";"Eighteen";"Nineteen"}</definedName>
    <definedName name="numbers" localSheetId="544">{"";"One";"Two";"Three";"Four";"Five";"Six";"Seven";"Eight";"Nine";"Ten";"Eleven";"Twelve";"Thirteen";"Fourteen";"Fifteen";"Sixteen";"Seventeen";"Eighteen";"Nineteen"}</definedName>
    <definedName name="numbers" localSheetId="541">{"";"One";"Two";"Three";"Four";"Five";"Six";"Seven";"Eight";"Nine";"Ten";"Eleven";"Twelve";"Thirteen";"Fourteen";"Fifteen";"Sixteen";"Seventeen";"Eighteen";"Nineteen"}</definedName>
    <definedName name="numbers" localSheetId="553">{"";"One";"Two";"Three";"Four";"Five";"Six";"Seven";"Eight";"Nine";"Ten";"Eleven";"Twelve";"Thirteen";"Fourteen";"Fifteen";"Sixteen";"Seventeen";"Eighteen";"Nineteen"}</definedName>
    <definedName name="numbers" localSheetId="527">{"";"One";"Two";"Three";"Four";"Five";"Six";"Seven";"Eight";"Nine";"Ten";"Eleven";"Twelve";"Thirteen";"Fourteen";"Fifteen";"Sixteen";"Seventeen";"Eighteen";"Nineteen"}</definedName>
    <definedName name="numbers" localSheetId="549">{"";"One";"Two";"Three";"Four";"Five";"Six";"Seven";"Eight";"Nine";"Ten";"Eleven";"Twelve";"Thirteen";"Fourteen";"Fifteen";"Sixteen";"Seventeen";"Eighteen";"Nineteen"}</definedName>
    <definedName name="numbers" localSheetId="519">{"";"One";"Two";"Three";"Four";"Five";"Six";"Seven";"Eight";"Nine";"Ten";"Eleven";"Twelve";"Thirteen";"Fourteen";"Fifteen";"Sixteen";"Seventeen";"Eighteen";"Nineteen"}</definedName>
    <definedName name="numbers" localSheetId="535">{"";"One";"Two";"Three";"Four";"Five";"Six";"Seven";"Eight";"Nine";"Ten";"Eleven";"Twelve";"Thirteen";"Fourteen";"Fifteen";"Sixteen";"Seventeen";"Eighteen";"Nineteen"}</definedName>
    <definedName name="numbers" localSheetId="533">{"";"One";"Two";"Three";"Four";"Five";"Six";"Seven";"Eight";"Nine";"Ten";"Eleven";"Twelve";"Thirteen";"Fourteen";"Fifteen";"Sixteen";"Seventeen";"Eighteen";"Nineteen"}</definedName>
    <definedName name="numbers" localSheetId="548">{"";"One";"Two";"Three";"Four";"Five";"Six";"Seven";"Eight";"Nine";"Ten";"Eleven";"Twelve";"Thirteen";"Fourteen";"Fifteen";"Sixteen";"Seventeen";"Eighteen";"Nineteen"}</definedName>
    <definedName name="numbers" localSheetId="554">{"";"One";"Two";"Three";"Four";"Five";"Six";"Seven";"Eight";"Nine";"Ten";"Eleven";"Twelve";"Thirteen";"Fourteen";"Fifteen";"Sixteen";"Seventeen";"Eighteen";"Nineteen"}</definedName>
    <definedName name="numbers" localSheetId="550">{"";"One";"Two";"Three";"Four";"Five";"Six";"Seven";"Eight";"Nine";"Ten";"Eleven";"Twelve";"Thirteen";"Fourteen";"Fifteen";"Sixteen";"Seventeen";"Eighteen";"Nineteen"}</definedName>
    <definedName name="numbers" localSheetId="635">{"";"One";"Two";"Three";"Four";"Five";"Six";"Seven";"Eight";"Nine";"Ten";"Eleven";"Twelve";"Thirteen";"Fourteen";"Fifteen";"Sixteen";"Seventeen";"Eighteen";"Nineteen"}</definedName>
    <definedName name="numbers" localSheetId="526">{"";"One";"Two";"Three";"Four";"Five";"Six";"Seven";"Eight";"Nine";"Ten";"Eleven";"Twelve";"Thirteen";"Fourteen";"Fifteen";"Sixteen";"Seventeen";"Eighteen";"Nineteen"}</definedName>
    <definedName name="numbers" localSheetId="603">{"";"One";"Two";"Three";"Four";"Five";"Six";"Seven";"Eight";"Nine";"Ten";"Eleven";"Twelve";"Thirteen";"Fourteen";"Fifteen";"Sixteen";"Seventeen";"Eighteen";"Nineteen"}</definedName>
    <definedName name="numbers" localSheetId="566">{"";"One";"Two";"Three";"Four";"Five";"Six";"Seven";"Eight";"Nine";"Ten";"Eleven";"Twelve";"Thirteen";"Fourteen";"Fifteen";"Sixteen";"Seventeen";"Eighteen";"Nineteen"}</definedName>
    <definedName name="numbers" localSheetId="614">{"";"One";"Two";"Three";"Four";"Five";"Six";"Seven";"Eight";"Nine";"Ten";"Eleven";"Twelve";"Thirteen";"Fourteen";"Fifteen";"Sixteen";"Seventeen";"Eighteen";"Nineteen"}</definedName>
    <definedName name="numbers" localSheetId="572">{"";"One";"Two";"Three";"Four";"Five";"Six";"Seven";"Eight";"Nine";"Ten";"Eleven";"Twelve";"Thirteen";"Fourteen";"Fifteen";"Sixteen";"Seventeen";"Eighteen";"Nineteen"}</definedName>
    <definedName name="numbers" localSheetId="569">{"";"One";"Two";"Three";"Four";"Five";"Six";"Seven";"Eight";"Nine";"Ten";"Eleven";"Twelve";"Thirteen";"Fourteen";"Fifteen";"Sixteen";"Seventeen";"Eighteen";"Nineteen"}</definedName>
    <definedName name="numbers" localSheetId="609">{"";"One";"Two";"Three";"Four";"Five";"Six";"Seven";"Eight";"Nine";"Ten";"Eleven";"Twelve";"Thirteen";"Fourteen";"Fifteen";"Sixteen";"Seventeen";"Eighteen";"Nineteen"}</definedName>
    <definedName name="numbers" localSheetId="605">{"";"One";"Two";"Three";"Four";"Five";"Six";"Seven";"Eight";"Nine";"Ten";"Eleven";"Twelve";"Thirteen";"Fourteen";"Fifteen";"Sixteen";"Seventeen";"Eighteen";"Nineteen"}</definedName>
    <definedName name="numbers" localSheetId="577">{"";"One";"Two";"Three";"Four";"Five";"Six";"Seven";"Eight";"Nine";"Ten";"Eleven";"Twelve";"Thirteen";"Fourteen";"Fifteen";"Sixteen";"Seventeen";"Eighteen";"Nineteen"}</definedName>
    <definedName name="numbers" localSheetId="604">{"";"One";"Two";"Three";"Four";"Five";"Six";"Seven";"Eight";"Nine";"Ten";"Eleven";"Twelve";"Thirteen";"Fourteen";"Fifteen";"Sixteen";"Seventeen";"Eighteen";"Nineteen"}</definedName>
    <definedName name="numbers" localSheetId="575">{"";"One";"Two";"Three";"Four";"Five";"Six";"Seven";"Eight";"Nine";"Ten";"Eleven";"Twelve";"Thirteen";"Fourteen";"Fifteen";"Sixteen";"Seventeen";"Eighteen";"Nineteen"}</definedName>
    <definedName name="numbers" localSheetId="618">{"";"One";"Two";"Three";"Four";"Five";"Six";"Seven";"Eight";"Nine";"Ten";"Eleven";"Twelve";"Thirteen";"Fourteen";"Fifteen";"Sixteen";"Seventeen";"Eighteen";"Nineteen"}</definedName>
    <definedName name="numbers" localSheetId="673">{"";"One";"Two";"Three";"Four";"Five";"Six";"Seven";"Eight";"Nine";"Ten";"Eleven";"Twelve";"Thirteen";"Fourteen";"Fifteen";"Sixteen";"Seventeen";"Eighteen";"Nineteen"}</definedName>
    <definedName name="numbers" localSheetId="629">{"";"One";"Two";"Three";"Four";"Five";"Six";"Seven";"Eight";"Nine";"Ten";"Eleven";"Twelve";"Thirteen";"Fourteen";"Fifteen";"Sixteen";"Seventeen";"Eighteen";"Nineteen"}</definedName>
    <definedName name="numbers" localSheetId="567">{"";"One";"Two";"Three";"Four";"Five";"Six";"Seven";"Eight";"Nine";"Ten";"Eleven";"Twelve";"Thirteen";"Fourteen";"Fifteen";"Sixteen";"Seventeen";"Eighteen";"Nineteen"}</definedName>
    <definedName name="numbers" localSheetId="624">{"";"One";"Two";"Three";"Four";"Five";"Six";"Seven";"Eight";"Nine";"Ten";"Eleven";"Twelve";"Thirteen";"Fourteen";"Fifteen";"Sixteen";"Seventeen";"Eighteen";"Nineteen"}</definedName>
    <definedName name="numbers" localSheetId="607">{"";"One";"Two";"Three";"Four";"Five";"Six";"Seven";"Eight";"Nine";"Ten";"Eleven";"Twelve";"Thirteen";"Fourteen";"Fifteen";"Sixteen";"Seventeen";"Eighteen";"Nineteen"}</definedName>
    <definedName name="numbers" localSheetId="621">{"";"One";"Two";"Three";"Four";"Five";"Six";"Seven";"Eight";"Nine";"Ten";"Eleven";"Twelve";"Thirteen";"Fourteen";"Fifteen";"Sixteen";"Seventeen";"Eighteen";"Nineteen"}</definedName>
    <definedName name="numbers" localSheetId="616">{"";"One";"Two";"Three";"Four";"Five";"Six";"Seven";"Eight";"Nine";"Ten";"Eleven";"Twelve";"Thirteen";"Fourteen";"Fifteen";"Sixteen";"Seventeen";"Eighteen";"Nineteen"}</definedName>
    <definedName name="numbers" localSheetId="611">{"";"One";"Two";"Three";"Four";"Five";"Six";"Seven";"Eight";"Nine";"Ten";"Eleven";"Twelve";"Thirteen";"Fourteen";"Fifteen";"Sixteen";"Seventeen";"Eighteen";"Nineteen"}</definedName>
    <definedName name="numbers" localSheetId="619">{"";"One";"Two";"Three";"Four";"Five";"Six";"Seven";"Eight";"Nine";"Ten";"Eleven";"Twelve";"Thirteen";"Fourteen";"Fifteen";"Sixteen";"Seventeen";"Eighteen";"Nineteen"}</definedName>
    <definedName name="numbers" localSheetId="608">{"";"One";"Two";"Three";"Four";"Five";"Six";"Seven";"Eight";"Nine";"Ten";"Eleven";"Twelve";"Thirteen";"Fourteen";"Fifteen";"Sixteen";"Seventeen";"Eighteen";"Nineteen"}</definedName>
    <definedName name="numbers" localSheetId="643">{"";"One";"Two";"Three";"Four";"Five";"Six";"Seven";"Eight";"Nine";"Ten";"Eleven";"Twelve";"Thirteen";"Fourteen";"Fifteen";"Sixteen";"Seventeen";"Eighteen";"Nineteen"}</definedName>
    <definedName name="numbers" localSheetId="644">{"";"One";"Two";"Three";"Four";"Five";"Six";"Seven";"Eight";"Nine";"Ten";"Eleven";"Twelve";"Thirteen";"Fourteen";"Fifteen";"Sixteen";"Seventeen";"Eighteen";"Nineteen"}</definedName>
    <definedName name="numbers" localSheetId="645">{"";"One";"Two";"Three";"Four";"Five";"Six";"Seven";"Eight";"Nine";"Ten";"Eleven";"Twelve";"Thirteen";"Fourteen";"Fifteen";"Sixteen";"Seventeen";"Eighteen";"Nineteen"}</definedName>
    <definedName name="numbers" localSheetId="630">{"";"One";"Two";"Three";"Four";"Five";"Six";"Seven";"Eight";"Nine";"Ten";"Eleven";"Twelve";"Thirteen";"Fourteen";"Fifteen";"Sixteen";"Seventeen";"Eighteen";"Nineteen"}</definedName>
    <definedName name="numbers" localSheetId="628">{"";"One";"Two";"Three";"Four";"Five";"Six";"Seven";"Eight";"Nine";"Ten";"Eleven";"Twelve";"Thirteen";"Fourteen";"Fifteen";"Sixteen";"Seventeen";"Eighteen";"Nineteen"}</definedName>
    <definedName name="numbers" localSheetId="574">{"";"One";"Two";"Three";"Four";"Five";"Six";"Seven";"Eight";"Nine";"Ten";"Eleven";"Twelve";"Thirteen";"Fourteen";"Fifteen";"Sixteen";"Seventeen";"Eighteen";"Nineteen"}</definedName>
    <definedName name="numbers" localSheetId="669">{"";"One";"Two";"Three";"Four";"Five";"Six";"Seven";"Eight";"Nine";"Ten";"Eleven";"Twelve";"Thirteen";"Fourteen";"Fifteen";"Sixteen";"Seventeen";"Eighteen";"Nineteen"}</definedName>
    <definedName name="numbers" localSheetId="718">{"";"One";"Two";"Three";"Four";"Five";"Six";"Seven";"Eight";"Nine";"Ten";"Eleven";"Twelve";"Thirteen";"Fourteen";"Fifteen";"Sixteen";"Seventeen";"Eighteen";"Nineteen"}</definedName>
    <definedName name="numbers" localSheetId="615">{"";"One";"Two";"Three";"Four";"Five";"Six";"Seven";"Eight";"Nine";"Ten";"Eleven";"Twelve";"Thirteen";"Fourteen";"Fifteen";"Sixteen";"Seventeen";"Eighteen";"Nineteen"}</definedName>
    <definedName name="numbers" localSheetId="602">{"";"One";"Two";"Three";"Four";"Five";"Six";"Seven";"Eight";"Nine";"Ten";"Eleven";"Twelve";"Thirteen";"Fourteen";"Fifteen";"Sixteen";"Seventeen";"Eighteen";"Nineteen"}</definedName>
    <definedName name="numbers" localSheetId="576">{"";"One";"Two";"Three";"Four";"Five";"Six";"Seven";"Eight";"Nine";"Ten";"Eleven";"Twelve";"Thirteen";"Fourteen";"Fifteen";"Sixteen";"Seventeen";"Eighteen";"Nineteen"}</definedName>
    <definedName name="numbers" localSheetId="601">{"";"One";"Two";"Three";"Four";"Five";"Six";"Seven";"Eight";"Nine";"Ten";"Eleven";"Twelve";"Thirteen";"Fourteen";"Fifteen";"Sixteen";"Seventeen";"Eighteen";"Nineteen"}</definedName>
    <definedName name="numbers" localSheetId="568">{"";"One";"Two";"Three";"Four";"Five";"Six";"Seven";"Eight";"Nine";"Ten";"Eleven";"Twelve";"Thirteen";"Fourteen";"Fifteen";"Sixteen";"Seventeen";"Eighteen";"Nineteen"}</definedName>
    <definedName name="numbers" localSheetId="565">{"";"One";"Two";"Three";"Four";"Five";"Six";"Seven";"Eight";"Nine";"Ten";"Eleven";"Twelve";"Thirteen";"Fourteen";"Fifteen";"Sixteen";"Seventeen";"Eighteen";"Nineteen"}</definedName>
    <definedName name="numbers" localSheetId="613">{"";"One";"Two";"Three";"Four";"Five";"Six";"Seven";"Eight";"Nine";"Ten";"Eleven";"Twelve";"Thirteen";"Fourteen";"Fifteen";"Sixteen";"Seventeen";"Eighteen";"Nineteen"}</definedName>
    <definedName name="numbers" localSheetId="573">{"";"One";"Two";"Three";"Four";"Five";"Six";"Seven";"Eight";"Nine";"Ten";"Eleven";"Twelve";"Thirteen";"Fourteen";"Fifteen";"Sixteen";"Seventeen";"Eighteen";"Nineteen"}</definedName>
    <definedName name="numbers" localSheetId="713">{"";"One";"Two";"Three";"Four";"Five";"Six";"Seven";"Eight";"Nine";"Ten";"Eleven";"Twelve";"Thirteen";"Fourteen";"Fifteen";"Sixteen";"Seventeen";"Eighteen";"Nineteen"}</definedName>
    <definedName name="numbers" localSheetId="626">{"";"One";"Two";"Three";"Four";"Five";"Six";"Seven";"Eight";"Nine";"Ten";"Eleven";"Twelve";"Thirteen";"Fourteen";"Fifteen";"Sixteen";"Seventeen";"Eighteen";"Nineteen"}</definedName>
    <definedName name="numbers" localSheetId="606">{"";"One";"Two";"Three";"Four";"Five";"Six";"Seven";"Eight";"Nine";"Ten";"Eleven";"Twelve";"Thirteen";"Fourteen";"Fifteen";"Sixteen";"Seventeen";"Eighteen";"Nineteen"}</definedName>
    <definedName name="numbers" localSheetId="600">{"";"One";"Two";"Three";"Four";"Five";"Six";"Seven";"Eight";"Nine";"Ten";"Eleven";"Twelve";"Thirteen";"Fourteen";"Fifteen";"Sixteen";"Seventeen";"Eighteen";"Nineteen"}</definedName>
    <definedName name="numbers" localSheetId="571">{"";"One";"Two";"Three";"Four";"Five";"Six";"Seven";"Eight";"Nine";"Ten";"Eleven";"Twelve";"Thirteen";"Fourteen";"Fifteen";"Sixteen";"Seventeen";"Eighteen";"Nineteen"}</definedName>
    <definedName name="numbers" localSheetId="562">{"";"One";"Two";"Three";"Four";"Five";"Six";"Seven";"Eight";"Nine";"Ten";"Eleven";"Twelve";"Thirteen";"Fourteen";"Fifteen";"Sixteen";"Seventeen";"Eighteen";"Nineteen"}</definedName>
    <definedName name="numbers" localSheetId="599">{"";"One";"Two";"Three";"Four";"Five";"Six";"Seven";"Eight";"Nine";"Ten";"Eleven";"Twelve";"Thirteen";"Fourteen";"Fifteen";"Sixteen";"Seventeen";"Eighteen";"Nineteen"}</definedName>
    <definedName name="numbers" localSheetId="612">{"";"One";"Two";"Three";"Four";"Five";"Six";"Seven";"Eight";"Nine";"Ten";"Eleven";"Twelve";"Thirteen";"Fourteen";"Fifteen";"Sixteen";"Seventeen";"Eighteen";"Nineteen"}</definedName>
    <definedName name="numbers" localSheetId="610">{"";"One";"Two";"Three";"Four";"Five";"Six";"Seven";"Eight";"Nine";"Ten";"Eleven";"Twelve";"Thirteen";"Fourteen";"Fifteen";"Sixteen";"Seventeen";"Eighteen";"Nineteen"}</definedName>
    <definedName name="numbers" localSheetId="570">{"";"One";"Two";"Three";"Four";"Five";"Six";"Seven";"Eight";"Nine";"Ten";"Eleven";"Twelve";"Thirteen";"Fourteen";"Fifteen";"Sixteen";"Seventeen";"Eighteen";"Nineteen"}</definedName>
    <definedName name="numbers" localSheetId="563">{"";"One";"Two";"Three";"Four";"Five";"Six";"Seven";"Eight";"Nine";"Ten";"Eleven";"Twelve";"Thirteen";"Fourteen";"Fifteen";"Sixteen";"Seventeen";"Eighteen";"Nineteen"}</definedName>
    <definedName name="numbers" localSheetId="564">{"";"One";"Two";"Three";"Four";"Five";"Six";"Seven";"Eight";"Nine";"Ten";"Eleven";"Twelve";"Thirteen";"Fourteen";"Fifteen";"Sixteen";"Seventeen";"Eighteen";"Nineteen"}</definedName>
    <definedName name="numbers" localSheetId="696">{"";"One";"Two";"Three";"Four";"Five";"Six";"Seven";"Eight";"Nine";"Ten";"Eleven";"Twelve";"Thirteen";"Fourteen";"Fifteen";"Sixteen";"Seventeen";"Eighteen";"Nineteen"}</definedName>
    <definedName name="numbers" localSheetId="697">{"";"One";"Two";"Three";"Four";"Five";"Six";"Seven";"Eight";"Nine";"Ten";"Eleven";"Twelve";"Thirteen";"Fourteen";"Fifteen";"Sixteen";"Seventeen";"Eighteen";"Nineteen"}</definedName>
    <definedName name="numbers" localSheetId="767">{"";"One";"Two";"Three";"Four";"Five";"Six";"Seven";"Eight";"Nine";"Ten";"Eleven";"Twelve";"Thirteen";"Fourteen";"Fifteen";"Sixteen";"Seventeen";"Eighteen";"Nineteen"}</definedName>
    <definedName name="numbers" localSheetId="714">{"";"One";"Two";"Three";"Four";"Five";"Six";"Seven";"Eight";"Nine";"Ten";"Eleven";"Twelve";"Thirteen";"Fourteen";"Fifteen";"Sixteen";"Seventeen";"Eighteen";"Nineteen"}</definedName>
    <definedName name="numbers" localSheetId="724">{"";"One";"Two";"Three";"Four";"Five";"Six";"Seven";"Eight";"Nine";"Ten";"Eleven";"Twelve";"Thirteen";"Fourteen";"Fifteen";"Sixteen";"Seventeen";"Eighteen";"Nineteen"}</definedName>
    <definedName name="numbers" localSheetId="770">{"";"One";"Two";"Three";"Four";"Five";"Six";"Seven";"Eight";"Nine";"Ten";"Eleven";"Twelve";"Thirteen";"Fourteen";"Fifteen";"Sixteen";"Seventeen";"Eighteen";"Nineteen"}</definedName>
    <definedName name="numbers" localSheetId="712">{"";"One";"Two";"Three";"Four";"Five";"Six";"Seven";"Eight";"Nine";"Ten";"Eleven";"Twelve";"Thirteen";"Fourteen";"Fifteen";"Sixteen";"Seventeen";"Eighteen";"Nineteen"}</definedName>
    <definedName name="numbers" localSheetId="589">{"";"One";"Two";"Three";"Four";"Five";"Six";"Seven";"Eight";"Nine";"Ten";"Eleven";"Twelve";"Thirteen";"Fourteen";"Fifteen";"Sixteen";"Seventeen";"Eighteen";"Nineteen"}</definedName>
    <definedName name="numbers" localSheetId="737">{"";"One";"Two";"Three";"Four";"Five";"Six";"Seven";"Eight";"Nine";"Ten";"Eleven";"Twelve";"Thirteen";"Fourteen";"Fifteen";"Sixteen";"Seventeen";"Eighteen";"Nineteen"}</definedName>
    <definedName name="numbers" localSheetId="70">{"";"One";"Two";"Three";"Four";"Five";"Six";"Seven";"Eight";"Nine";"Ten";"Eleven";"Twelve";"Thirteen";"Fourteen";"Fifteen";"Sixteen";"Seventeen";"Eighteen";"Nineteen"}</definedName>
    <definedName name="numbers" localSheetId="723">{"";"One";"Two";"Three";"Four";"Five";"Six";"Seven";"Eight";"Nine";"Ten";"Eleven";"Twelve";"Thirteen";"Fourteen";"Fifteen";"Sixteen";"Seventeen";"Eighteen";"Nineteen"}</definedName>
    <definedName name="numbers" localSheetId="699">{"";"One";"Two";"Three";"Four";"Five";"Six";"Seven";"Eight";"Nine";"Ten";"Eleven";"Twelve";"Thirteen";"Fourteen";"Fifteen";"Sixteen";"Seventeen";"Eighteen";"Nineteen"}</definedName>
    <definedName name="numbers" localSheetId="735">{"";"One";"Two";"Three";"Four";"Five";"Six";"Seven";"Eight";"Nine";"Ten";"Eleven";"Twelve";"Thirteen";"Fourteen";"Fifteen";"Sixteen";"Seventeen";"Eighteen";"Nineteen"}</definedName>
    <definedName name="numbers" localSheetId="740">{"";"One";"Two";"Three";"Four";"Five";"Six";"Seven";"Eight";"Nine";"Ten";"Eleven";"Twelve";"Thirteen";"Fourteen";"Fifteen";"Sixteen";"Seventeen";"Eighteen";"Nineteen"}</definedName>
    <definedName name="numbers" localSheetId="763">{"";"One";"Two";"Three";"Four";"Five";"Six";"Seven";"Eight";"Nine";"Ten";"Eleven";"Twelve";"Thirteen";"Fourteen";"Fifteen";"Sixteen";"Seventeen";"Eighteen";"Nineteen"}</definedName>
    <definedName name="numbers" localSheetId="727">{"";"One";"Two";"Three";"Four";"Five";"Six";"Seven";"Eight";"Nine";"Ten";"Eleven";"Twelve";"Thirteen";"Fourteen";"Fifteen";"Sixteen";"Seventeen";"Eighteen";"Nineteen"}</definedName>
    <definedName name="numbers" localSheetId="725">{"";"One";"Two";"Three";"Four";"Five";"Six";"Seven";"Eight";"Nine";"Ten";"Eleven";"Twelve";"Thirteen";"Fourteen";"Fifteen";"Sixteen";"Seventeen";"Eighteen";"Nineteen"}</definedName>
    <definedName name="numbers" localSheetId="721">{"";"One";"Two";"Three";"Four";"Five";"Six";"Seven";"Eight";"Nine";"Ten";"Eleven";"Twelve";"Thirteen";"Fourteen";"Fifteen";"Sixteen";"Seventeen";"Eighteen";"Nineteen"}</definedName>
    <definedName name="numbers" localSheetId="692">{"";"One";"Two";"Three";"Four";"Five";"Six";"Seven";"Eight";"Nine";"Ten";"Eleven";"Twelve";"Thirteen";"Fourteen";"Fifteen";"Sixteen";"Seventeen";"Eighteen";"Nineteen"}</definedName>
    <definedName name="numbers" localSheetId="593">{"";"One";"Two";"Three";"Four";"Five";"Six";"Seven";"Eight";"Nine";"Ten";"Eleven";"Twelve";"Thirteen";"Fourteen";"Fifteen";"Sixteen";"Seventeen";"Eighteen";"Nineteen"}</definedName>
    <definedName name="numbers" localSheetId="768">{"";"One";"Two";"Three";"Four";"Five";"Six";"Seven";"Eight";"Nine";"Ten";"Eleven";"Twelve";"Thirteen";"Fourteen";"Fifteen";"Sixteen";"Seventeen";"Eighteen";"Nineteen"}</definedName>
    <definedName name="numbers" localSheetId="729">{"";"One";"Two";"Three";"Four";"Five";"Six";"Seven";"Eight";"Nine";"Ten";"Eleven";"Twelve";"Thirteen";"Fourteen";"Fifteen";"Sixteen";"Seventeen";"Eighteen";"Nineteen"}</definedName>
    <definedName name="numbers" localSheetId="730">{"";"One";"Two";"Three";"Four";"Five";"Six";"Seven";"Eight";"Nine";"Ten";"Eleven";"Twelve";"Thirteen";"Fourteen";"Fifteen";"Sixteen";"Seventeen";"Eighteen";"Nineteen"}</definedName>
    <definedName name="numbers" localSheetId="595">{"";"One";"Two";"Three";"Four";"Five";"Six";"Seven";"Eight";"Nine";"Ten";"Eleven";"Twelve";"Thirteen";"Fourteen";"Fifteen";"Sixteen";"Seventeen";"Eighteen";"Nineteen"}</definedName>
    <definedName name="numbers" localSheetId="703">{"";"One";"Two";"Three";"Four";"Five";"Six";"Seven";"Eight";"Nine";"Ten";"Eleven";"Twelve";"Thirteen";"Fourteen";"Fifteen";"Sixteen";"Seventeen";"Eighteen";"Nineteen"}</definedName>
    <definedName name="numbers" localSheetId="722">{"";"One";"Two";"Three";"Four";"Five";"Six";"Seven";"Eight";"Nine";"Ten";"Eleven";"Twelve";"Thirteen";"Fourteen";"Fifteen";"Sixteen";"Seventeen";"Eighteen";"Nineteen"}</definedName>
    <definedName name="numbers" localSheetId="588">{"";"One";"Two";"Three";"Four";"Five";"Six";"Seven";"Eight";"Nine";"Ten";"Eleven";"Twelve";"Thirteen";"Fourteen";"Fifteen";"Sixteen";"Seventeen";"Eighteen";"Nineteen"}</definedName>
    <definedName name="numbers" localSheetId="705">{"";"One";"Two";"Three";"Four";"Five";"Six";"Seven";"Eight";"Nine";"Ten";"Eleven";"Twelve";"Thirteen";"Fourteen";"Fifteen";"Sixteen";"Seventeen";"Eighteen";"Nineteen"}</definedName>
    <definedName name="numbers" localSheetId="757">{"";"One";"Two";"Three";"Four";"Five";"Six";"Seven";"Eight";"Nine";"Ten";"Eleven";"Twelve";"Thirteen";"Fourteen";"Fifteen";"Sixteen";"Seventeen";"Eighteen";"Nineteen"}</definedName>
    <definedName name="numbers" localSheetId="728">{"";"One";"Two";"Three";"Four";"Five";"Six";"Seven";"Eight";"Nine";"Ten";"Eleven";"Twelve";"Thirteen";"Fourteen";"Fifteen";"Sixteen";"Seventeen";"Eighteen";"Nineteen"}</definedName>
    <definedName name="numbers" localSheetId="694">{"";"One";"Two";"Three";"Four";"Five";"Six";"Seven";"Eight";"Nine";"Ten";"Eleven";"Twelve";"Thirteen";"Fourteen";"Fifteen";"Sixteen";"Seventeen";"Eighteen";"Nineteen"}</definedName>
    <definedName name="numbers" localSheetId="688">{"";"One";"Two";"Three";"Four";"Five";"Six";"Seven";"Eight";"Nine";"Ten";"Eleven";"Twelve";"Thirteen";"Fourteen";"Fifteen";"Sixteen";"Seventeen";"Eighteen";"Nineteen"}</definedName>
    <definedName name="numbers" localSheetId="751">{"";"One";"Two";"Three";"Four";"Five";"Six";"Seven";"Eight";"Nine";"Ten";"Eleven";"Twelve";"Thirteen";"Fourteen";"Fifteen";"Sixteen";"Seventeen";"Eighteen";"Nineteen"}</definedName>
    <definedName name="numbers" localSheetId="701">{"";"One";"Two";"Three";"Four";"Five";"Six";"Seven";"Eight";"Nine";"Ten";"Eleven";"Twelve";"Thirteen";"Fourteen";"Fifteen";"Sixteen";"Seventeen";"Eighteen";"Nineteen"}</definedName>
    <definedName name="numbers" localSheetId="594">{"";"One";"Two";"Three";"Four";"Five";"Six";"Seven";"Eight";"Nine";"Ten";"Eleven";"Twelve";"Thirteen";"Fourteen";"Fifteen";"Sixteen";"Seventeen";"Eighteen";"Nineteen"}</definedName>
    <definedName name="numbers" localSheetId="731">{"";"One";"Two";"Three";"Four";"Five";"Six";"Seven";"Eight";"Nine";"Ten";"Eleven";"Twelve";"Thirteen";"Fourteen";"Fifteen";"Sixteen";"Seventeen";"Eighteen";"Nineteen"}</definedName>
    <definedName name="numbers" localSheetId="708">{"";"One";"Two";"Three";"Four";"Five";"Six";"Seven";"Eight";"Nine";"Ten";"Eleven";"Twelve";"Thirteen";"Fourteen";"Fifteen";"Sixteen";"Seventeen";"Eighteen";"Nineteen"}</definedName>
    <definedName name="numbers" localSheetId="739">{"";"One";"Two";"Three";"Four";"Five";"Six";"Seven";"Eight";"Nine";"Ten";"Eleven";"Twelve";"Thirteen";"Fourteen";"Fifteen";"Sixteen";"Seventeen";"Eighteen";"Nineteen"}</definedName>
    <definedName name="numbers" localSheetId="709">{"";"One";"Two";"Three";"Four";"Five";"Six";"Seven";"Eight";"Nine";"Ten";"Eleven";"Twelve";"Thirteen";"Fourteen";"Fifteen";"Sixteen";"Seventeen";"Eighteen";"Nineteen"}</definedName>
    <definedName name="numbers" localSheetId="736">{"";"One";"Two";"Three";"Four";"Five";"Six";"Seven";"Eight";"Nine";"Ten";"Eleven";"Twelve";"Thirteen";"Fourteen";"Fifteen";"Sixteen";"Seventeen";"Eighteen";"Nineteen"}</definedName>
    <definedName name="numbers" localSheetId="747">{"";"One";"Two";"Three";"Four";"Five";"Six";"Seven";"Eight";"Nine";"Ten";"Eleven";"Twelve";"Thirteen";"Fourteen";"Fifteen";"Sixteen";"Seventeen";"Eighteen";"Nineteen"}</definedName>
    <definedName name="numbers" localSheetId="720">{"";"One";"Two";"Three";"Four";"Five";"Six";"Seven";"Eight";"Nine";"Ten";"Eleven";"Twelve";"Thirteen";"Fourteen";"Fifteen";"Sixteen";"Seventeen";"Eighteen";"Nineteen"}</definedName>
    <definedName name="numbers" localSheetId="695">{"";"One";"Two";"Three";"Four";"Five";"Six";"Seven";"Eight";"Nine";"Ten";"Eleven";"Twelve";"Thirteen";"Fourteen";"Fifteen";"Sixteen";"Seventeen";"Eighteen";"Nineteen"}</definedName>
    <definedName name="numbers" localSheetId="750">{"";"One";"Two";"Three";"Four";"Five";"Six";"Seven";"Eight";"Nine";"Ten";"Eleven";"Twelve";"Thirteen";"Fourteen";"Fifteen";"Sixteen";"Seventeen";"Eighteen";"Nineteen"}</definedName>
    <definedName name="numbers" localSheetId="704">{"";"One";"Two";"Three";"Four";"Five";"Six";"Seven";"Eight";"Nine";"Ten";"Eleven";"Twelve";"Thirteen";"Fourteen";"Fifteen";"Sixteen";"Seventeen";"Eighteen";"Nineteen"}</definedName>
    <definedName name="numbers" localSheetId="693">{"";"One";"Two";"Three";"Four";"Five";"Six";"Seven";"Eight";"Nine";"Ten";"Eleven";"Twelve";"Thirteen";"Fourteen";"Fifteen";"Sixteen";"Seventeen";"Eighteen";"Nineteen"}</definedName>
    <definedName name="numbers" localSheetId="706">{"";"One";"Two";"Three";"Four";"Five";"Six";"Seven";"Eight";"Nine";"Ten";"Eleven";"Twelve";"Thirteen";"Fourteen";"Fifteen";"Sixteen";"Seventeen";"Eighteen";"Nineteen"}</definedName>
    <definedName name="numbers" localSheetId="764">{"";"One";"Two";"Three";"Four";"Five";"Six";"Seven";"Eight";"Nine";"Ten";"Eleven";"Twelve";"Thirteen";"Fourteen";"Fifteen";"Sixteen";"Seventeen";"Eighteen";"Nineteen"}</definedName>
    <definedName name="numbers" localSheetId="592">{"";"One";"Two";"Three";"Four";"Five";"Six";"Seven";"Eight";"Nine";"Ten";"Eleven";"Twelve";"Thirteen";"Fourteen";"Fifteen";"Sixteen";"Seventeen";"Eighteen";"Nineteen"}</definedName>
    <definedName name="numbers" localSheetId="715">{"";"One";"Two";"Three";"Four";"Five";"Six";"Seven";"Eight";"Nine";"Ten";"Eleven";"Twelve";"Thirteen";"Fourteen";"Fifteen";"Sixteen";"Seventeen";"Eighteen";"Nineteen"}</definedName>
    <definedName name="numbers" localSheetId="733">{"";"One";"Two";"Three";"Four";"Five";"Six";"Seven";"Eight";"Nine";"Ten";"Eleven";"Twelve";"Thirteen";"Fourteen";"Fifteen";"Sixteen";"Seventeen";"Eighteen";"Nineteen"}</definedName>
    <definedName name="numbers" localSheetId="732">{"";"One";"Two";"Three";"Four";"Five";"Six";"Seven";"Eight";"Nine";"Ten";"Eleven";"Twelve";"Thirteen";"Fourteen";"Fifteen";"Sixteen";"Seventeen";"Eighteen";"Nineteen"}</definedName>
    <definedName name="numbers" localSheetId="691">{"";"One";"Two";"Three";"Four";"Five";"Six";"Seven";"Eight";"Nine";"Ten";"Eleven";"Twelve";"Thirteen";"Fourteen";"Fifteen";"Sixteen";"Seventeen";"Eighteen";"Nineteen"}</definedName>
    <definedName name="numbers" localSheetId="710">{"";"One";"Two";"Three";"Four";"Five";"Six";"Seven";"Eight";"Nine";"Ten";"Eleven";"Twelve";"Thirteen";"Fourteen";"Fifteen";"Sixteen";"Seventeen";"Eighteen";"Nineteen"}</definedName>
    <definedName name="numbers" localSheetId="702">{"";"One";"Two";"Three";"Four";"Five";"Six";"Seven";"Eight";"Nine";"Ten";"Eleven";"Twelve";"Thirteen";"Fourteen";"Fifteen";"Sixteen";"Seventeen";"Eighteen";"Nineteen"}</definedName>
    <definedName name="numbers" localSheetId="711">{"";"One";"Two";"Three";"Four";"Five";"Six";"Seven";"Eight";"Nine";"Ten";"Eleven";"Twelve";"Thirteen";"Fourteen";"Fifteen";"Sixteen";"Seventeen";"Eighteen";"Nineteen"}</definedName>
    <definedName name="numbers" localSheetId="689">{"";"One";"Two";"Three";"Four";"Five";"Six";"Seven";"Eight";"Nine";"Ten";"Eleven";"Twelve";"Thirteen";"Fourteen";"Fifteen";"Sixteen";"Seventeen";"Eighteen";"Nineteen"}</definedName>
    <definedName name="numbers" localSheetId="590">{"";"One";"Two";"Three";"Four";"Five";"Six";"Seven";"Eight";"Nine";"Ten";"Eleven";"Twelve";"Thirteen";"Fourteen";"Fifteen";"Sixteen";"Seventeen";"Eighteen";"Nineteen"}</definedName>
    <definedName name="numbers" localSheetId="591">{"";"One";"Two";"Three";"Four";"Five";"Six";"Seven";"Eight";"Nine";"Ten";"Eleven";"Twelve";"Thirteen";"Fourteen";"Fifteen";"Sixteen";"Seventeen";"Eighteen";"Nineteen"}</definedName>
    <definedName name="numbers" localSheetId="707">{"";"One";"Two";"Three";"Four";"Five";"Six";"Seven";"Eight";"Nine";"Ten";"Eleven";"Twelve";"Thirteen";"Fourteen";"Fifteen";"Sixteen";"Seventeen";"Eighteen";"Nineteen"}</definedName>
    <definedName name="numbers" localSheetId="587">{"";"One";"Two";"Three";"Four";"Five";"Six";"Seven";"Eight";"Nine";"Ten";"Eleven";"Twelve";"Thirteen";"Fourteen";"Fifteen";"Sixteen";"Seventeen";"Eighteen";"Nineteen"}</definedName>
    <definedName name="numbers" localSheetId="765">{"";"One";"Two";"Three";"Four";"Five";"Six";"Seven";"Eight";"Nine";"Ten";"Eleven";"Twelve";"Thirteen";"Fourteen";"Fifteen";"Sixteen";"Seventeen";"Eighteen";"Nineteen"}</definedName>
    <definedName name="numbers" localSheetId="766">{"";"One";"Two";"Three";"Four";"Five";"Six";"Seven";"Eight";"Nine";"Ten";"Eleven";"Twelve";"Thirteen";"Fourteen";"Fifteen";"Sixteen";"Seventeen";"Eighteen";"Nineteen"}</definedName>
    <definedName name="numbers" localSheetId="734">{"";"One";"Two";"Three";"Four";"Five";"Six";"Seven";"Eight";"Nine";"Ten";"Eleven";"Twelve";"Thirteen";"Fourteen";"Fifteen";"Sixteen";"Seventeen";"Eighteen";"Nineteen"}</definedName>
    <definedName name="numbers" localSheetId="700">{"";"One";"Two";"Three";"Four";"Five";"Six";"Seven";"Eight";"Nine";"Ten";"Eleven";"Twelve";"Thirteen";"Fourteen";"Fifteen";"Sixteen";"Seventeen";"Eighteen";"Nineteen"}</definedName>
    <definedName name="numbers" localSheetId="698">{"";"One";"Two";"Three";"Four";"Five";"Six";"Seven";"Eight";"Nine";"Ten";"Eleven";"Twelve";"Thirteen";"Fourteen";"Fifteen";"Sixteen";"Seventeen";"Eighteen";"Nineteen"}</definedName>
    <definedName name="numbers" localSheetId="726">{"";"One";"Two";"Three";"Four";"Five";"Six";"Seven";"Eight";"Nine";"Ten";"Eleven";"Twelve";"Thirteen";"Fourteen";"Fifteen";"Sixteen";"Seventeen";"Eighteen";"Nineteen"}</definedName>
    <definedName name="numbers" localSheetId="716">{"";"One";"Two";"Three";"Four";"Five";"Six";"Seven";"Eight";"Nine";"Ten";"Eleven";"Twelve";"Thirteen";"Fourteen";"Fifteen";"Sixteen";"Seventeen";"Eighteen";"Nineteen"}</definedName>
    <definedName name="numbers" localSheetId="774">{"";"One";"Two";"Three";"Four";"Five";"Six";"Seven";"Eight";"Nine";"Ten";"Eleven";"Twelve";"Thirteen";"Fourteen";"Fifteen";"Sixteen";"Seventeen";"Eighteen";"Nineteen"}</definedName>
    <definedName name="numbers" localSheetId="586">{"";"One";"Two";"Three";"Four";"Five";"Six";"Seven";"Eight";"Nine";"Ten";"Eleven";"Twelve";"Thirteen";"Fourteen";"Fifteen";"Sixteen";"Seventeen";"Eighteen";"Nineteen"}</definedName>
    <definedName name="numbers" localSheetId="124">{"";"One";"Two";"Three";"Four";"Five";"Six";"Seven";"Eight";"Nine";"Ten";"Eleven";"Twelve";"Thirteen";"Fourteen";"Fifteen";"Sixteen";"Seventeen";"Eighteen";"Nineteen"}</definedName>
    <definedName name="numbers" localSheetId="0">{"";"One";"Two";"Three";"Four";"Five";"Six";"Seven";"Eight";"Nine";"Ten";"Eleven";"Twelve";"Thirteen";"Fourteen";"Fifteen";"Sixteen";"Seventeen";"Eighteen";"Nineteen"}</definedName>
    <definedName name="numbers" localSheetId="415">{"";"One";"Two";"Three";"Four";"Five";"Six";"Seven";"Eight";"Nine";"Ten";"Eleven";"Twelve";"Thirteen";"Fourteen";"Fifteen";"Sixteen";"Seventeen";"Eighteen";"Nineteen"}</definedName>
    <definedName name="numbers" localSheetId="373">{"";"One";"Two";"Three";"Four";"Five";"Six";"Seven";"Eight";"Nine";"Ten";"Eleven";"Twelve";"Thirteen";"Fourteen";"Fifteen";"Sixteen";"Seventeen";"Eighteen";"Nineteen"}</definedName>
    <definedName name="numbers" localSheetId="372">{"";"One";"Two";"Three";"Four";"Five";"Six";"Seven";"Eight";"Nine";"Ten";"Eleven";"Twelve";"Thirteen";"Fourteen";"Fifteen";"Sixteen";"Seventeen";"Eighteen";"Nineteen"}</definedName>
    <definedName name="numbers" localSheetId="598">{"";"One";"Two";"Three";"Four";"Five";"Six";"Seven";"Eight";"Nine";"Ten";"Eleven";"Twelve";"Thirteen";"Fourteen";"Fifteen";"Sixteen";"Seventeen";"Eighteen";"Nineteen"}</definedName>
    <definedName name="numbers" localSheetId="371">{"";"One";"Two";"Three";"Four";"Five";"Six";"Seven";"Eight";"Nine";"Ten";"Eleven";"Twelve";"Thirteen";"Fourteen";"Fifteen";"Sixteen";"Seventeen";"Eighteen";"Nineteen"}</definedName>
    <definedName name="numbers" localSheetId="637">{"";"One";"Two";"Three";"Four";"Five";"Six";"Seven";"Eight";"Nine";"Ten";"Eleven";"Twelve";"Thirteen";"Fourteen";"Fifteen";"Sixteen";"Seventeen";"Eighteen";"Nineteen"}</definedName>
    <definedName name="numbers" localSheetId="638">{"";"One";"Two";"Three";"Four";"Five";"Six";"Seven";"Eight";"Nine";"Ten";"Eleven";"Twelve";"Thirteen";"Fourteen";"Fifteen";"Sixteen";"Seventeen";"Eighteen";"Nineteen"}</definedName>
    <definedName name="numbers" localSheetId="9">{"";"One";"Two";"Three";"Four";"Five";"Six";"Seven";"Eight";"Nine";"Ten";"Eleven";"Twelve";"Thirteen";"Fourteen";"Fifteen";"Sixteen";"Seventeen";"Eighteen";"Nineteen"}</definedName>
    <definedName name="numbers" localSheetId="719">{"";"One";"Two";"Three";"Four";"Five";"Six";"Seven";"Eight";"Nine";"Ten";"Eleven";"Twelve";"Thirteen";"Fourteen";"Fifteen";"Sixteen";"Seventeen";"Eighteen";"Nineteen"}</definedName>
    <definedName name="numbers" localSheetId="583">{"";"One";"Two";"Three";"Four";"Five";"Six";"Seven";"Eight";"Nine";"Ten";"Eleven";"Twelve";"Thirteen";"Fourteen";"Fifteen";"Sixteen";"Seventeen";"Eighteen";"Nineteen"}</definedName>
    <definedName name="numbers" localSheetId="3">{"";"One";"Two";"Three";"Four";"Five";"Six";"Seven";"Eight";"Nine";"Ten";"Eleven";"Twelve";"Thirteen";"Fourteen";"Fifteen";"Sixteen";"Seventeen";"Eighteen";"Nineteen"}</definedName>
    <definedName name="numbers" localSheetId="6">{"";"One";"Two";"Three";"Four";"Five";"Six";"Seven";"Eight";"Nine";"Ten";"Eleven";"Twelve";"Thirteen";"Fourteen";"Fifteen";"Sixteen";"Seventeen";"Eighteen";"Nineteen"}</definedName>
    <definedName name="numbers" localSheetId="8">{"";"One";"Two";"Three";"Four";"Five";"Six";"Seven";"Eight";"Nine";"Ten";"Eleven";"Twelve";"Thirteen";"Fourteen";"Fifteen";"Sixteen";"Seventeen";"Eighteen";"Nineteen"}</definedName>
    <definedName name="numbers" localSheetId="7">{"";"One";"Two";"Three";"Four";"Five";"Six";"Seven";"Eight";"Nine";"Ten";"Eleven";"Twelve";"Thirteen";"Fourteen";"Fifteen";"Sixteen";"Seventeen";"Eighteen";"Nineteen"}</definedName>
    <definedName name="numbers" localSheetId="414">{"";"One";"Two";"Three";"Four";"Five";"Six";"Seven";"Eight";"Nine";"Ten";"Eleven";"Twelve";"Thirteen";"Fourteen";"Fifteen";"Sixteen";"Seventeen";"Eighteen";"Nineteen"}</definedName>
    <definedName name="numbers" localSheetId="580">{"";"One";"Two";"Three";"Four";"Five";"Six";"Seven";"Eight";"Nine";"Ten";"Eleven";"Twelve";"Thirteen";"Fourteen";"Fifteen";"Sixteen";"Seventeen";"Eighteen";"Nineteen"}</definedName>
    <definedName name="numbers" localSheetId="578">{"";"One";"Two";"Three";"Four";"Five";"Six";"Seven";"Eight";"Nine";"Ten";"Eleven";"Twelve";"Thirteen";"Fourteen";"Fifteen";"Sixteen";"Seventeen";"Eighteen";"Nineteen"}</definedName>
    <definedName name="_xlnm.Print_Area" localSheetId="4">'360'!$A$1:$H$53</definedName>
    <definedName name="_xlnm.Print_Area" localSheetId="139">'A.S. Kranamm'!$A$1:$F$49</definedName>
    <definedName name="_xlnm.Print_Area" localSheetId="56">AA!$A$1:$F$53</definedName>
    <definedName name="_xlnm.Print_Area" localSheetId="58">'AA (2)'!$A$1:$F$53</definedName>
    <definedName name="_xlnm.Print_Area" localSheetId="45">'AB &amp; Artho'!$A$1:$H$53</definedName>
    <definedName name="_xlnm.Print_Area" localSheetId="59">Access!$A$1:$F$53</definedName>
    <definedName name="_xlnm.Print_Area" localSheetId="36">'Actife Lifestyle'!$A$1:$F$55</definedName>
    <definedName name="_xlnm.Print_Area" localSheetId="38">Actiontintoy!$A$1:$F$53</definedName>
    <definedName name="_xlnm.Print_Area" localSheetId="135">Adpix!$A$1:$F$49</definedName>
    <definedName name="_xlnm.Print_Area" localSheetId="16">Adstream!$A$1:$F$54</definedName>
    <definedName name="_xlnm.Print_Area" localSheetId="51">'Advance Creative'!$A$1:$H$52</definedName>
    <definedName name="_xlnm.Print_Area" localSheetId="14">'Advance Tech'!$A$1:$H$52</definedName>
    <definedName name="_xlnm.Print_Area" localSheetId="13">Afab!$A$1:$H$53</definedName>
    <definedName name="_xlnm.Print_Area" localSheetId="67">'AFC Network'!$A$1:$F$50</definedName>
    <definedName name="_xlnm.Print_Area" localSheetId="141">Affa!$A$1:$H$53</definedName>
    <definedName name="_xlnm.Print_Area" localSheetId="40">Affa2!$A$1:$H$56</definedName>
    <definedName name="_xlnm.Print_Area" localSheetId="134">Agensi!$A$1:$F$49</definedName>
    <definedName name="_xlnm.Print_Area" localSheetId="30">'Agnes Maritha'!$A$1:$F$53</definedName>
    <definedName name="_xlnm.Print_Area" localSheetId="52">AHR!$A$1:$H$54</definedName>
    <definedName name="_xlnm.Print_Area" localSheetId="48">'Aidil Travel'!$A$1:$H$55</definedName>
    <definedName name="_xlnm.Print_Area" localSheetId="32">'Aim Max'!$A$1:$F$53</definedName>
    <definedName name="_xlnm.Print_Area" localSheetId="24">AirAsia!$A$1:$H$56</definedName>
    <definedName name="_xlnm.Print_Area" localSheetId="25">'AirAsia (2)'!$A$1:$H$53</definedName>
    <definedName name="_xlnm.Print_Area" localSheetId="54">AirTrip!$A$1:$H$55</definedName>
    <definedName name="_xlnm.Print_Area" localSheetId="33">'AKA Balloon'!$A$1:$H$54</definedName>
    <definedName name="_xlnm.Print_Area" localSheetId="17">'Akauntan Negara Malaysia '!$A$1:$H$53</definedName>
    <definedName name="_xlnm.Print_Area" localSheetId="144">'Alber Yap'!$A$1:$F$49</definedName>
    <definedName name="_xlnm.Print_Area" localSheetId="143">Albert!$A$1:$F$49</definedName>
    <definedName name="_xlnm.Print_Area" localSheetId="61">Alliance!$A$1:$F$53</definedName>
    <definedName name="_xlnm.Print_Area" localSheetId="29">'Alunan Matrik'!$A$1:$F$53</definedName>
    <definedName name="_xlnm.Print_Area" localSheetId="20">'Ameba Art'!$A$1:$F$54</definedName>
    <definedName name="_xlnm.Print_Area" localSheetId="35">Annamah!$A$1:$F$52</definedName>
    <definedName name="_xlnm.Print_Area" localSheetId="49">'Anovia Bridal'!$A$1:$H$52</definedName>
    <definedName name="_xlnm.Print_Area" localSheetId="23">'APL Media Ltd'!$A$1:$H$55</definedName>
    <definedName name="_xlnm.Print_Area" localSheetId="57">'A-Production'!$A$1:$F$55</definedName>
    <definedName name="_xlnm.Print_Area" localSheetId="136">Arkitek!$A$1:$F$51</definedName>
    <definedName name="_xlnm.Print_Area" localSheetId="64">'Art Tune'!$A$1:$F$49</definedName>
    <definedName name="_xlnm.Print_Area" localSheetId="50">'Artiz Vision'!$A$1:$H$54</definedName>
    <definedName name="_xlnm.Print_Area" localSheetId="244">Asia!$A$1:$F$52</definedName>
    <definedName name="_xlnm.Print_Area" localSheetId="91">'Asia Garden'!$A$1:$F$52</definedName>
    <definedName name="_xlnm.Print_Area" localSheetId="62">'Asia Holiday'!$A$1:$F$49</definedName>
    <definedName name="_xlnm.Print_Area" localSheetId="1">'Asia Life'!$A$1:$H$54</definedName>
    <definedName name="_xlnm.Print_Area" localSheetId="2">'Asia Life Digital'!$A$1:$H$54</definedName>
    <definedName name="_xlnm.Print_Area" localSheetId="65">Astro!$A$1:$H$59</definedName>
    <definedName name="_xlnm.Print_Area" localSheetId="53">'Atlantic by Motion'!$A$1:$H$54</definedName>
    <definedName name="_xlnm.Print_Area" localSheetId="137">Aun!$A$1:$F$50</definedName>
    <definedName name="_xlnm.Print_Area" localSheetId="133">Avant!$A$1:$F$53</definedName>
    <definedName name="_xlnm.Print_Area" localSheetId="145">Avion!$A$1:$F$53</definedName>
    <definedName name="_xlnm.Print_Area" localSheetId="142">'Avion '!$A$1:$F$53</definedName>
    <definedName name="_xlnm.Print_Area" localSheetId="39">AXA!$A$1:$F$53</definedName>
    <definedName name="_xlnm.Print_Area" localSheetId="18">'Azman bin Ahmad'!$A$1:$H$54</definedName>
    <definedName name="_xlnm.Print_Area" localSheetId="158">'B&amp;W'!$A$1:$F$53</definedName>
    <definedName name="_xlnm.Print_Area" localSheetId="183">'Baba Success'!$A$1:$F$49</definedName>
    <definedName name="_xlnm.Print_Area" localSheetId="184">'Baba Two'!$A$1:$F$56</definedName>
    <definedName name="_xlnm.Print_Area" localSheetId="167">BabaJob!$A$1:$F$53</definedName>
    <definedName name="_xlnm.Print_Area" localSheetId="197">'Badan Warisan'!$A$1:$E$52</definedName>
    <definedName name="_xlnm.Print_Area" localSheetId="179">Balasu!$A$1:$F$52</definedName>
    <definedName name="_xlnm.Print_Area" localSheetId="162">'Bandar utama'!$A$1:$H$54</definedName>
    <definedName name="_xlnm.Print_Area" localSheetId="165">'Bang Phuong'!$A$1:$H$53</definedName>
    <definedName name="_xlnm.Print_Area" localSheetId="185">'Bangkok Express'!$A$1:$F$49</definedName>
    <definedName name="_xlnm.Print_Area" localSheetId="186">Bayview!$A$1:$F$53</definedName>
    <definedName name="_xlnm.Print_Area" localSheetId="173">'BB Websolutions'!$A$1:$H$56</definedName>
    <definedName name="_xlnm.Print_Area" localSheetId="170">'Be Inspired'!$A$1:$H$56</definedName>
    <definedName name="_xlnm.Print_Area" localSheetId="159">Beceative!$A$1:$F$49</definedName>
    <definedName name="_xlnm.Print_Area" localSheetId="174">'Bendahari Negeri Pulau Pinang'!$A$1:$F$55</definedName>
    <definedName name="_xlnm.Print_Area" localSheetId="178">'Benedict Lian Shi XIang'!$A$1:$F$49</definedName>
    <definedName name="_xlnm.Print_Area" localSheetId="164">'Berjaya Sumpo'!$A$1:$H$53</definedName>
    <definedName name="_xlnm.Print_Area" localSheetId="166">'Beyond Multimedia'!$A$1:$H$66</definedName>
    <definedName name="_xlnm.Print_Area" localSheetId="187">'BJ Hotel Development'!$A$1:$F$49</definedName>
    <definedName name="_xlnm.Print_Area" localSheetId="201">'BJ Hotel Development (2)'!$A$1:$F$49</definedName>
    <definedName name="_xlnm.Print_Area" localSheetId="157">Bold!$A$1:$H$53</definedName>
    <definedName name="_xlnm.Print_Area" localSheetId="12">'Bon Ton'!$A$1:$F$52</definedName>
    <definedName name="_xlnm.Print_Area" localSheetId="171">'Boon Seng'!$A$1:$H$53</definedName>
    <definedName name="_xlnm.Print_Area" localSheetId="189">'Borneo Vision'!$A$1:$F$52</definedName>
    <definedName name="_xlnm.Print_Area" localSheetId="161">'Brand New'!$A$1:$H$66</definedName>
    <definedName name="_xlnm.Print_Area" localSheetId="272">'CAC '!$A$1:$F$55</definedName>
    <definedName name="_xlnm.Print_Area" localSheetId="261">Cake!$A$1:$H$54</definedName>
    <definedName name="_xlnm.Print_Area" localSheetId="218">Campbell!$A$1:$F$49</definedName>
    <definedName name="_xlnm.Print_Area" localSheetId="282">'Can Can Public'!$A$1:$H$54</definedName>
    <definedName name="_xlnm.Print_Area" localSheetId="264">'Capital All Star Enterprise'!$A$1:$F$53</definedName>
    <definedName name="_xlnm.Print_Area" localSheetId="277">Caritech!$A$1:$H$54</definedName>
    <definedName name="_xlnm.Print_Area" localSheetId="265">Cecilia!$A$1:$F$62</definedName>
    <definedName name="_xlnm.Print_Area" localSheetId="205">Celcom!$A$1:$F$51</definedName>
    <definedName name="_xlnm.Print_Area" localSheetId="286">'Celcom Sdn Bhd'!$A$1:$H$55</definedName>
    <definedName name="_xlnm.Print_Area" localSheetId="93">Cellex!$A$1:$H$53</definedName>
    <definedName name="_xlnm.Print_Area" localSheetId="278">Chailek!$A$1:$H$52</definedName>
    <definedName name="_xlnm.Print_Area" localSheetId="266">'Chan Tang Eng'!$A$1:$F$55</definedName>
    <definedName name="_xlnm.Print_Area" localSheetId="250">'Chan Wei Meng'!$A$1:$F$52</definedName>
    <definedName name="_xlnm.Print_Area" localSheetId="279">'Cheah Hock Lye'!$A$1:$H$53</definedName>
    <definedName name="_xlnm.Print_Area" localSheetId="273">'Chee Seng'!$A$1:$F$53</definedName>
    <definedName name="_xlnm.Print_Area" localSheetId="275">'China Airlines Limited'!$A$1:$H$53</definedName>
    <definedName name="_xlnm.Print_Area" localSheetId="283">'Chong Kar Yuan'!$A$1:$H$56</definedName>
    <definedName name="_xlnm.Print_Area" localSheetId="268">'Chong Lee Choo'!$A$1:$F$53</definedName>
    <definedName name="_xlnm.Print_Area" localSheetId="206">'Chong Li Ching'!$A$1:$F$53</definedName>
    <definedName name="_xlnm.Print_Area" localSheetId="240">'Chung Hwa Confucian'!$A$1:$F$50</definedName>
    <definedName name="_xlnm.Print_Area" localSheetId="211">cimb!$A$1:$H$54</definedName>
    <definedName name="_xlnm.Print_Area" localSheetId="96">'CIMB Credit Card'!$A$1:$H$59</definedName>
    <definedName name="_xlnm.Print_Area" localSheetId="220">Clarity!$A$1:$H$53</definedName>
    <definedName name="_xlnm.Print_Area" localSheetId="221">'Clarity (2)'!$A$1:$F$50</definedName>
    <definedName name="_xlnm.Print_Area" localSheetId="245">'Click Start'!$A$1:$F$53</definedName>
    <definedName name="_xlnm.Print_Area" localSheetId="269">Conceptual!$A$1:$H$54</definedName>
    <definedName name="_xlnm.Print_Area" localSheetId="241">Confrerie!$A$1:$F$50</definedName>
    <definedName name="_xlnm.Print_Area" localSheetId="233">Connect!$A$1:$F$49</definedName>
    <definedName name="_xlnm.Print_Area" localSheetId="215">Continental!$A$1:$F$49</definedName>
    <definedName name="_xlnm.Print_Area" localSheetId="299">Convep2!$A$1:$H$53</definedName>
    <definedName name="_xlnm.Print_Area" localSheetId="210">'Corportenet (3)'!$A$1:$H$53</definedName>
    <definedName name="_xlnm.Print_Area" localSheetId="99">Creative!$A$1:$F$53</definedName>
    <definedName name="_xlnm.Print_Area" localSheetId="263">'Crowne Plaza'!$A$1:$F$53</definedName>
    <definedName name="_xlnm.Print_Area" localSheetId="98">'Ctrip Business'!$A$1:$H$63</definedName>
    <definedName name="_xlnm.Print_Area" localSheetId="308">Danny!$A$1:$F$68</definedName>
    <definedName name="_xlnm.Print_Area" localSheetId="582">'Danny Goon'!$A$1:$H$54</definedName>
    <definedName name="_xlnm.Print_Area" localSheetId="581">'Dato Mustafa'!$A$1:$H$54</definedName>
    <definedName name="_xlnm.Print_Area" localSheetId="579">'Dato'' Rosli'!$A$1:$F$55</definedName>
    <definedName name="_xlnm.Print_Area" localSheetId="584">'Dato Seri Aru'!$A$1:$H$54</definedName>
    <definedName name="_xlnm.Print_Area" localSheetId="323">Devi!$A$1:$F$49</definedName>
    <definedName name="_xlnm.Print_Area" localSheetId="309">'Discover Orient'!$A$1:$F$53</definedName>
    <definedName name="_xlnm.Print_Area" localSheetId="306">'Discover Vacations'!$A$1:$F$55</definedName>
    <definedName name="_xlnm.Print_Area" localSheetId="328">'Discovery Overland'!$A$1:$H$55</definedName>
    <definedName name="_xlnm.Print_Area" localSheetId="311">'D''Media'!$A$1:$F$53</definedName>
    <definedName name="_xlnm.Print_Area" localSheetId="305">'Dragon Airlines'!$A$1:$H$53</definedName>
    <definedName name="_xlnm.Print_Area" localSheetId="336">'E&amp;O Trading'!$A$1:$F$49</definedName>
    <definedName name="_xlnm.Print_Area" localSheetId="340">Eastin2!$A$1:$F$49</definedName>
    <definedName name="_xlnm.Print_Area" localSheetId="90">ecs!$A$1:$F$49</definedName>
    <definedName name="_xlnm.Print_Area" localSheetId="69">Eja!$A$1:$H$54</definedName>
    <definedName name="_xlnm.Print_Area" localSheetId="82">'Elang Wah Sdn Bhd'!$A$1:$H$55</definedName>
    <definedName name="_xlnm.Print_Area" localSheetId="344">Eli!$A$1:$F$49</definedName>
    <definedName name="_xlnm.Print_Area" localSheetId="87">Elite!$A$1:$H$53</definedName>
    <definedName name="_xlnm.Print_Area" localSheetId="68">'Emilia Ismail'!$A$1:$H$53</definedName>
    <definedName name="_xlnm.Print_Area" localSheetId="71">'Eqtd Consulting'!$A$1:$F$56</definedName>
    <definedName name="_xlnm.Print_Area" localSheetId="78">Evercool!$A$1:$H$54</definedName>
    <definedName name="_xlnm.Print_Area" localSheetId="343">'Ewe Teik Siang'!$A$1:$F$51</definedName>
    <definedName name="_xlnm.Print_Area" localSheetId="77">Exabytes!$A$1:$H$53</definedName>
    <definedName name="_xlnm.Print_Area" localSheetId="356">'EY -formC &amp; R'!$A$1:$H$54</definedName>
    <definedName name="_xlnm.Print_Area" localSheetId="360">'Feng Studio'!$A$1:$F$55</definedName>
    <definedName name="_xlnm.Print_Area" localSheetId="106">'Fine Winner'!$A$1:$H$53</definedName>
    <definedName name="_xlnm.Print_Area" localSheetId="118">FKGlobal!$A$1:$H$54</definedName>
    <definedName name="_xlnm.Print_Area" localSheetId="115">Flagstaff!$A$1:$H$56</definedName>
    <definedName name="_xlnm.Print_Area" localSheetId="690">'Flagstaff (2)'!$A$1:$H$58</definedName>
    <definedName name="_xlnm.Print_Area" localSheetId="110">Flatplan!$A$1:$H$56</definedName>
    <definedName name="_xlnm.Print_Area" localSheetId="116">Fluxline!$A$1:$F$53</definedName>
    <definedName name="_xlnm.Print_Area" localSheetId="117">'FM Global'!$A$1:$F$52</definedName>
    <definedName name="_xlnm.Print_Area" localSheetId="109">'Foong Chee Yin'!$A$1:$F$53</definedName>
    <definedName name="_xlnm.Print_Area" localSheetId="127">Freddy!$A$1:$F$53</definedName>
    <definedName name="_xlnm.Print_Area" localSheetId="112">Friendship!$A$1:$H$68</definedName>
    <definedName name="_xlnm.Print_Area" localSheetId="366">'FTZ Travel'!$A$1:$H$53</definedName>
    <definedName name="_xlnm.Print_Area" localSheetId="362">'Fuji Xerox'!$A$1:$H$55</definedName>
    <definedName name="_xlnm.Print_Area" localSheetId="361">'Fuji Xerox (3)'!$A$1:$H$52</definedName>
    <definedName name="_xlnm.Print_Area" localSheetId="107">'FVW Median'!$A$1:$H$55</definedName>
    <definedName name="_xlnm.Print_Area" localSheetId="385">Gemilang!$A$1:$H$53</definedName>
    <definedName name="_xlnm.Print_Area" localSheetId="397">'Ghee Hiang'!$A$1:$F$49</definedName>
    <definedName name="_xlnm.Print_Area" localSheetId="379">'GHT Malaysia'!$A$1:$H$55</definedName>
    <definedName name="_xlnm.Print_Area" localSheetId="388">Ginncons!$A$1:$F$53</definedName>
    <definedName name="_xlnm.Print_Area" localSheetId="394">'Global Leadership'!$A$1:$F$52</definedName>
    <definedName name="_xlnm.Print_Area" localSheetId="378">'Glory Property'!$A$1:$H$63</definedName>
    <definedName name="_xlnm.Print_Area" localSheetId="398">'Go Int Group'!$A$1:$F$53</definedName>
    <definedName name="_xlnm.Print_Area" localSheetId="386">Goche!$A$1:$H$54</definedName>
    <definedName name="_xlnm.Print_Area" localSheetId="383">'Goh Yen Ting'!$A$1:$F$53</definedName>
    <definedName name="_xlnm.Print_Area" localSheetId="382">'Good Foodie'!$A$1:$H$55</definedName>
    <definedName name="_xlnm.Print_Area" localSheetId="393">Google!$A$1:$H$53</definedName>
    <definedName name="_xlnm.Print_Area" localSheetId="384">'Gooi Hean Kar'!$A$1:$F$53</definedName>
    <definedName name="_xlnm.Print_Area" localSheetId="597">'Gooi Zi Sen'!$A$1:$H$54</definedName>
    <definedName name="_xlnm.Print_Area" localSheetId="380">'Great Eastern'!$A$1:$H$52</definedName>
    <definedName name="_xlnm.Print_Area" localSheetId="391">Gulliever!$A$1:$H$53</definedName>
    <definedName name="_xlnm.Print_Area" localSheetId="442">harpers!$A$1:$H$58</definedName>
    <definedName name="_xlnm.Print_Area" localSheetId="422">Haze!$A$1:$F$53</definedName>
    <definedName name="_xlnm.Print_Area" localSheetId="424">Heart!$A$1:$H$53</definedName>
    <definedName name="_xlnm.Print_Area" localSheetId="458">Hekty!$A$1:$F$53</definedName>
    <definedName name="_xlnm.Print_Area" localSheetId="427">'Heng Lee Lee'!$A$1:$F$53</definedName>
    <definedName name="_xlnm.Print_Area" localSheetId="426">'HG Lim'!$A$1:$G$51</definedName>
    <definedName name="_xlnm.Print_Area" localSheetId="421">'HIlton Tokyo'!$A$1:$H$54</definedName>
    <definedName name="_xlnm.Print_Area" localSheetId="434">HinTeik!$A$1:$F$52</definedName>
    <definedName name="_xlnm.Print_Area" localSheetId="537">'H''ng Lee Lee'!$A$1:$F$53</definedName>
    <definedName name="_xlnm.Print_Area" localSheetId="435">'Ho Jia Qian'!$A$1:$F$53</definedName>
    <definedName name="_xlnm.Print_Area" localSheetId="441">'Holiday Tours'!$A$1:$H$54</definedName>
    <definedName name="_xlnm.Print_Area" localSheetId="536">'Hong Cheng'!$A$1:$H$57</definedName>
    <definedName name="_xlnm.Print_Area" localSheetId="443">'Hong Kong Convention'!$A$1:$F$50</definedName>
    <definedName name="_xlnm.Print_Area" localSheetId="418">Horizon!$A$1:$H$54</definedName>
    <definedName name="_xlnm.Print_Area" localSheetId="425">'Hot Print'!$A$1:$F$53</definedName>
    <definedName name="_xlnm.Print_Area" localSheetId="445">'Huei Yow'!$A$1:$F$49</definedName>
    <definedName name="_xlnm.Print_Area" localSheetId="416">'Hur Gi Naam'!$A$1:$H$55</definedName>
    <definedName name="_xlnm.Print_Area" localSheetId="472">'I2 Promotion'!$A$1:$F$53</definedName>
    <definedName name="_xlnm.Print_Area" localSheetId="463">'ID INC'!$A$1:$H$56</definedName>
    <definedName name="_xlnm.Print_Area" localSheetId="480">Impakstrat!$A$1:$F$49</definedName>
    <definedName name="_xlnm.Print_Area" localSheetId="474">'Indent Media'!$A$1:$F$54</definedName>
    <definedName name="_xlnm.Print_Area" localSheetId="466">'Info Colour'!$A$1:$F$55</definedName>
    <definedName name="_xlnm.Print_Area" localSheetId="462">Informa!$A$1:$H$53</definedName>
    <definedName name="_xlnm.Print_Area" localSheetId="484">Ink!$A$1:$H$54</definedName>
    <definedName name="_xlnm.Print_Area" localSheetId="485">'Ink Publishing'!$A$1:$H$56</definedName>
    <definedName name="_xlnm.Print_Area" localSheetId="477">'Invest-in-Penang'!$A$1:$F$49</definedName>
    <definedName name="_xlnm.Print_Area" localSheetId="471">'IPK College'!$A$1:$H$53</definedName>
    <definedName name="_xlnm.Print_Area" localSheetId="495">'J&amp;A Production'!$A$1:$H$55</definedName>
    <definedName name="_xlnm.Print_Area" localSheetId="496">'Jackie M'!$A$1:$H$55</definedName>
    <definedName name="_xlnm.Print_Area" localSheetId="506">Jass!$A$1:$F$53</definedName>
    <definedName name="_xlnm.Print_Area" localSheetId="505">Jaykodi!$A$1:$H$53</definedName>
    <definedName name="_xlnm.Print_Area" localSheetId="490">Jenexus!$A$1:$H$56</definedName>
    <definedName name="_xlnm.Print_Area" localSheetId="504">'Jerome Quah'!$A$1:$F$53</definedName>
    <definedName name="_xlnm.Print_Area" localSheetId="508">'Joe Sidek'!$A$1:$F$54</definedName>
    <definedName name="_xlnm.Print_Area" localSheetId="491">'Johnny Chee'!$A$1:$H$59</definedName>
    <definedName name="_xlnm.Print_Area" localSheetId="494">'Joy Chan'!$A$1:$F$53</definedName>
    <definedName name="_xlnm.Print_Area" localSheetId="663">Kaki!$A$1:$H$53</definedName>
    <definedName name="_xlnm.Print_Area" localSheetId="521">Kathy!$A$1:$H$56</definedName>
    <definedName name="_xlnm.Print_Area" localSheetId="552">'Kee Seok Poh'!$A$1:$H$52</definedName>
    <definedName name="_xlnm.Print_Area" localSheetId="648">Kembang!$A$1:$H$55</definedName>
    <definedName name="_xlnm.Print_Area" localSheetId="585">Kenneth!$A$1:$H$54</definedName>
    <definedName name="_xlnm.Print_Area" localSheetId="531">Kenray!$A$1:$H$53</definedName>
    <definedName name="_xlnm.Print_Area" localSheetId="639">'Ketua Pengarah'!$A$1:$H$53</definedName>
    <definedName name="_xlnm.Print_Area" localSheetId="640">'Ketua Pengarah (2)'!$A$1:$H$52</definedName>
    <definedName name="_xlnm.Print_Area" localSheetId="641">'Ketua Pengarah (3)'!$A$1:$H$53</definedName>
    <definedName name="_xlnm.Print_Area" localSheetId="642">'Ketua Pengarah (PTPTN)'!$A$1:$F$54</definedName>
    <definedName name="_xlnm.Print_Area" localSheetId="650">'KF Sticker'!$A$1:$F$49</definedName>
    <definedName name="_xlnm.Print_Area" localSheetId="596">'Khoo Boo Lim'!$A$1:$H$54</definedName>
    <definedName name="_xlnm.Print_Area" localSheetId="532">'Ko Kai Kong'!$A$1:$F$62</definedName>
    <definedName name="_xlnm.Print_Area" localSheetId="556">'Koay Poy Teik'!$A$1:$F$54</definedName>
    <definedName name="_xlnm.Print_Area" localSheetId="561">'Koay Song Lin'!$A$1:$F$52</definedName>
    <definedName name="_xlnm.Print_Area" localSheetId="519">'Koperasi Sekolah'!$A$1:$H$54</definedName>
    <definedName name="_xlnm.Print_Area" localSheetId="533">Kraken!$A$1:$F$55</definedName>
    <definedName name="_xlnm.Print_Area" localSheetId="656">KTM!$A$1:$E$52</definedName>
    <definedName name="_xlnm.Print_Area" localSheetId="554">'Kua Tze Phing'!$A$1:$H$55</definedName>
    <definedName name="_xlnm.Print_Area" localSheetId="635">KWSP!$A$1:$H$55</definedName>
    <definedName name="_xlnm.Print_Area" localSheetId="526">'KY Studio'!$A$1:$F$53</definedName>
    <definedName name="_xlnm.Print_Area" localSheetId="675">'LA Design'!$A$1:$E$52</definedName>
    <definedName name="_xlnm.Print_Area" localSheetId="614">'LA Vintage'!$A$1:$F$53</definedName>
    <definedName name="_xlnm.Print_Area" localSheetId="577">'Law Heng Kiang'!$A$1:$H$54</definedName>
    <definedName name="_xlnm.Print_Area" localSheetId="604">'Leader Asia'!$A$1:$H$53</definedName>
    <definedName name="_xlnm.Print_Area" localSheetId="683">Leandro!$A$1:$F$52</definedName>
    <definedName name="_xlnm.Print_Area" localSheetId="575">'Lee Ick Joo'!$A$1:$H$55</definedName>
    <definedName name="_xlnm.Print_Area" localSheetId="633">'Lee Wai Keong'!$A$1:$F$52</definedName>
    <definedName name="_xlnm.Print_Area" localSheetId="567">Leisure!$A$1:$H$54</definedName>
    <definedName name="_xlnm.Print_Area" localSheetId="643">'LHDN '!$A$1:$H$52</definedName>
    <definedName name="_xlnm.Print_Area" localSheetId="644">'LHDN  (2)'!$A$1:$F$53</definedName>
    <definedName name="_xlnm.Print_Area" localSheetId="645">'LHDN  (3)'!$A$1:$F$53</definedName>
    <definedName name="_xlnm.Print_Area" localSheetId="628">'Liang Chow Ming'!$A$1:$H$53</definedName>
    <definedName name="_xlnm.Print_Area" localSheetId="670">'Lim Boon Kooi'!$A$1:$F$49</definedName>
    <definedName name="_xlnm.Print_Area" localSheetId="574">'Lim Guan Eng'!$A$1:$H$54</definedName>
    <definedName name="_xlnm.Print_Area" localSheetId="669">'Lim Hooi Leng'!$A$1:$H$52</definedName>
    <definedName name="_xlnm.Print_Area" localSheetId="718">'Lim Hooi Leng (2)'!$A$1:$F$52</definedName>
    <definedName name="_xlnm.Print_Area" localSheetId="602">'Lim Woi Hong'!$A$1:$H$52</definedName>
    <definedName name="_xlnm.Print_Area" localSheetId="601">'Lim Yee Harng'!$A$1:$F$56</definedName>
    <definedName name="_xlnm.Print_Area" localSheetId="568">'Linear Online'!$A$1:$H$55</definedName>
    <definedName name="_xlnm.Print_Area" localSheetId="606">'Lokle Siew Fook'!$A$1:$F$55</definedName>
    <definedName name="_xlnm.Print_Area" localSheetId="612">'Love A Cupcake'!$A$1:$F$52</definedName>
    <definedName name="_xlnm.Print_Area" localSheetId="610">'Love A Cupcake (2)'!$A$1:$F$52</definedName>
    <definedName name="_xlnm.Print_Area" localSheetId="570">'Low Yen Peng'!$A$1:$F$53</definedName>
    <definedName name="_xlnm.Print_Area" localSheetId="563">'Lye Imm'!$A$1:$H$55</definedName>
    <definedName name="_xlnm.Print_Area" localSheetId="564">'Lyric Labs'!$A$1:$H$53</definedName>
    <definedName name="_xlnm.Print_Area" localSheetId="696">'M Summit'!$A$1:$H$52</definedName>
    <definedName name="_xlnm.Print_Area" localSheetId="697">'M Summit (2)'!$A$1:$H$52</definedName>
    <definedName name="_xlnm.Print_Area" localSheetId="748">MACP!$A$1:$F$49</definedName>
    <definedName name="_xlnm.Print_Area" localSheetId="767">Magicprint!$A$1:$F$55</definedName>
    <definedName name="_xlnm.Print_Area" localSheetId="723">'Malaysia Airlines2'!$A$1:$H$53</definedName>
    <definedName name="_xlnm.Print_Area" localSheetId="742">'Malaysia Book Of Record'!$A$1:$F$54</definedName>
    <definedName name="_xlnm.Print_Area" localSheetId="735">'Malaysia Tourism (Tokyo)'!$A$1:$H$53</definedName>
    <definedName name="_xlnm.Print_Area" localSheetId="740">'Malaysia Tourism Pro'!$A$1:$F$55</definedName>
    <definedName name="_xlnm.Print_Area" localSheetId="763">'Malaysian Tourism'!$A$1:$F$52</definedName>
    <definedName name="_xlnm.Print_Area" localSheetId="752">Malihom!$A$1:$F$54</definedName>
    <definedName name="_xlnm.Print_Area" localSheetId="593">'Marketing Awarness'!$A$1:$H$53</definedName>
    <definedName name="_xlnm.Print_Area" localSheetId="768">MarketSource!$A$1:$H$54</definedName>
    <definedName name="_xlnm.Print_Area" localSheetId="729">Marsh!$A$1:$F$52</definedName>
    <definedName name="_xlnm.Print_Area" localSheetId="730">'Mary Ann'!$A$1:$H$53</definedName>
    <definedName name="_xlnm.Print_Area" localSheetId="595">'Mary Ann Harriss'!$A$1:$H$54</definedName>
    <definedName name="_xlnm.Print_Area" localSheetId="588">'Matahari '!$A$1:$H$57</definedName>
    <definedName name="_xlnm.Print_Area" localSheetId="728">'Max-Airplay'!$A$1:$F$52</definedName>
    <definedName name="_xlnm.Print_Area" localSheetId="688">'MB Exhibitions'!$A$1:$H$55</definedName>
    <definedName name="_xlnm.Print_Area" localSheetId="594">'Media Hub'!$A$1:$H$52</definedName>
    <definedName name="_xlnm.Print_Area" localSheetId="731">'Media Transasia'!$A$1:$H$55</definedName>
    <definedName name="_xlnm.Print_Area" localSheetId="708">Mediacorp!$A$1:$H$54</definedName>
    <definedName name="_xlnm.Print_Area" localSheetId="736">Meru!$A$1:$H$55</definedName>
    <definedName name="_xlnm.Print_Area" localSheetId="747">Messe!$A$1:$H$55</definedName>
    <definedName name="_xlnm.Print_Area" localSheetId="704">'Metro Green Adventure'!$A$1:$H$54</definedName>
    <definedName name="_xlnm.Print_Area" localSheetId="693">'Metro View'!$A$1:$F$59</definedName>
    <definedName name="_xlnm.Print_Area" localSheetId="762">MGS!$A$1:$F$52</definedName>
    <definedName name="_xlnm.Print_Area" localSheetId="741">'Mind Sense'!$A$1:$F$53</definedName>
    <definedName name="_xlnm.Print_Area" localSheetId="715">Mirzal!$A$1:$F$52</definedName>
    <definedName name="_xlnm.Print_Area" localSheetId="691">'Mode Tour'!$A$1:$H$66</definedName>
    <definedName name="_xlnm.Print_Area" localSheetId="710">Mohammad!$A$1:$H$54</definedName>
    <definedName name="_xlnm.Print_Area" localSheetId="702">'Mohd Izuddin'!$A$1:$H$52</definedName>
    <definedName name="_xlnm.Print_Area" localSheetId="711">'Mohd Shahrizan'!$A$1:$H$54</definedName>
    <definedName name="_xlnm.Print_Area" localSheetId="689">'Mon Reve'!$A$1:$H$57</definedName>
    <definedName name="_xlnm.Print_Area" localSheetId="590">'Monkey Ideas Event'!$A$1:$H$54</definedName>
    <definedName name="_xlnm.Print_Area" localSheetId="753">Moonlight!$A$1:$F$52</definedName>
    <definedName name="_xlnm.Print_Area" localSheetId="591">Motivate!$A$1:$H$53</definedName>
    <definedName name="_xlnm.Print_Area" localSheetId="587">Movinlight!$A$1:$H$54</definedName>
    <definedName name="_xlnm.Print_Area" localSheetId="734">MSIG!$A$1:$H$55</definedName>
    <definedName name="_xlnm.Print_Area" localSheetId="698">'My Horizon'!$A$1:$H$54</definedName>
    <definedName name="_xlnm.Print_Area" localSheetId="716">'My Passion'!$A$1:$H$55</definedName>
    <definedName name="_xlnm.Print_Area" localSheetId="774">Myceb!$A$1:$F$53</definedName>
    <definedName name="_xlnm.Print_Area" localSheetId="586">MyGap!$A$1:$H$53</definedName>
    <definedName name="_xlnm.Print_Area" localSheetId="370">Obgyn!$A$1:$F$50</definedName>
    <definedName name="_xlnm.Print_Area" localSheetId="372">'One FM'!$A$1:$F$52</definedName>
    <definedName name="_xlnm.Print_Area" localSheetId="598">'Ong Ah Teong'!$A$1:$H$54</definedName>
    <definedName name="_xlnm.Print_Area" localSheetId="9">'PY Blank Copy'!$A$1:$F$53</definedName>
    <definedName name="_xlnm.Print_Area" localSheetId="583">'Tan Sam Soon'!$A$1:$H$54</definedName>
    <definedName name="_xlnm.Print_Area" localSheetId="414">Travelogy!$A$1:$H$54</definedName>
    <definedName name="_xlnm.Print_Area" localSheetId="580">'YB Dato'' Abdul Malik'!$A$1:$H$54</definedName>
    <definedName name="_xlnm.Print_Area" localSheetId="578">'Yeoh Soon Hin'!$A$1:$H$54</definedName>
    <definedName name="teb" localSheetId="15">{"";"";"Twenty";"Thirty";"Forty";"Fifty";"Sixty";"Seventy";"Eighty";"Ninety"}</definedName>
    <definedName name="teb" localSheetId="13">{"";"";"Twenty";"Thirty";"Forty";"Fifty";"Sixty";"Seventy";"Eighty";"Ninety"}</definedName>
    <definedName name="teb" localSheetId="48">{"";"";"Twenty";"Thirty";"Forty";"Fifty";"Sixty";"Seventy";"Eighty";"Ninety"}</definedName>
    <definedName name="teb" localSheetId="24">{"";"";"Twenty";"Thirty";"Forty";"Fifty";"Sixty";"Seventy";"Eighty";"Ninety"}</definedName>
    <definedName name="teb" localSheetId="25">{"";"";"Twenty";"Thirty";"Forty";"Fifty";"Sixty";"Seventy";"Eighty";"Ninety"}</definedName>
    <definedName name="teb" localSheetId="19">{"";"";"Twenty";"Thirty";"Forty";"Fifty";"Sixty";"Seventy";"Eighty";"Ninety"}</definedName>
    <definedName name="teb" localSheetId="47">{"";"";"Twenty";"Thirty";"Forty";"Fifty";"Sixty";"Seventy";"Eighty";"Ninety"}</definedName>
    <definedName name="teb" localSheetId="1">{"";"";"Twenty";"Thirty";"Forty";"Fifty";"Sixty";"Seventy";"Eighty";"Ninety"}</definedName>
    <definedName name="teb" localSheetId="2">{"";"";"Twenty";"Thirty";"Forty";"Fifty";"Sixty";"Seventy";"Eighty";"Ninety"}</definedName>
    <definedName name="teb" localSheetId="46">{"";"";"Twenty";"Thirty";"Forty";"Fifty";"Sixty";"Seventy";"Eighty";"Ninety"}</definedName>
    <definedName name="teb" localSheetId="53">{"";"";"Twenty";"Thirty";"Forty";"Fifty";"Sixty";"Seventy";"Eighty";"Ninety"}</definedName>
    <definedName name="teb" localSheetId="165">{"";"";"Twenty";"Thirty";"Forty";"Fifty";"Sixty";"Seventy";"Eighty";"Ninety"}</definedName>
    <definedName name="teb" localSheetId="170">{"";"";"Twenty";"Thirty";"Forty";"Fifty";"Sixty";"Seventy";"Eighty";"Ninety"}</definedName>
    <definedName name="teb" localSheetId="164">{"";"";"Twenty";"Thirty";"Forty";"Fifty";"Sixty";"Seventy";"Eighty";"Ninety"}</definedName>
    <definedName name="teb" localSheetId="166">{"";"";"Twenty";"Thirty";"Forty";"Fifty";"Sixty";"Seventy";"Eighty";"Ninety"}</definedName>
    <definedName name="teb" localSheetId="157">{"";"";"Twenty";"Thirty";"Forty";"Fifty";"Sixty";"Seventy";"Eighty";"Ninety"}</definedName>
    <definedName name="teb" localSheetId="171">{"";"";"Twenty";"Thirty";"Forty";"Fifty";"Sixty";"Seventy";"Eighty";"Ninety"}</definedName>
    <definedName name="teb" localSheetId="94">{"";"";"Twenty";"Thirty";"Forty";"Fifty";"Sixty";"Seventy";"Eighty";"Ninety"}</definedName>
    <definedName name="teb" localSheetId="265">{"";"";"Twenty";"Thirty";"Forty";"Fifty";"Sixty";"Seventy";"Eighty";"Ninety"}</definedName>
    <definedName name="teb" localSheetId="276">{"";"";"Twenty";"Thirty";"Forty";"Fifty";"Sixty";"Seventy";"Eighty";"Ninety"}</definedName>
    <definedName name="teb" localSheetId="100">{"";"";"Twenty";"Thirty";"Forty";"Fifty";"Sixty";"Seventy";"Eighty";"Ninety"}</definedName>
    <definedName name="teb" localSheetId="102">{"";"";"Twenty";"Thirty";"Forty";"Fifty";"Sixty";"Seventy";"Eighty";"Ninety"}</definedName>
    <definedName name="teb" localSheetId="284">{"";"";"Twenty";"Thirty";"Forty";"Fifty";"Sixty";"Seventy";"Eighty";"Ninety"}</definedName>
    <definedName name="teb" localSheetId="269">{"";"";"Twenty";"Thirty";"Forty";"Fifty";"Sixty";"Seventy";"Eighty";"Ninety"}</definedName>
    <definedName name="teb" localSheetId="101">{"";"";"Twenty";"Thirty";"Forty";"Fifty";"Sixty";"Seventy";"Eighty";"Ninety"}</definedName>
    <definedName name="teb" localSheetId="92">{"";"";"Twenty";"Thirty";"Forty";"Fifty";"Sixty";"Seventy";"Eighty";"Ninety"}</definedName>
    <definedName name="teb" localSheetId="98">{"";"";"Twenty";"Thirty";"Forty";"Fifty";"Sixty";"Seventy";"Eighty";"Ninety"}</definedName>
    <definedName name="teb" localSheetId="579">{"";"";"Twenty";"Thirty";"Forty";"Fifty";"Sixty";"Seventy";"Eighty";"Ninety"}</definedName>
    <definedName name="teb" localSheetId="304">{"";"";"Twenty";"Thirty";"Forty";"Fifty";"Sixty";"Seventy";"Eighty";"Ninety"}</definedName>
    <definedName name="teb" localSheetId="305">{"";"";"Twenty";"Thirty";"Forty";"Fifty";"Sixty";"Seventy";"Eighty";"Ninety"}</definedName>
    <definedName name="teb" localSheetId="83">{"";"";"Twenty";"Thirty";"Forty";"Fifty";"Sixty";"Seventy";"Eighty";"Ninety"}</definedName>
    <definedName name="teb" localSheetId="106">{"";"";"Twenty";"Thirty";"Forty";"Fifty";"Sixty";"Seventy";"Eighty";"Ninety"}</definedName>
    <definedName name="teb" localSheetId="108">{"";"";"Twenty";"Thirty";"Forty";"Fifty";"Sixty";"Seventy";"Eighty";"Ninety"}</definedName>
    <definedName name="teb" localSheetId="385">{"";"";"Twenty";"Thirty";"Forty";"Fifty";"Sixty";"Seventy";"Eighty";"Ninety"}</definedName>
    <definedName name="teb" localSheetId="378">{"";"";"Twenty";"Thirty";"Forty";"Fifty";"Sixty";"Seventy";"Eighty";"Ninety"}</definedName>
    <definedName name="teb" localSheetId="382">{"";"";"Twenty";"Thirty";"Forty";"Fifty";"Sixty";"Seventy";"Eighty";"Ninety"}</definedName>
    <definedName name="teb" localSheetId="389">{"";"";"Twenty";"Thirty";"Forty";"Fifty";"Sixty";"Seventy";"Eighty";"Ninety"}</definedName>
    <definedName name="teb" localSheetId="391">{"";"";"Twenty";"Thirty";"Forty";"Fifty";"Sixty";"Seventy";"Eighty";"Ninety"}</definedName>
    <definedName name="teb" localSheetId="417">{"";"";"Twenty";"Thirty";"Forty";"Fifty";"Sixty";"Seventy";"Eighty";"Ninety"}</definedName>
    <definedName name="teb" localSheetId="424">{"";"";"Twenty";"Thirty";"Forty";"Fifty";"Sixty";"Seventy";"Eighty";"Ninety"}</definedName>
    <definedName name="teb" localSheetId="412">{"";"";"Twenty";"Thirty";"Forty";"Fifty";"Sixty";"Seventy";"Eighty";"Ninety"}</definedName>
    <definedName name="teb" localSheetId="421">{"";"";"Twenty";"Thirty";"Forty";"Fifty";"Sixty";"Seventy";"Eighty";"Ninety"}</definedName>
    <definedName name="teb" localSheetId="437">{"";"";"Twenty";"Thirty";"Forty";"Fifty";"Sixty";"Seventy";"Eighty";"Ninety"}</definedName>
    <definedName name="teb" localSheetId="418">{"";"";"Twenty";"Thirty";"Forty";"Fifty";"Sixty";"Seventy";"Eighty";"Ninety"}</definedName>
    <definedName name="teb" localSheetId="413">{"";"";"Twenty";"Thirty";"Forty";"Fifty";"Sixty";"Seventy";"Eighty";"Ninety"}</definedName>
    <definedName name="teb" localSheetId="432">{"";"";"Twenty";"Thirty";"Forty";"Fifty";"Sixty";"Seventy";"Eighty";"Ninety"}</definedName>
    <definedName name="teb" localSheetId="463">{"";"";"Twenty";"Thirty";"Forty";"Fifty";"Sixty";"Seventy";"Eighty";"Ninety"}</definedName>
    <definedName name="teb" localSheetId="500">{"";"";"Twenty";"Thirty";"Forty";"Fifty";"Sixty";"Seventy";"Eighty";"Ninety"}</definedName>
    <definedName name="teb" localSheetId="501">{"";"";"Twenty";"Thirty";"Forty";"Fifty";"Sixty";"Seventy";"Eighty";"Ninety"}</definedName>
    <definedName name="teb" localSheetId="538">{"";"";"Twenty";"Thirty";"Forty";"Fifty";"Sixty";"Seventy";"Eighty";"Ninety"}</definedName>
    <definedName name="teb" localSheetId="546">{"";"";"Twenty";"Thirty";"Forty";"Fifty";"Sixty";"Seventy";"Eighty";"Ninety"}</definedName>
    <definedName name="teb" localSheetId="545">{"";"";"Twenty";"Thirty";"Forty";"Fifty";"Sixty";"Seventy";"Eighty";"Ninety"}</definedName>
    <definedName name="teb" localSheetId="539">{"";"";"Twenty";"Thirty";"Forty";"Fifty";"Sixty";"Seventy";"Eighty";"Ninety"}</definedName>
    <definedName name="teb" localSheetId="530">{"";"";"Twenty";"Thirty";"Forty";"Fifty";"Sixty";"Seventy";"Eighty";"Ninety"}</definedName>
    <definedName name="teb" localSheetId="520">{"";"";"Twenty";"Thirty";"Forty";"Fifty";"Sixty";"Seventy";"Eighty";"Ninety"}</definedName>
    <definedName name="teb" localSheetId="532">{"";"";"Twenty";"Thirty";"Forty";"Fifty";"Sixty";"Seventy";"Eighty";"Ninety"}</definedName>
    <definedName name="teb" localSheetId="519">{"";"";"Twenty";"Thirty";"Forty";"Fifty";"Sixty";"Seventy";"Eighty";"Ninety"}</definedName>
    <definedName name="teb" localSheetId="533">{"";"";"Twenty";"Thirty";"Forty";"Fifty";"Sixty";"Seventy";"Eighty";"Ninety"}</definedName>
    <definedName name="teb" localSheetId="565">{"";"";"Twenty";"Thirty";"Forty";"Fifty";"Sixty";"Seventy";"Eighty";"Ninety"}</definedName>
    <definedName name="teb" localSheetId="573">{"";"";"Twenty";"Thirty";"Forty";"Fifty";"Sixty";"Seventy";"Eighty";"Ninety"}</definedName>
    <definedName name="teb" localSheetId="606">{"";"";"Twenty";"Thirty";"Forty";"Fifty";"Sixty";"Seventy";"Eighty";"Ninety"}</definedName>
    <definedName name="teb" localSheetId="600">{"";"";"Twenty";"Thirty";"Forty";"Fifty";"Sixty";"Seventy";"Eighty";"Ninety"}</definedName>
    <definedName name="teb" localSheetId="740">{"";"";"Twenty";"Thirty";"Forty";"Fifty";"Sixty";"Seventy";"Eighty";"Ninety"}</definedName>
    <definedName name="teb" localSheetId="720">{"";"";"Twenty";"Thirty";"Forty";"Fifty";"Sixty";"Seventy";"Eighty";"Ninety"}</definedName>
    <definedName name="teb" localSheetId="592">{"";"";"Twenty";"Thirty";"Forty";"Fifty";"Sixty";"Seventy";"Eighty";"Ninety"}</definedName>
    <definedName name="teb" localSheetId="691">{"";"";"Twenty";"Thirty";"Forty";"Fifty";"Sixty";"Seventy";"Eighty";"Ninety"}</definedName>
    <definedName name="teb" localSheetId="774">{"";"";"Twenty";"Thirty";"Forty";"Fifty";"Sixty";"Seventy";"Eighty";"Ninety"}</definedName>
    <definedName name="teb" localSheetId="586">{"";"";"Twenty";"Thirty";"Forty";"Fifty";"Sixty";"Seventy";"Eighty";"Ninety"}</definedName>
    <definedName name="teb" localSheetId="415">{"";"";"Twenty";"Thirty";"Forty";"Fifty";"Sixty";"Seventy";"Eighty";"Ninety"}</definedName>
    <definedName name="teb" localSheetId="372">{"";"";"Twenty";"Thirty";"Forty";"Fifty";"Sixty";"Seventy";"Eighty";"Ninety"}</definedName>
    <definedName name="teb" localSheetId="719">{"";"";"Twenty";"Thirty";"Forty";"Fifty";"Sixty";"Seventy";"Eighty";"Ninety"}</definedName>
    <definedName name="teb" localSheetId="414">{"";"";"Twenty";"Thirty";"Forty";"Fifty";"Sixty";"Seventy";"Eighty";"Ninety"}</definedName>
    <definedName name="teb" localSheetId="578">{"";"";"Twenty";"Thirty";"Forty";"Fifty";"Sixty";"Seventy";"Eighty";"Ninety"}</definedName>
    <definedName name="teb">{"";"";"Twenty";"Thirty";"Forty";"Fifty";"Sixty";"Seventy";"Eighty";"Ninety"}</definedName>
    <definedName name="tens" localSheetId="4">{"";"";"Twenty";"Thirty";"Forty";"Fifty";"Sixty";"Seventy";"Eighty";"Ninety"}</definedName>
    <definedName name="tens" localSheetId="43">{"";"";"Twenty";"Thirty";"Forty";"Fifty";"Sixty";"Seventy";"Eighty";"Ninety"}</definedName>
    <definedName name="tens" localSheetId="56">{"";"";"Twenty";"Thirty";"Forty";"Fifty";"Sixty";"Seventy";"Eighty";"Ninety"}</definedName>
    <definedName name="tens" localSheetId="58">{"";"";"Twenty";"Thirty";"Forty";"Fifty";"Sixty";"Seventy";"Eighty";"Ninety"}</definedName>
    <definedName name="tens" localSheetId="45">{"";"";"Twenty";"Thirty";"Forty";"Fifty";"Sixty";"Seventy";"Eighty";"Ninety"}</definedName>
    <definedName name="tens" localSheetId="41">{"";"";"Twenty";"Thirty";"Forty";"Fifty";"Sixty";"Seventy";"Eighty";"Ninety"}</definedName>
    <definedName name="tens" localSheetId="42">{"";"";"Twenty";"Thirty";"Forty";"Fifty";"Sixty";"Seventy";"Eighty";"Ninety"}</definedName>
    <definedName name="tens" localSheetId="5">{"";"";"Twenty";"Thirty";"Forty";"Fifty";"Sixty";"Seventy";"Eighty";"Ninety"}</definedName>
    <definedName name="tens" localSheetId="59">{"";"";"Twenty";"Thirty";"Forty";"Fifty";"Sixty";"Seventy";"Eighty";"Ninety"}</definedName>
    <definedName name="tens" localSheetId="27">{"";"";"Twenty";"Thirty";"Forty";"Fifty";"Sixty";"Seventy";"Eighty";"Ninety"}</definedName>
    <definedName name="tens" localSheetId="36">{"";"";"Twenty";"Thirty";"Forty";"Fifty";"Sixty";"Seventy";"Eighty";"Ninety"}</definedName>
    <definedName name="tens" localSheetId="38">{"";"";"Twenty";"Thirty";"Forty";"Fifty";"Sixty";"Seventy";"Eighty";"Ninety"}</definedName>
    <definedName name="tens" localSheetId="131">{"";"";"Twenty";"Thirty";"Forty";"Fifty";"Sixty";"Seventy";"Eighty";"Ninety"}</definedName>
    <definedName name="tens" localSheetId="15">{"";"";"Twenty";"Thirty";"Forty";"Fifty";"Sixty";"Seventy";"Eighty";"Ninety"}</definedName>
    <definedName name="tens" localSheetId="37">{"";"";"Twenty";"Thirty";"Forty";"Fifty";"Sixty";"Seventy";"Eighty";"Ninety"}</definedName>
    <definedName name="tens" localSheetId="16">{"";"";"Twenty";"Thirty";"Forty";"Fifty";"Sixty";"Seventy";"Eighty";"Ninety"}</definedName>
    <definedName name="tens" localSheetId="51">{"";"";"Twenty";"Thirty";"Forty";"Fifty";"Sixty";"Seventy";"Eighty";"Ninety"}</definedName>
    <definedName name="tens" localSheetId="14">{"";"";"Twenty";"Thirty";"Forty";"Fifty";"Sixty";"Seventy";"Eighty";"Ninety"}</definedName>
    <definedName name="tens" localSheetId="13">{"";"";"Twenty";"Thirty";"Forty";"Fifty";"Sixty";"Seventy";"Eighty";"Ninety"}</definedName>
    <definedName name="tens" localSheetId="141">{"";"";"Twenty";"Thirty";"Forty";"Fifty";"Sixty";"Seventy";"Eighty";"Ninety"}</definedName>
    <definedName name="tens" localSheetId="40">{"";"";"Twenty";"Thirty";"Forty";"Fifty";"Sixty";"Seventy";"Eighty";"Ninety"}</definedName>
    <definedName name="tens" localSheetId="30">{"";"";"Twenty";"Thirty";"Forty";"Fifty";"Sixty";"Seventy";"Eighty";"Ninety"}</definedName>
    <definedName name="tens" localSheetId="52">{"";"";"Twenty";"Thirty";"Forty";"Fifty";"Sixty";"Seventy";"Eighty";"Ninety"}</definedName>
    <definedName name="tens" localSheetId="48">{"";"";"Twenty";"Thirty";"Forty";"Fifty";"Sixty";"Seventy";"Eighty";"Ninety"}</definedName>
    <definedName name="tens" localSheetId="32">{"";"";"Twenty";"Thirty";"Forty";"Fifty";"Sixty";"Seventy";"Eighty";"Ninety"}</definedName>
    <definedName name="tens" localSheetId="44">{"";"";"Twenty";"Thirty";"Forty";"Fifty";"Sixty";"Seventy";"Eighty";"Ninety"}</definedName>
    <definedName name="tens" localSheetId="24">{"";"";"Twenty";"Thirty";"Forty";"Fifty";"Sixty";"Seventy";"Eighty";"Ninety"}</definedName>
    <definedName name="tens" localSheetId="25">{"";"";"Twenty";"Thirty";"Forty";"Fifty";"Sixty";"Seventy";"Eighty";"Ninety"}</definedName>
    <definedName name="tens" localSheetId="54">{"";"";"Twenty";"Thirty";"Forty";"Fifty";"Sixty";"Seventy";"Eighty";"Ninety"}</definedName>
    <definedName name="tens" localSheetId="33">{"";"";"Twenty";"Thirty";"Forty";"Fifty";"Sixty";"Seventy";"Eighty";"Ninety"}</definedName>
    <definedName name="tens" localSheetId="17">{"";"";"Twenty";"Thirty";"Forty";"Fifty";"Sixty";"Seventy";"Eighty";"Ninety"}</definedName>
    <definedName name="tens" localSheetId="21">{"";"";"Twenty";"Thirty";"Forty";"Fifty";"Sixty";"Seventy";"Eighty";"Ninety"}</definedName>
    <definedName name="tens" localSheetId="61">{"";"";"Twenty";"Thirty";"Forty";"Fifty";"Sixty";"Seventy";"Eighty";"Ninety"}</definedName>
    <definedName name="tens" localSheetId="29">{"";"";"Twenty";"Thirty";"Forty";"Fifty";"Sixty";"Seventy";"Eighty";"Ninety"}</definedName>
    <definedName name="tens" localSheetId="20">{"";"";"Twenty";"Thirty";"Forty";"Fifty";"Sixty";"Seventy";"Eighty";"Ninety"}</definedName>
    <definedName name="tens" localSheetId="60">{"";"";"Twenty";"Thirty";"Forty";"Fifty";"Sixty";"Seventy";"Eighty";"Ninety"}</definedName>
    <definedName name="tens" localSheetId="35">{"";"";"Twenty";"Thirty";"Forty";"Fifty";"Sixty";"Seventy";"Eighty";"Ninety"}</definedName>
    <definedName name="tens" localSheetId="49">{"";"";"Twenty";"Thirty";"Forty";"Fifty";"Sixty";"Seventy";"Eighty";"Ninety"}</definedName>
    <definedName name="tens" localSheetId="23">{"";"";"Twenty";"Thirty";"Forty";"Fifty";"Sixty";"Seventy";"Eighty";"Ninety"}</definedName>
    <definedName name="tens" localSheetId="66">{"";"";"Twenty";"Thirty";"Forty";"Fifty";"Sixty";"Seventy";"Eighty";"Ninety"}</definedName>
    <definedName name="tens" localSheetId="28">{"";"";"Twenty";"Thirty";"Forty";"Fifty";"Sixty";"Seventy";"Eighty";"Ninety"}</definedName>
    <definedName name="tens" localSheetId="57">{"";"";"Twenty";"Thirty";"Forty";"Fifty";"Sixty";"Seventy";"Eighty";"Ninety"}</definedName>
    <definedName name="tens" localSheetId="19">{"";"";"Twenty";"Thirty";"Forty";"Fifty";"Sixty";"Seventy";"Eighty";"Ninety"}</definedName>
    <definedName name="tens" localSheetId="147">{"";"";"Twenty";"Thirty";"Forty";"Fifty";"Sixty";"Seventy";"Eighty";"Ninety"}</definedName>
    <definedName name="tens" localSheetId="26">{"";"";"Twenty";"Thirty";"Forty";"Fifty";"Sixty";"Seventy";"Eighty";"Ninety"}</definedName>
    <definedName name="tens" localSheetId="47">{"";"";"Twenty";"Thirty";"Forty";"Fifty";"Sixty";"Seventy";"Eighty";"Ninety"}</definedName>
    <definedName name="tens" localSheetId="50">{"";"";"Twenty";"Thirty";"Forty";"Fifty";"Sixty";"Seventy";"Eighty";"Ninety"}</definedName>
    <definedName name="tens" localSheetId="34">{"";"";"Twenty";"Thirty";"Forty";"Fifty";"Sixty";"Seventy";"Eighty";"Ninety"}</definedName>
    <definedName name="tens" localSheetId="1">{"";"";"Twenty";"Thirty";"Forty";"Fifty";"Sixty";"Seventy";"Eighty";"Ninety"}</definedName>
    <definedName name="tens" localSheetId="2">{"";"";"Twenty";"Thirty";"Forty";"Fifty";"Sixty";"Seventy";"Eighty";"Ninety"}</definedName>
    <definedName name="tens" localSheetId="130">{"";"";"Twenty";"Thirty";"Forty";"Fifty";"Sixty";"Seventy";"Eighty";"Ninety"}</definedName>
    <definedName name="tens" localSheetId="31">{"";"";"Twenty";"Thirty";"Forty";"Fifty";"Sixty";"Seventy";"Eighty";"Ninety"}</definedName>
    <definedName name="tens" localSheetId="46">{"";"";"Twenty";"Thirty";"Forty";"Fifty";"Sixty";"Seventy";"Eighty";"Ninety"}</definedName>
    <definedName name="tens" localSheetId="65">{"";"";"Twenty";"Thirty";"Forty";"Fifty";"Sixty";"Seventy";"Eighty";"Ninety"}</definedName>
    <definedName name="tens" localSheetId="22">{"";"";"Twenty";"Thirty";"Forty";"Fifty";"Sixty";"Seventy";"Eighty";"Ninety"}</definedName>
    <definedName name="tens" localSheetId="53">{"";"";"Twenty";"Thirty";"Forty";"Fifty";"Sixty";"Seventy";"Eighty";"Ninety"}</definedName>
    <definedName name="tens" localSheetId="145">{"";"";"Twenty";"Thirty";"Forty";"Fifty";"Sixty";"Seventy";"Eighty";"Ninety"}</definedName>
    <definedName name="tens" localSheetId="39">{"";"";"Twenty";"Thirty";"Forty";"Fifty";"Sixty";"Seventy";"Eighty";"Ninety"}</definedName>
    <definedName name="tens" localSheetId="18">{"";"";"Twenty";"Thirty";"Forty";"Fifty";"Sixty";"Seventy";"Eighty";"Ninety"}</definedName>
    <definedName name="tens" localSheetId="158">{"";"";"Twenty";"Thirty";"Forty";"Fifty";"Sixty";"Seventy";"Eighty";"Ninety"}</definedName>
    <definedName name="tens" localSheetId="184">{"";"";"Twenty";"Thirty";"Forty";"Fifty";"Sixty";"Seventy";"Eighty";"Ninety"}</definedName>
    <definedName name="tens" localSheetId="167">{"";"";"Twenty";"Thirty";"Forty";"Fifty";"Sixty";"Seventy";"Eighty";"Ninety"}</definedName>
    <definedName name="tens" localSheetId="179">{"";"";"Twenty";"Thirty";"Forty";"Fifty";"Sixty";"Seventy";"Eighty";"Ninety"}</definedName>
    <definedName name="tens" localSheetId="190">{"";"";"Twenty";"Thirty";"Forty";"Fifty";"Sixty";"Seventy";"Eighty";"Ninety"}</definedName>
    <definedName name="tens" localSheetId="162">{"";"";"Twenty";"Thirty";"Forty";"Fifty";"Sixty";"Seventy";"Eighty";"Ninety"}</definedName>
    <definedName name="tens" localSheetId="165">{"";"";"Twenty";"Thirty";"Forty";"Fifty";"Sixty";"Seventy";"Eighty";"Ninety"}</definedName>
    <definedName name="tens" localSheetId="10">{"";"";"Twenty";"Thirty";"Forty";"Fifty";"Sixty";"Seventy";"Eighty";"Ninety"}</definedName>
    <definedName name="tens" localSheetId="186">{"";"";"Twenty";"Thirty";"Forty";"Fifty";"Sixty";"Seventy";"Eighty";"Ninety"}</definedName>
    <definedName name="tens" localSheetId="173">{"";"";"Twenty";"Thirty";"Forty";"Fifty";"Sixty";"Seventy";"Eighty";"Ninety"}</definedName>
    <definedName name="tens" localSheetId="170">{"";"";"Twenty";"Thirty";"Forty";"Fifty";"Sixty";"Seventy";"Eighty";"Ninety"}</definedName>
    <definedName name="tens" localSheetId="163">{"";"";"Twenty";"Thirty";"Forty";"Fifty";"Sixty";"Seventy";"Eighty";"Ninety"}</definedName>
    <definedName name="tens" localSheetId="176">{"";"";"Twenty";"Thirty";"Forty";"Fifty";"Sixty";"Seventy";"Eighty";"Ninety"}</definedName>
    <definedName name="tens" localSheetId="174">{"";"";"Twenty";"Thirty";"Forty";"Fifty";"Sixty";"Seventy";"Eighty";"Ninety"}</definedName>
    <definedName name="tens" localSheetId="182">{"";"";"Twenty";"Thirty";"Forty";"Fifty";"Sixty";"Seventy";"Eighty";"Ninety"}</definedName>
    <definedName name="tens" localSheetId="164">{"";"";"Twenty";"Thirty";"Forty";"Fifty";"Sixty";"Seventy";"Eighty";"Ninety"}</definedName>
    <definedName name="tens" localSheetId="166">{"";"";"Twenty";"Thirty";"Forty";"Fifty";"Sixty";"Seventy";"Eighty";"Ninety"}</definedName>
    <definedName name="tens" localSheetId="11">{"";"";"Twenty";"Thirty";"Forty";"Fifty";"Sixty";"Seventy";"Eighty";"Ninety"}</definedName>
    <definedName name="tens" localSheetId="172">{"";"";"Twenty";"Thirty";"Forty";"Fifty";"Sixty";"Seventy";"Eighty";"Ninety"}</definedName>
    <definedName name="tens" localSheetId="175">{"";"";"Twenty";"Thirty";"Forty";"Fifty";"Sixty";"Seventy";"Eighty";"Ninety"}</definedName>
    <definedName name="tens" localSheetId="157">{"";"";"Twenty";"Thirty";"Forty";"Fifty";"Sixty";"Seventy";"Eighty";"Ninety"}</definedName>
    <definedName name="tens" localSheetId="12">{"";"";"Twenty";"Thirty";"Forty";"Fifty";"Sixty";"Seventy";"Eighty";"Ninety"}</definedName>
    <definedName name="tens" localSheetId="171">{"";"";"Twenty";"Thirty";"Forty";"Fifty";"Sixty";"Seventy";"Eighty";"Ninety"}</definedName>
    <definedName name="tens" localSheetId="189">{"";"";"Twenty";"Thirty";"Forty";"Fifty";"Sixty";"Seventy";"Eighty";"Ninety"}</definedName>
    <definedName name="tens" localSheetId="177">{"";"";"Twenty";"Thirty";"Forty";"Fifty";"Sixty";"Seventy";"Eighty";"Ninety"}</definedName>
    <definedName name="tens" localSheetId="161">{"";"";"Twenty";"Thirty";"Forty";"Fifty";"Sixty";"Seventy";"Eighty";"Ninety"}</definedName>
    <definedName name="tens" localSheetId="155">{"";"";"Twenty";"Thirty";"Forty";"Fifty";"Sixty";"Seventy";"Eighty";"Ninety"}</definedName>
    <definedName name="tens" localSheetId="160">{"";"";"Twenty";"Thirty";"Forty";"Fifty";"Sixty";"Seventy";"Eighty";"Ninety"}</definedName>
    <definedName name="tens" localSheetId="168">{"";"";"Twenty";"Thirty";"Forty";"Fifty";"Sixty";"Seventy";"Eighty";"Ninety"}</definedName>
    <definedName name="tens" localSheetId="169">{"";"";"Twenty";"Thirty";"Forty";"Fifty";"Sixty";"Seventy";"Eighty";"Ninety"}</definedName>
    <definedName name="tens" localSheetId="156">{"";"";"Twenty";"Thirty";"Forty";"Fifty";"Sixty";"Seventy";"Eighty";"Ninety"}</definedName>
    <definedName name="tens" localSheetId="281">{"";"";"Twenty";"Thirty";"Forty";"Fifty";"Sixty";"Seventy";"Eighty";"Ninety"}</definedName>
    <definedName name="tens" localSheetId="104">{"";"";"Twenty";"Thirty";"Forty";"Fifty";"Sixty";"Seventy";"Eighty";"Ninety"}</definedName>
    <definedName name="tens" localSheetId="272">{"";"";"Twenty";"Thirty";"Forty";"Fifty";"Sixty";"Seventy";"Eighty";"Ninety"}</definedName>
    <definedName name="tens" localSheetId="261">{"";"";"Twenty";"Thirty";"Forty";"Fifty";"Sixty";"Seventy";"Eighty";"Ninety"}</definedName>
    <definedName name="tens" localSheetId="282">{"";"";"Twenty";"Thirty";"Forty";"Fifty";"Sixty";"Seventy";"Eighty";"Ninety"}</definedName>
    <definedName name="tens" localSheetId="264">{"";"";"Twenty";"Thirty";"Forty";"Fifty";"Sixty";"Seventy";"Eighty";"Ninety"}</definedName>
    <definedName name="tens" localSheetId="204">{"";"";"Twenty";"Thirty";"Forty";"Fifty";"Sixty";"Seventy";"Eighty";"Ninety"}</definedName>
    <definedName name="tens" localSheetId="270">{"";"";"Twenty";"Thirty";"Forty";"Fifty";"Sixty";"Seventy";"Eighty";"Ninety"}</definedName>
    <definedName name="tens" localSheetId="94">{"";"";"Twenty";"Thirty";"Forty";"Fifty";"Sixty";"Seventy";"Eighty";"Ninety"}</definedName>
    <definedName name="tens" localSheetId="277">{"";"";"Twenty";"Thirty";"Forty";"Fifty";"Sixty";"Seventy";"Eighty";"Ninety"}</definedName>
    <definedName name="tens" localSheetId="259">{"";"";"Twenty";"Thirty";"Forty";"Fifty";"Sixty";"Seventy";"Eighty";"Ninety"}</definedName>
    <definedName name="tens" localSheetId="280">{"";"";"Twenty";"Thirty";"Forty";"Fifty";"Sixty";"Seventy";"Eighty";"Ninety"}</definedName>
    <definedName name="tens" localSheetId="253">{"";"";"Twenty";"Thirty";"Forty";"Fifty";"Sixty";"Seventy";"Eighty";"Ninety"}</definedName>
    <definedName name="tens" localSheetId="265">{"";"";"Twenty";"Thirty";"Forty";"Fifty";"Sixty";"Seventy";"Eighty";"Ninety"}</definedName>
    <definedName name="tens" localSheetId="286">{"";"";"Twenty";"Thirty";"Forty";"Fifty";"Sixty";"Seventy";"Eighty";"Ninety"}</definedName>
    <definedName name="tens" localSheetId="93">{"";"";"Twenty";"Thirty";"Forty";"Fifty";"Sixty";"Seventy";"Eighty";"Ninety"}</definedName>
    <definedName name="tens" localSheetId="262">{"";"";"Twenty";"Thirty";"Forty";"Fifty";"Sixty";"Seventy";"Eighty";"Ninety"}</definedName>
    <definedName name="tens" localSheetId="278">{"";"";"Twenty";"Thirty";"Forty";"Fifty";"Sixty";"Seventy";"Eighty";"Ninety"}</definedName>
    <definedName name="tens" localSheetId="255">{"";"";"Twenty";"Thirty";"Forty";"Fifty";"Sixty";"Seventy";"Eighty";"Ninety"}</definedName>
    <definedName name="tens" localSheetId="254">{"";"";"Twenty";"Thirty";"Forty";"Fifty";"Sixty";"Seventy";"Eighty";"Ninety"}</definedName>
    <definedName name="tens" localSheetId="266">{"";"";"Twenty";"Thirty";"Forty";"Fifty";"Sixty";"Seventy";"Eighty";"Ninety"}</definedName>
    <definedName name="tens" localSheetId="242">{"";"";"Twenty";"Thirty";"Forty";"Fifty";"Sixty";"Seventy";"Eighty";"Ninety"}</definedName>
    <definedName name="tens" localSheetId="279">{"";"";"Twenty";"Thirty";"Forty";"Fifty";"Sixty";"Seventy";"Eighty";"Ninety"}</definedName>
    <definedName name="tens" localSheetId="252">{"";"";"Twenty";"Thirty";"Forty";"Fifty";"Sixty";"Seventy";"Eighty";"Ninety"}</definedName>
    <definedName name="tens" localSheetId="273">{"";"";"Twenty";"Thirty";"Forty";"Fifty";"Sixty";"Seventy";"Eighty";"Ninety"}</definedName>
    <definedName name="tens" localSheetId="276">{"";"";"Twenty";"Thirty";"Forty";"Fifty";"Sixty";"Seventy";"Eighty";"Ninety"}</definedName>
    <definedName name="tens" localSheetId="243">{"";"";"Twenty";"Thirty";"Forty";"Fifty";"Sixty";"Seventy";"Eighty";"Ninety"}</definedName>
    <definedName name="tens" localSheetId="223">{"";"";"Twenty";"Thirty";"Forty";"Fifty";"Sixty";"Seventy";"Eighty";"Ninety"}</definedName>
    <definedName name="tens" localSheetId="100">{"";"";"Twenty";"Thirty";"Forty";"Fifty";"Sixty";"Seventy";"Eighty";"Ninety"}</definedName>
    <definedName name="tens" localSheetId="102">{"";"";"Twenty";"Thirty";"Forty";"Fifty";"Sixty";"Seventy";"Eighty";"Ninety"}</definedName>
    <definedName name="tens" localSheetId="275">{"";"";"Twenty";"Thirty";"Forty";"Fifty";"Sixty";"Seventy";"Eighty";"Ninety"}</definedName>
    <definedName name="tens" localSheetId="251">{"";"";"Twenty";"Thirty";"Forty";"Fifty";"Sixty";"Seventy";"Eighty";"Ninety"}</definedName>
    <definedName name="tens" localSheetId="293">{"";"";"Twenty";"Thirty";"Forty";"Fifty";"Sixty";"Seventy";"Eighty";"Ninety"}</definedName>
    <definedName name="tens" localSheetId="208">{"";"";"Twenty";"Thirty";"Forty";"Fifty";"Sixty";"Seventy";"Eighty";"Ninety"}</definedName>
    <definedName name="tens" localSheetId="283">{"";"";"Twenty";"Thirty";"Forty";"Fifty";"Sixty";"Seventy";"Eighty";"Ninety"}</definedName>
    <definedName name="tens" localSheetId="268">{"";"";"Twenty";"Thirty";"Forty";"Fifty";"Sixty";"Seventy";"Eighty";"Ninety"}</definedName>
    <definedName name="tens" localSheetId="206">{"";"";"Twenty";"Thirty";"Forty";"Fifty";"Sixty";"Seventy";"Eighty";"Ninety"}</definedName>
    <definedName name="tens" localSheetId="237">{"";"";"Twenty";"Thirty";"Forty";"Fifty";"Sixty";"Seventy";"Eighty";"Ninety"}</definedName>
    <definedName name="tens" localSheetId="207">{"";"";"Twenty";"Thirty";"Forty";"Fifty";"Sixty";"Seventy";"Eighty";"Ninety"}</definedName>
    <definedName name="tens" localSheetId="211">{"";"";"Twenty";"Thirty";"Forty";"Fifty";"Sixty";"Seventy";"Eighty";"Ninety"}</definedName>
    <definedName name="tens" localSheetId="212">{"";"";"Twenty";"Thirty";"Forty";"Fifty";"Sixty";"Seventy";"Eighty";"Ninety"}</definedName>
    <definedName name="tens" localSheetId="213">{"";"";"Twenty";"Thirty";"Forty";"Fifty";"Sixty";"Seventy";"Eighty";"Ninety"}</definedName>
    <definedName name="tens" localSheetId="214">{"";"";"Twenty";"Thirty";"Forty";"Fifty";"Sixty";"Seventy";"Eighty";"Ninety"}</definedName>
    <definedName name="tens" localSheetId="96">{"";"";"Twenty";"Thirty";"Forty";"Fifty";"Sixty";"Seventy";"Eighty";"Ninety"}</definedName>
    <definedName name="tens" localSheetId="289">{"";"";"Twenty";"Thirty";"Forty";"Fifty";"Sixty";"Seventy";"Eighty";"Ninety"}</definedName>
    <definedName name="tens" localSheetId="220">{"";"";"Twenty";"Thirty";"Forty";"Fifty";"Sixty";"Seventy";"Eighty";"Ninety"}</definedName>
    <definedName name="tens" localSheetId="245">{"";"";"Twenty";"Thirty";"Forty";"Fifty";"Sixty";"Seventy";"Eighty";"Ninety"}</definedName>
    <definedName name="tens" localSheetId="256">{"";"";"Twenty";"Thirty";"Forty";"Fifty";"Sixty";"Seventy";"Eighty";"Ninety"}</definedName>
    <definedName name="tens" localSheetId="267">{"";"";"Twenty";"Thirty";"Forty";"Fifty";"Sixty";"Seventy";"Eighty";"Ninety"}</definedName>
    <definedName name="tens" localSheetId="269">{"";"";"Twenty";"Thirty";"Forty";"Fifty";"Sixty";"Seventy";"Eighty";"Ninety"}</definedName>
    <definedName name="tens" localSheetId="95">{"";"";"Twenty";"Thirty";"Forty";"Fifty";"Sixty";"Seventy";"Eighty";"Ninety"}</definedName>
    <definedName name="tens" localSheetId="101">{"";"";"Twenty";"Thirty";"Forty";"Fifty";"Sixty";"Seventy";"Eighty";"Ninety"}</definedName>
    <definedName name="tens" localSheetId="92">{"";"";"Twenty";"Thirty";"Forty";"Fifty";"Sixty";"Seventy";"Eighty";"Ninety"}</definedName>
    <definedName name="tens" localSheetId="299">{"";"";"Twenty";"Thirty";"Forty";"Fifty";"Sixty";"Seventy";"Eighty";"Ninety"}</definedName>
    <definedName name="tens" localSheetId="257">{"";"";"Twenty";"Thirty";"Forty";"Fifty";"Sixty";"Seventy";"Eighty";"Ninety"}</definedName>
    <definedName name="tens" localSheetId="274">{"";"";"Twenty";"Thirty";"Forty";"Fifty";"Sixty";"Seventy";"Eighty";"Ninety"}</definedName>
    <definedName name="tens" localSheetId="258">{"";"";"Twenty";"Thirty";"Forty";"Fifty";"Sixty";"Seventy";"Eighty";"Ninety"}</definedName>
    <definedName name="tens" localSheetId="209">{"";"";"Twenty";"Thirty";"Forty";"Fifty";"Sixty";"Seventy";"Eighty";"Ninety"}</definedName>
    <definedName name="tens" localSheetId="210">{"";"";"Twenty";"Thirty";"Forty";"Fifty";"Sixty";"Seventy";"Eighty";"Ninety"}</definedName>
    <definedName name="tens" localSheetId="271">{"";"";"Twenty";"Thirty";"Forty";"Fifty";"Sixty";"Seventy";"Eighty";"Ninety"}</definedName>
    <definedName name="tens" localSheetId="99">{"";"";"Twenty";"Thirty";"Forty";"Fifty";"Sixty";"Seventy";"Eighty";"Ninety"}</definedName>
    <definedName name="tens" localSheetId="263">{"";"";"Twenty";"Thirty";"Forty";"Fifty";"Sixty";"Seventy";"Eighty";"Ninety"}</definedName>
    <definedName name="tens" localSheetId="260">{"";"";"Twenty";"Thirty";"Forty";"Fifty";"Sixty";"Seventy";"Eighty";"Ninety"}</definedName>
    <definedName name="tens" localSheetId="98">{"";"";"Twenty";"Thirty";"Forty";"Fifty";"Sixty";"Seventy";"Eighty";"Ninety"}</definedName>
    <definedName name="tens" localSheetId="307">{"";"";"Twenty";"Thirty";"Forty";"Fifty";"Sixty";"Seventy";"Eighty";"Ninety"}</definedName>
    <definedName name="tens" localSheetId="308">{"";"";"Twenty";"Thirty";"Forty";"Fifty";"Sixty";"Seventy";"Eighty";"Ninety"}</definedName>
    <definedName name="tens" localSheetId="582">{"";"";"Twenty";"Thirty";"Forty";"Fifty";"Sixty";"Seventy";"Eighty";"Ninety"}</definedName>
    <definedName name="tens" localSheetId="581">{"";"";"Twenty";"Thirty";"Forty";"Fifty";"Sixty";"Seventy";"Eighty";"Ninety"}</definedName>
    <definedName name="tens" localSheetId="579">{"";"";"Twenty";"Thirty";"Forty";"Fifty";"Sixty";"Seventy";"Eighty";"Ninety"}</definedName>
    <definedName name="tens" localSheetId="584">{"";"";"Twenty";"Thirty";"Forty";"Fifty";"Sixty";"Seventy";"Eighty";"Ninety"}</definedName>
    <definedName name="tens" localSheetId="325">{"";"";"Twenty";"Thirty";"Forty";"Fifty";"Sixty";"Seventy";"Eighty";"Ninety"}</definedName>
    <definedName name="tens" localSheetId="312">{"";"";"Twenty";"Thirty";"Forty";"Fifty";"Sixty";"Seventy";"Eighty";"Ninety"}</definedName>
    <definedName name="tens" localSheetId="469">{"";"";"Twenty";"Thirty";"Forty";"Fifty";"Sixty";"Seventy";"Eighty";"Ninety"}</definedName>
    <definedName name="tens" localSheetId="319">{"";"";"Twenty";"Thirty";"Forty";"Fifty";"Sixty";"Seventy";"Eighty";"Ninety"}</definedName>
    <definedName name="tens" localSheetId="304">{"";"";"Twenty";"Thirty";"Forty";"Fifty";"Sixty";"Seventy";"Eighty";"Ninety"}</definedName>
    <definedName name="tens" localSheetId="333">{"";"";"Twenty";"Thirty";"Forty";"Fifty";"Sixty";"Seventy";"Eighty";"Ninety"}</definedName>
    <definedName name="tens" localSheetId="317">{"";"";"Twenty";"Thirty";"Forty";"Fifty";"Sixty";"Seventy";"Eighty";"Ninety"}</definedName>
    <definedName name="tens" localSheetId="315">{"";"";"Twenty";"Thirty";"Forty";"Fifty";"Sixty";"Seventy";"Eighty";"Ninety"}</definedName>
    <definedName name="tens" localSheetId="303">{"";"";"Twenty";"Thirty";"Forty";"Fifty";"Sixty";"Seventy";"Eighty";"Ninety"}</definedName>
    <definedName name="tens" localSheetId="309">{"";"";"Twenty";"Thirty";"Forty";"Fifty";"Sixty";"Seventy";"Eighty";"Ninety"}</definedName>
    <definedName name="tens" localSheetId="306">{"";"";"Twenty";"Thirty";"Forty";"Fifty";"Sixty";"Seventy";"Eighty";"Ninety"}</definedName>
    <definedName name="tens" localSheetId="310">{"";"";"Twenty";"Thirty";"Forty";"Fifty";"Sixty";"Seventy";"Eighty";"Ninety"}</definedName>
    <definedName name="tens" localSheetId="305">{"";"";"Twenty";"Thirty";"Forty";"Fifty";"Sixty";"Seventy";"Eighty";"Ninety"}</definedName>
    <definedName name="tens" localSheetId="313">{"";"";"Twenty";"Thirty";"Forty";"Fifty";"Sixty";"Seventy";"Eighty";"Ninety"}</definedName>
    <definedName name="tens" localSheetId="316">{"";"";"Twenty";"Thirty";"Forty";"Fifty";"Sixty";"Seventy";"Eighty";"Ninety"}</definedName>
    <definedName name="tens" localSheetId="324">{"";"";"Twenty";"Thirty";"Forty";"Fifty";"Sixty";"Seventy";"Eighty";"Ninety"}</definedName>
    <definedName name="tens" localSheetId="314">{"";"";"Twenty";"Thirty";"Forty";"Fifty";"Sixty";"Seventy";"Eighty";"Ninety"}</definedName>
    <definedName name="tens" localSheetId="337">{"";"";"Twenty";"Thirty";"Forty";"Fifty";"Sixty";"Seventy";"Eighty";"Ninety"}</definedName>
    <definedName name="tens" localSheetId="335">{"";"";"Twenty";"Thirty";"Forty";"Fifty";"Sixty";"Seventy";"Eighty";"Ninety"}</definedName>
    <definedName name="tens" localSheetId="83">{"";"";"Twenty";"Thirty";"Forty";"Fifty";"Sixty";"Seventy";"Eighty";"Ninety"}</definedName>
    <definedName name="tens" localSheetId="349">{"";"";"Twenty";"Thirty";"Forty";"Fifty";"Sixty";"Seventy";"Eighty";"Ninety"}</definedName>
    <definedName name="tens" localSheetId="339">{"";"";"Twenty";"Thirty";"Forty";"Fifty";"Sixty";"Seventy";"Eighty";"Ninety"}</definedName>
    <definedName name="tens" localSheetId="69">{"";"";"Twenty";"Thirty";"Forty";"Fifty";"Sixty";"Seventy";"Eighty";"Ninety"}</definedName>
    <definedName name="tens" localSheetId="82">{"";"";"Twenty";"Thirty";"Forty";"Fifty";"Sixty";"Seventy";"Eighty";"Ninety"}</definedName>
    <definedName name="tens" localSheetId="344">{"";"";"Twenty";"Thirty";"Forty";"Fifty";"Sixty";"Seventy";"Eighty";"Ninety"}</definedName>
    <definedName name="tens" localSheetId="87">{"";"";"Twenty";"Thirty";"Forty";"Fifty";"Sixty";"Seventy";"Eighty";"Ninety"}</definedName>
    <definedName name="tens" localSheetId="68">{"";"";"Twenty";"Thirty";"Forty";"Fifty";"Sixty";"Seventy";"Eighty";"Ninety"}</definedName>
    <definedName name="tens" localSheetId="341">{"";"";"Twenty";"Thirty";"Forty";"Fifty";"Sixty";"Seventy";"Eighty";"Ninety"}</definedName>
    <definedName name="tens" localSheetId="72">{"";"";"Twenty";"Thirty";"Forty";"Fifty";"Sixty";"Seventy";"Eighty";"Ninety"}</definedName>
    <definedName name="tens" localSheetId="85">{"";"";"Twenty";"Thirty";"Forty";"Fifty";"Sixty";"Seventy";"Eighty";"Ninety"}</definedName>
    <definedName name="tens" localSheetId="71">{"";"";"Twenty";"Thirty";"Forty";"Fifty";"Sixty";"Seventy";"Eighty";"Ninety"}</definedName>
    <definedName name="tens" localSheetId="76">{"";"";"Twenty";"Thirty";"Forty";"Fifty";"Sixty";"Seventy";"Eighty";"Ninety"}</definedName>
    <definedName name="tens" localSheetId="86">{"";"";"Twenty";"Thirty";"Forty";"Fifty";"Sixty";"Seventy";"Eighty";"Ninety"}</definedName>
    <definedName name="tens" localSheetId="88">{"";"";"Twenty";"Thirty";"Forty";"Fifty";"Sixty";"Seventy";"Eighty";"Ninety"}</definedName>
    <definedName name="tens" localSheetId="77">{"";"";"Twenty";"Thirty";"Forty";"Fifty";"Sixty";"Seventy";"Eighty";"Ninety"}</definedName>
    <definedName name="tens" localSheetId="73">{"";"";"Twenty";"Thirty";"Forty";"Fifty";"Sixty";"Seventy";"Eighty";"Ninety"}</definedName>
    <definedName name="tens" localSheetId="75">{"";"";"Twenty";"Thirty";"Forty";"Fifty";"Sixty";"Seventy";"Eighty";"Ninety"}</definedName>
    <definedName name="tens" localSheetId="356">{"";"";"Twenty";"Thirty";"Forty";"Fifty";"Sixty";"Seventy";"Eighty";"Ninety"}</definedName>
    <definedName name="tens" localSheetId="74">{"";"";"Twenty";"Thirty";"Forty";"Fifty";"Sixty";"Seventy";"Eighty";"Ninety"}</definedName>
    <definedName name="tens" localSheetId="111">{"";"";"Twenty";"Thirty";"Forty";"Fifty";"Sixty";"Seventy";"Eighty";"Ninety"}</definedName>
    <definedName name="tens" localSheetId="121">{"";"";"Twenty";"Thirty";"Forty";"Fifty";"Sixty";"Seventy";"Eighty";"Ninety"}</definedName>
    <definedName name="tens" localSheetId="106">{"";"";"Twenty";"Thirty";"Forty";"Fifty";"Sixty";"Seventy";"Eighty";"Ninety"}</definedName>
    <definedName name="tens" localSheetId="118">{"";"";"Twenty";"Thirty";"Forty";"Fifty";"Sixty";"Seventy";"Eighty";"Ninety"}</definedName>
    <definedName name="tens" localSheetId="115">{"";"";"Twenty";"Thirty";"Forty";"Fifty";"Sixty";"Seventy";"Eighty";"Ninety"}</definedName>
    <definedName name="tens" localSheetId="690">{"";"";"Twenty";"Thirty";"Forty";"Fifty";"Sixty";"Seventy";"Eighty";"Ninety"}</definedName>
    <definedName name="tens" localSheetId="110">{"";"";"Twenty";"Thirty";"Forty";"Fifty";"Sixty";"Seventy";"Eighty";"Ninety"}</definedName>
    <definedName name="tens" localSheetId="116">{"";"";"Twenty";"Thirty";"Forty";"Fifty";"Sixty";"Seventy";"Eighty";"Ninety"}</definedName>
    <definedName name="tens" localSheetId="117">{"";"";"Twenty";"Thirty";"Forty";"Fifty";"Sixty";"Seventy";"Eighty";"Ninety"}</definedName>
    <definedName name="tens" localSheetId="108">{"";"";"Twenty";"Thirty";"Forty";"Fifty";"Sixty";"Seventy";"Eighty";"Ninety"}</definedName>
    <definedName name="tens" localSheetId="375">{"";"";"Twenty";"Thirty";"Forty";"Fifty";"Sixty";"Seventy";"Eighty";"Ninety"}</definedName>
    <definedName name="tens" localSheetId="109">{"";"";"Twenty";"Thirty";"Forty";"Fifty";"Sixty";"Seventy";"Eighty";"Ninety"}</definedName>
    <definedName name="tens" localSheetId="363">{"";"";"Twenty";"Thirty";"Forty";"Fifty";"Sixty";"Seventy";"Eighty";"Ninety"}</definedName>
    <definedName name="tens" localSheetId="112">{"";"";"Twenty";"Thirty";"Forty";"Fifty";"Sixty";"Seventy";"Eighty";"Ninety"}</definedName>
    <definedName name="tens" localSheetId="366">{"";"";"Twenty";"Thirty";"Forty";"Fifty";"Sixty";"Seventy";"Eighty";"Ninety"}</definedName>
    <definedName name="tens" localSheetId="362">{"";"";"Twenty";"Thirty";"Forty";"Fifty";"Sixty";"Seventy";"Eighty";"Ninety"}</definedName>
    <definedName name="tens" localSheetId="361">{"";"";"Twenty";"Thirty";"Forty";"Fifty";"Sixty";"Seventy";"Eighty";"Ninety"}</definedName>
    <definedName name="tens" localSheetId="113">{"";"";"Twenty";"Thirty";"Forty";"Fifty";"Sixty";"Seventy";"Eighty";"Ninety"}</definedName>
    <definedName name="tens" localSheetId="119">{"";"";"Twenty";"Thirty";"Forty";"Fifty";"Sixty";"Seventy";"Eighty";"Ninety"}</definedName>
    <definedName name="tens" localSheetId="392">{"";"";"Twenty";"Thirty";"Forty";"Fifty";"Sixty";"Seventy";"Eighty";"Ninety"}</definedName>
    <definedName name="tens" localSheetId="385">{"";"";"Twenty";"Thirty";"Forty";"Fifty";"Sixty";"Seventy";"Eighty";"Ninety"}</definedName>
    <definedName name="tens" localSheetId="410">{"";"";"Twenty";"Thirty";"Forty";"Fifty";"Sixty";"Seventy";"Eighty";"Ninety"}</definedName>
    <definedName name="tens" localSheetId="379">{"";"";"Twenty";"Thirty";"Forty";"Fifty";"Sixty";"Seventy";"Eighty";"Ninety"}</definedName>
    <definedName name="tens" localSheetId="388">{"";"";"Twenty";"Thirty";"Forty";"Fifty";"Sixty";"Seventy";"Eighty";"Ninety"}</definedName>
    <definedName name="tens" localSheetId="394">{"";"";"Twenty";"Thirty";"Forty";"Fifty";"Sixty";"Seventy";"Eighty";"Ninety"}</definedName>
    <definedName name="tens" localSheetId="378">{"";"";"Twenty";"Thirty";"Forty";"Fifty";"Sixty";"Seventy";"Eighty";"Ninety"}</definedName>
    <definedName name="tens" localSheetId="398">{"";"";"Twenty";"Thirty";"Forty";"Fifty";"Sixty";"Seventy";"Eighty";"Ninety"}</definedName>
    <definedName name="tens" localSheetId="386">{"";"";"Twenty";"Thirty";"Forty";"Fifty";"Sixty";"Seventy";"Eighty";"Ninety"}</definedName>
    <definedName name="tens" localSheetId="383">{"";"";"Twenty";"Thirty";"Forty";"Fifty";"Sixty";"Seventy";"Eighty";"Ninety"}</definedName>
    <definedName name="tens" localSheetId="387">{"";"";"Twenty";"Thirty";"Forty";"Fifty";"Sixty";"Seventy";"Eighty";"Ninety"}</definedName>
    <definedName name="tens" localSheetId="382">{"";"";"Twenty";"Thirty";"Forty";"Fifty";"Sixty";"Seventy";"Eighty";"Ninety"}</definedName>
    <definedName name="tens" localSheetId="393">{"";"";"Twenty";"Thirty";"Forty";"Fifty";"Sixty";"Seventy";"Eighty";"Ninety"}</definedName>
    <definedName name="tens" localSheetId="384">{"";"";"Twenty";"Thirty";"Forty";"Fifty";"Sixty";"Seventy";"Eighty";"Ninety"}</definedName>
    <definedName name="tens" localSheetId="597">{"";"";"Twenty";"Thirty";"Forty";"Fifty";"Sixty";"Seventy";"Eighty";"Ninety"}</definedName>
    <definedName name="tens" localSheetId="380">{"";"";"Twenty";"Thirty";"Forty";"Fifty";"Sixty";"Seventy";"Eighty";"Ninety"}</definedName>
    <definedName name="tens" localSheetId="389">{"";"";"Twenty";"Thirty";"Forty";"Fifty";"Sixty";"Seventy";"Eighty";"Ninety"}</definedName>
    <definedName name="tens" localSheetId="396">{"";"";"Twenty";"Thirty";"Forty";"Fifty";"Sixty";"Seventy";"Eighty";"Ninety"}</definedName>
    <definedName name="tens" localSheetId="391">{"";"";"Twenty";"Thirty";"Forty";"Fifty";"Sixty";"Seventy";"Eighty";"Ninety"}</definedName>
    <definedName name="tens" localSheetId="429">{"";"";"Twenty";"Thirty";"Forty";"Fifty";"Sixty";"Seventy";"Eighty";"Ninety"}</definedName>
    <definedName name="tens" localSheetId="428">{"";"";"Twenty";"Thirty";"Forty";"Fifty";"Sixty";"Seventy";"Eighty";"Ninety"}</definedName>
    <definedName name="tens" localSheetId="430">{"";"";"Twenty";"Thirty";"Forty";"Fifty";"Sixty";"Seventy";"Eighty";"Ninety"}</definedName>
    <definedName name="tens" localSheetId="433">{"";"";"Twenty";"Thirty";"Forty";"Fifty";"Sixty";"Seventy";"Eighty";"Ninety"}</definedName>
    <definedName name="tens" localSheetId="442">{"";"";"Twenty";"Thirty";"Forty";"Fifty";"Sixty";"Seventy";"Eighty";"Ninety"}</definedName>
    <definedName name="tens" localSheetId="417">{"";"";"Twenty";"Thirty";"Forty";"Fifty";"Sixty";"Seventy";"Eighty";"Ninety"}</definedName>
    <definedName name="tens" localSheetId="422">{"";"";"Twenty";"Thirty";"Forty";"Fifty";"Sixty";"Seventy";"Eighty";"Ninety"}</definedName>
    <definedName name="tens" localSheetId="424">{"";"";"Twenty";"Thirty";"Forty";"Fifty";"Sixty";"Seventy";"Eighty";"Ninety"}</definedName>
    <definedName name="tens" localSheetId="458">{"";"";"Twenty";"Thirty";"Forty";"Fifty";"Sixty";"Seventy";"Eighty";"Ninety"}</definedName>
    <definedName name="tens" localSheetId="427">{"";"";"Twenty";"Thirty";"Forty";"Fifty";"Sixty";"Seventy";"Eighty";"Ninety"}</definedName>
    <definedName name="tens" localSheetId="412">{"";"";"Twenty";"Thirty";"Forty";"Fifty";"Sixty";"Seventy";"Eighty";"Ninety"}</definedName>
    <definedName name="tens" localSheetId="421">{"";"";"Twenty";"Thirty";"Forty";"Fifty";"Sixty";"Seventy";"Eighty";"Ninety"}</definedName>
    <definedName name="tens" localSheetId="434">{"";"";"Twenty";"Thirty";"Forty";"Fifty";"Sixty";"Seventy";"Eighty";"Ninety"}</definedName>
    <definedName name="tens" localSheetId="436">{"";"";"Twenty";"Thirty";"Forty";"Fifty";"Sixty";"Seventy";"Eighty";"Ninety"}</definedName>
    <definedName name="tens" localSheetId="439">{"";"";"Twenty";"Thirty";"Forty";"Fifty";"Sixty";"Seventy";"Eighty";"Ninety"}</definedName>
    <definedName name="tens" localSheetId="537">{"";"";"Twenty";"Thirty";"Forty";"Fifty";"Sixty";"Seventy";"Eighty";"Ninety"}</definedName>
    <definedName name="tens" localSheetId="435">{"";"";"Twenty";"Thirty";"Forty";"Fifty";"Sixty";"Seventy";"Eighty";"Ninety"}</definedName>
    <definedName name="tens" localSheetId="441">{"";"";"Twenty";"Thirty";"Forty";"Fifty";"Sixty";"Seventy";"Eighty";"Ninety"}</definedName>
    <definedName name="tens" localSheetId="536">{"";"";"Twenty";"Thirty";"Forty";"Fifty";"Sixty";"Seventy";"Eighty";"Ninety"}</definedName>
    <definedName name="tens" localSheetId="449">{"";"";"Twenty";"Thirty";"Forty";"Fifty";"Sixty";"Seventy";"Eighty";"Ninety"}</definedName>
    <definedName name="tens" localSheetId="437">{"";"";"Twenty";"Thirty";"Forty";"Fifty";"Sixty";"Seventy";"Eighty";"Ninety"}</definedName>
    <definedName name="tens" localSheetId="154">{"";"";"Twenty";"Thirty";"Forty";"Fifty";"Sixty";"Seventy";"Eighty";"Ninety"}</definedName>
    <definedName name="tens" localSheetId="423">{"";"";"Twenty";"Thirty";"Forty";"Fifty";"Sixty";"Seventy";"Eighty";"Ninety"}</definedName>
    <definedName name="tens" localSheetId="420">{"";"";"Twenty";"Thirty";"Forty";"Fifty";"Sixty";"Seventy";"Eighty";"Ninety"}</definedName>
    <definedName name="tens" localSheetId="418">{"";"";"Twenty";"Thirty";"Forty";"Fifty";"Sixty";"Seventy";"Eighty";"Ninety"}</definedName>
    <definedName name="tens" localSheetId="425">{"";"";"Twenty";"Thirty";"Forty";"Fifty";"Sixty";"Seventy";"Eighty";"Ninety"}</definedName>
    <definedName name="tens" localSheetId="413">{"";"";"Twenty";"Thirty";"Forty";"Fifty";"Sixty";"Seventy";"Eighty";"Ninety"}</definedName>
    <definedName name="tens" localSheetId="432">{"";"";"Twenty";"Thirty";"Forty";"Fifty";"Sixty";"Seventy";"Eighty";"Ninety"}</definedName>
    <definedName name="tens" localSheetId="431">{"";"";"Twenty";"Thirty";"Forty";"Fifty";"Sixty";"Seventy";"Eighty";"Ninety"}</definedName>
    <definedName name="tens" localSheetId="472">{"";"";"Twenty";"Thirty";"Forty";"Fifty";"Sixty";"Seventy";"Eighty";"Ninety"}</definedName>
    <definedName name="tens" localSheetId="463">{"";"";"Twenty";"Thirty";"Forty";"Fifty";"Sixty";"Seventy";"Eighty";"Ninety"}</definedName>
    <definedName name="tens" localSheetId="464">{"";"";"Twenty";"Thirty";"Forty";"Fifty";"Sixty";"Seventy";"Eighty";"Ninety"}</definedName>
    <definedName name="tens" localSheetId="488">{"";"";"Twenty";"Thirty";"Forty";"Fifty";"Sixty";"Seventy";"Eighty";"Ninety"}</definedName>
    <definedName name="tens" localSheetId="476">{"";"";"Twenty";"Thirty";"Forty";"Fifty";"Sixty";"Seventy";"Eighty";"Ninety"}</definedName>
    <definedName name="tens" localSheetId="474">{"";"";"Twenty";"Thirty";"Forty";"Fifty";"Sixty";"Seventy";"Eighty";"Ninety"}</definedName>
    <definedName name="tens" localSheetId="466">{"";"";"Twenty";"Thirty";"Forty";"Fifty";"Sixty";"Seventy";"Eighty";"Ninety"}</definedName>
    <definedName name="tens" localSheetId="462">{"";"";"Twenty";"Thirty";"Forty";"Fifty";"Sixty";"Seventy";"Eighty";"Ninety"}</definedName>
    <definedName name="tens" localSheetId="484">{"";"";"Twenty";"Thirty";"Forty";"Fifty";"Sixty";"Seventy";"Eighty";"Ninety"}</definedName>
    <definedName name="tens" localSheetId="485">{"";"";"Twenty";"Thirty";"Forty";"Fifty";"Sixty";"Seventy";"Eighty";"Ninety"}</definedName>
    <definedName name="tens" localSheetId="465">{"";"";"Twenty";"Thirty";"Forty";"Fifty";"Sixty";"Seventy";"Eighty";"Ninety"}</definedName>
    <definedName name="tens" localSheetId="478">{"";"";"Twenty";"Thirty";"Forty";"Fifty";"Sixty";"Seventy";"Eighty";"Ninety"}</definedName>
    <definedName name="tens" localSheetId="479">{"";"";"Twenty";"Thirty";"Forty";"Fifty";"Sixty";"Seventy";"Eighty";"Ninety"}</definedName>
    <definedName name="tens" localSheetId="473">{"";"";"Twenty";"Thirty";"Forty";"Fifty";"Sixty";"Seventy";"Eighty";"Ninety"}</definedName>
    <definedName name="tens" localSheetId="471">{"";"";"Twenty";"Thirty";"Forty";"Fifty";"Sixty";"Seventy";"Eighty";"Ninety"}</definedName>
    <definedName name="tens" localSheetId="467">{"";"";"Twenty";"Thirty";"Forty";"Fifty";"Sixty";"Seventy";"Eighty";"Ninety"}</definedName>
    <definedName name="tens" localSheetId="470">{"";"";"Twenty";"Thirty";"Forty";"Fifty";"Sixty";"Seventy";"Eighty";"Ninety"}</definedName>
    <definedName name="tens" localSheetId="495">{"";"";"Twenty";"Thirty";"Forty";"Fifty";"Sixty";"Seventy";"Eighty";"Ninety"}</definedName>
    <definedName name="tens" localSheetId="496">{"";"";"Twenty";"Thirty";"Forty";"Fifty";"Sixty";"Seventy";"Eighty";"Ninety"}</definedName>
    <definedName name="tens" localSheetId="505">{"";"";"Twenty";"Thirty";"Forty";"Fifty";"Sixty";"Seventy";"Eighty";"Ninety"}</definedName>
    <definedName name="tens" localSheetId="492">{"";"";"Twenty";"Thirty";"Forty";"Fifty";"Sixty";"Seventy";"Eighty";"Ninety"}</definedName>
    <definedName name="tens" localSheetId="490">{"";"";"Twenty";"Thirty";"Forty";"Fifty";"Sixty";"Seventy";"Eighty";"Ninety"}</definedName>
    <definedName name="tens" localSheetId="504">{"";"";"Twenty";"Thirty";"Forty";"Fifty";"Sixty";"Seventy";"Eighty";"Ninety"}</definedName>
    <definedName name="tens" localSheetId="503">{"";"";"Twenty";"Thirty";"Forty";"Fifty";"Sixty";"Seventy";"Eighty";"Ninety"}</definedName>
    <definedName name="tens" localSheetId="500">{"";"";"Twenty";"Thirty";"Forty";"Fifty";"Sixty";"Seventy";"Eighty";"Ninety"}</definedName>
    <definedName name="tens" localSheetId="508">{"";"";"Twenty";"Thirty";"Forty";"Fifty";"Sixty";"Seventy";"Eighty";"Ninety"}</definedName>
    <definedName name="tens" localSheetId="501">{"";"";"Twenty";"Thirty";"Forty";"Fifty";"Sixty";"Seventy";"Eighty";"Ninety"}</definedName>
    <definedName name="tens" localSheetId="491">{"";"";"Twenty";"Thirty";"Forty";"Fifty";"Sixty";"Seventy";"Eighty";"Ninety"}</definedName>
    <definedName name="tens" localSheetId="499">{"";"";"Twenty";"Thirty";"Forty";"Fifty";"Sixty";"Seventy";"Eighty";"Ninety"}</definedName>
    <definedName name="tens" localSheetId="494">{"";"";"Twenty";"Thirty";"Forty";"Fifty";"Sixty";"Seventy";"Eighty";"Ninety"}</definedName>
    <definedName name="tens" localSheetId="97">{"";"";"Twenty";"Thirty";"Forty";"Fifty";"Sixty";"Seventy";"Eighty";"Ninety"}</definedName>
    <definedName name="tens" localSheetId="497">{"";"";"Twenty";"Thirty";"Forty";"Fifty";"Sixty";"Seventy";"Eighty";"Ninety"}</definedName>
    <definedName name="tens" localSheetId="493">{"";"";"Twenty";"Thirty";"Forty";"Fifty";"Sixty";"Seventy";"Eighty";"Ninety"}</definedName>
    <definedName name="tens" localSheetId="498">{"";"";"Twenty";"Thirty";"Forty";"Fifty";"Sixty";"Seventy";"Eighty";"Ninety"}</definedName>
    <definedName name="tens" localSheetId="558">{"";"";"Twenty";"Thirty";"Forty";"Fifty";"Sixty";"Seventy";"Eighty";"Ninety"}</definedName>
    <definedName name="tens" localSheetId="543">{"";"";"Twenty";"Thirty";"Forty";"Fifty";"Sixty";"Seventy";"Eighty";"Ninety"}</definedName>
    <definedName name="tens" localSheetId="663">{"";"";"Twenty";"Thirty";"Forty";"Fifty";"Sixty";"Seventy";"Eighty";"Ninety"}</definedName>
    <definedName name="tens" localSheetId="534">{"";"";"Twenty";"Thirty";"Forty";"Fifty";"Sixty";"Seventy";"Eighty";"Ninety"}</definedName>
    <definedName name="tens" localSheetId="540">{"";"";"Twenty";"Thirty";"Forty";"Fifty";"Sixty";"Seventy";"Eighty";"Ninety"}</definedName>
    <definedName name="tens" localSheetId="658">{"";"";"Twenty";"Thirty";"Forty";"Fifty";"Sixty";"Seventy";"Eighty";"Ninety"}</definedName>
    <definedName name="tens" localSheetId="538">{"";"";"Twenty";"Thirty";"Forty";"Fifty";"Sixty";"Seventy";"Eighty";"Ninety"}</definedName>
    <definedName name="tens" localSheetId="521">{"";"";"Twenty";"Thirty";"Forty";"Fifty";"Sixty";"Seventy";"Eighty";"Ninety"}</definedName>
    <definedName name="tens" localSheetId="542">{"";"";"Twenty";"Thirty";"Forty";"Fifty";"Sixty";"Seventy";"Eighty";"Ninety"}</definedName>
    <definedName name="tens" localSheetId="552">{"";"";"Twenty";"Thirty";"Forty";"Fifty";"Sixty";"Seventy";"Eighty";"Ninety"}</definedName>
    <definedName name="tens" localSheetId="525">{"";"";"Twenty";"Thirty";"Forty";"Fifty";"Sixty";"Seventy";"Eighty";"Ninety"}</definedName>
    <definedName name="tens" localSheetId="523">{"";"";"Twenty";"Thirty";"Forty";"Fifty";"Sixty";"Seventy";"Eighty";"Ninety"}</definedName>
    <definedName name="tens" localSheetId="648">{"";"";"Twenty";"Thirty";"Forty";"Fifty";"Sixty";"Seventy";"Eighty";"Ninety"}</definedName>
    <definedName name="tens" localSheetId="649">{"";"";"Twenty";"Thirty";"Forty";"Fifty";"Sixty";"Seventy";"Eighty";"Ninety"}</definedName>
    <definedName name="tens" localSheetId="585">{"";"";"Twenty";"Thirty";"Forty";"Fifty";"Sixty";"Seventy";"Eighty";"Ninety"}</definedName>
    <definedName name="tens" localSheetId="531">{"";"";"Twenty";"Thirty";"Forty";"Fifty";"Sixty";"Seventy";"Eighty";"Ninety"}</definedName>
    <definedName name="tens" localSheetId="546">{"";"";"Twenty";"Thirty";"Forty";"Fifty";"Sixty";"Seventy";"Eighty";"Ninety"}</definedName>
    <definedName name="tens" localSheetId="639">{"";"";"Twenty";"Thirty";"Forty";"Fifty";"Sixty";"Seventy";"Eighty";"Ninety"}</definedName>
    <definedName name="tens" localSheetId="640">{"";"";"Twenty";"Thirty";"Forty";"Fifty";"Sixty";"Seventy";"Eighty";"Ninety"}</definedName>
    <definedName name="tens" localSheetId="641">{"";"";"Twenty";"Thirty";"Forty";"Fifty";"Sixty";"Seventy";"Eighty";"Ninety"}</definedName>
    <definedName name="tens" localSheetId="642">{"";"";"Twenty";"Thirty";"Forty";"Fifty";"Sixty";"Seventy";"Eighty";"Ninety"}</definedName>
    <definedName name="tens" localSheetId="634">{"";"";"Twenty";"Thirty";"Forty";"Fifty";"Sixty";"Seventy";"Eighty";"Ninety"}</definedName>
    <definedName name="tens" localSheetId="545">{"";"";"Twenty";"Thirty";"Forty";"Fifty";"Sixty";"Seventy";"Eighty";"Ninety"}</definedName>
    <definedName name="tens" localSheetId="596">{"";"";"Twenty";"Thirty";"Forty";"Fifty";"Sixty";"Seventy";"Eighty";"Ninety"}</definedName>
    <definedName name="tens" localSheetId="528">{"";"";"Twenty";"Thirty";"Forty";"Fifty";"Sixty";"Seventy";"Eighty";"Ninety"}</definedName>
    <definedName name="tens" localSheetId="539">{"";"";"Twenty";"Thirty";"Forty";"Fifty";"Sixty";"Seventy";"Eighty";"Ninety"}</definedName>
    <definedName name="tens" localSheetId="547">{"";"";"Twenty";"Thirty";"Forty";"Fifty";"Sixty";"Seventy";"Eighty";"Ninety"}</definedName>
    <definedName name="tens" localSheetId="530">{"";"";"Twenty";"Thirty";"Forty";"Fifty";"Sixty";"Seventy";"Eighty";"Ninety"}</definedName>
    <definedName name="tens" localSheetId="520">{"";"";"Twenty";"Thirty";"Forty";"Fifty";"Sixty";"Seventy";"Eighty";"Ninety"}</definedName>
    <definedName name="tens" localSheetId="532">{"";"";"Twenty";"Thirty";"Forty";"Fifty";"Sixty";"Seventy";"Eighty";"Ninety"}</definedName>
    <definedName name="tens" localSheetId="522">{"";"";"Twenty";"Thirty";"Forty";"Fifty";"Sixty";"Seventy";"Eighty";"Ninety"}</definedName>
    <definedName name="tens" localSheetId="544">{"";"";"Twenty";"Thirty";"Forty";"Fifty";"Sixty";"Seventy";"Eighty";"Ninety"}</definedName>
    <definedName name="tens" localSheetId="541">{"";"";"Twenty";"Thirty";"Forty";"Fifty";"Sixty";"Seventy";"Eighty";"Ninety"}</definedName>
    <definedName name="tens" localSheetId="553">{"";"";"Twenty";"Thirty";"Forty";"Fifty";"Sixty";"Seventy";"Eighty";"Ninety"}</definedName>
    <definedName name="tens" localSheetId="527">{"";"";"Twenty";"Thirty";"Forty";"Fifty";"Sixty";"Seventy";"Eighty";"Ninety"}</definedName>
    <definedName name="tens" localSheetId="549">{"";"";"Twenty";"Thirty";"Forty";"Fifty";"Sixty";"Seventy";"Eighty";"Ninety"}</definedName>
    <definedName name="tens" localSheetId="519">{"";"";"Twenty";"Thirty";"Forty";"Fifty";"Sixty";"Seventy";"Eighty";"Ninety"}</definedName>
    <definedName name="tens" localSheetId="535">{"";"";"Twenty";"Thirty";"Forty";"Fifty";"Sixty";"Seventy";"Eighty";"Ninety"}</definedName>
    <definedName name="tens" localSheetId="533">{"";"";"Twenty";"Thirty";"Forty";"Fifty";"Sixty";"Seventy";"Eighty";"Ninety"}</definedName>
    <definedName name="tens" localSheetId="548">{"";"";"Twenty";"Thirty";"Forty";"Fifty";"Sixty";"Seventy";"Eighty";"Ninety"}</definedName>
    <definedName name="tens" localSheetId="554">{"";"";"Twenty";"Thirty";"Forty";"Fifty";"Sixty";"Seventy";"Eighty";"Ninety"}</definedName>
    <definedName name="tens" localSheetId="550">{"";"";"Twenty";"Thirty";"Forty";"Fifty";"Sixty";"Seventy";"Eighty";"Ninety"}</definedName>
    <definedName name="tens" localSheetId="635">{"";"";"Twenty";"Thirty";"Forty";"Fifty";"Sixty";"Seventy";"Eighty";"Ninety"}</definedName>
    <definedName name="tens" localSheetId="526">{"";"";"Twenty";"Thirty";"Forty";"Fifty";"Sixty";"Seventy";"Eighty";"Ninety"}</definedName>
    <definedName name="tens" localSheetId="603">{"";"";"Twenty";"Thirty";"Forty";"Fifty";"Sixty";"Seventy";"Eighty";"Ninety"}</definedName>
    <definedName name="tens" localSheetId="566">{"";"";"Twenty";"Thirty";"Forty";"Fifty";"Sixty";"Seventy";"Eighty";"Ninety"}</definedName>
    <definedName name="tens" localSheetId="614">{"";"";"Twenty";"Thirty";"Forty";"Fifty";"Sixty";"Seventy";"Eighty";"Ninety"}</definedName>
    <definedName name="tens" localSheetId="572">{"";"";"Twenty";"Thirty";"Forty";"Fifty";"Sixty";"Seventy";"Eighty";"Ninety"}</definedName>
    <definedName name="tens" localSheetId="569">{"";"";"Twenty";"Thirty";"Forty";"Fifty";"Sixty";"Seventy";"Eighty";"Ninety"}</definedName>
    <definedName name="tens" localSheetId="609">{"";"";"Twenty";"Thirty";"Forty";"Fifty";"Sixty";"Seventy";"Eighty";"Ninety"}</definedName>
    <definedName name="tens" localSheetId="605">{"";"";"Twenty";"Thirty";"Forty";"Fifty";"Sixty";"Seventy";"Eighty";"Ninety"}</definedName>
    <definedName name="tens" localSheetId="577">{"";"";"Twenty";"Thirty";"Forty";"Fifty";"Sixty";"Seventy";"Eighty";"Ninety"}</definedName>
    <definedName name="tens" localSheetId="604">{"";"";"Twenty";"Thirty";"Forty";"Fifty";"Sixty";"Seventy";"Eighty";"Ninety"}</definedName>
    <definedName name="tens" localSheetId="575">{"";"";"Twenty";"Thirty";"Forty";"Fifty";"Sixty";"Seventy";"Eighty";"Ninety"}</definedName>
    <definedName name="tens" localSheetId="618">{"";"";"Twenty";"Thirty";"Forty";"Fifty";"Sixty";"Seventy";"Eighty";"Ninety"}</definedName>
    <definedName name="tens" localSheetId="673">{"";"";"Twenty";"Thirty";"Forty";"Fifty";"Sixty";"Seventy";"Eighty";"Ninety"}</definedName>
    <definedName name="tens" localSheetId="629">{"";"";"Twenty";"Thirty";"Forty";"Fifty";"Sixty";"Seventy";"Eighty";"Ninety"}</definedName>
    <definedName name="tens" localSheetId="567">{"";"";"Twenty";"Thirty";"Forty";"Fifty";"Sixty";"Seventy";"Eighty";"Ninety"}</definedName>
    <definedName name="tens" localSheetId="624">{"";"";"Twenty";"Thirty";"Forty";"Fifty";"Sixty";"Seventy";"Eighty";"Ninety"}</definedName>
    <definedName name="tens" localSheetId="607">{"";"";"Twenty";"Thirty";"Forty";"Fifty";"Sixty";"Seventy";"Eighty";"Ninety"}</definedName>
    <definedName name="tens" localSheetId="621">{"";"";"Twenty";"Thirty";"Forty";"Fifty";"Sixty";"Seventy";"Eighty";"Ninety"}</definedName>
    <definedName name="tens" localSheetId="616">{"";"";"Twenty";"Thirty";"Forty";"Fifty";"Sixty";"Seventy";"Eighty";"Ninety"}</definedName>
    <definedName name="tens" localSheetId="611">{"";"";"Twenty";"Thirty";"Forty";"Fifty";"Sixty";"Seventy";"Eighty";"Ninety"}</definedName>
    <definedName name="tens" localSheetId="619">{"";"";"Twenty";"Thirty";"Forty";"Fifty";"Sixty";"Seventy";"Eighty";"Ninety"}</definedName>
    <definedName name="tens" localSheetId="608">{"";"";"Twenty";"Thirty";"Forty";"Fifty";"Sixty";"Seventy";"Eighty";"Ninety"}</definedName>
    <definedName name="tens" localSheetId="643">{"";"";"Twenty";"Thirty";"Forty";"Fifty";"Sixty";"Seventy";"Eighty";"Ninety"}</definedName>
    <definedName name="tens" localSheetId="644">{"";"";"Twenty";"Thirty";"Forty";"Fifty";"Sixty";"Seventy";"Eighty";"Ninety"}</definedName>
    <definedName name="tens" localSheetId="645">{"";"";"Twenty";"Thirty";"Forty";"Fifty";"Sixty";"Seventy";"Eighty";"Ninety"}</definedName>
    <definedName name="tens" localSheetId="630">{"";"";"Twenty";"Thirty";"Forty";"Fifty";"Sixty";"Seventy";"Eighty";"Ninety"}</definedName>
    <definedName name="tens" localSheetId="628">{"";"";"Twenty";"Thirty";"Forty";"Fifty";"Sixty";"Seventy";"Eighty";"Ninety"}</definedName>
    <definedName name="tens" localSheetId="574">{"";"";"Twenty";"Thirty";"Forty";"Fifty";"Sixty";"Seventy";"Eighty";"Ninety"}</definedName>
    <definedName name="tens" localSheetId="669">{"";"";"Twenty";"Thirty";"Forty";"Fifty";"Sixty";"Seventy";"Eighty";"Ninety"}</definedName>
    <definedName name="tens" localSheetId="718">{"";"";"Twenty";"Thirty";"Forty";"Fifty";"Sixty";"Seventy";"Eighty";"Ninety"}</definedName>
    <definedName name="tens" localSheetId="615">{"";"";"Twenty";"Thirty";"Forty";"Fifty";"Sixty";"Seventy";"Eighty";"Ninety"}</definedName>
    <definedName name="tens" localSheetId="602">{"";"";"Twenty";"Thirty";"Forty";"Fifty";"Sixty";"Seventy";"Eighty";"Ninety"}</definedName>
    <definedName name="tens" localSheetId="576">{"";"";"Twenty";"Thirty";"Forty";"Fifty";"Sixty";"Seventy";"Eighty";"Ninety"}</definedName>
    <definedName name="tens" localSheetId="601">{"";"";"Twenty";"Thirty";"Forty";"Fifty";"Sixty";"Seventy";"Eighty";"Ninety"}</definedName>
    <definedName name="tens" localSheetId="568">{"";"";"Twenty";"Thirty";"Forty";"Fifty";"Sixty";"Seventy";"Eighty";"Ninety"}</definedName>
    <definedName name="tens" localSheetId="565">{"";"";"Twenty";"Thirty";"Forty";"Fifty";"Sixty";"Seventy";"Eighty";"Ninety"}</definedName>
    <definedName name="tens" localSheetId="613">{"";"";"Twenty";"Thirty";"Forty";"Fifty";"Sixty";"Seventy";"Eighty";"Ninety"}</definedName>
    <definedName name="tens" localSheetId="573">{"";"";"Twenty";"Thirty";"Forty";"Fifty";"Sixty";"Seventy";"Eighty";"Ninety"}</definedName>
    <definedName name="tens" localSheetId="713">{"";"";"Twenty";"Thirty";"Forty";"Fifty";"Sixty";"Seventy";"Eighty";"Ninety"}</definedName>
    <definedName name="tens" localSheetId="626">{"";"";"Twenty";"Thirty";"Forty";"Fifty";"Sixty";"Seventy";"Eighty";"Ninety"}</definedName>
    <definedName name="tens" localSheetId="606">{"";"";"Twenty";"Thirty";"Forty";"Fifty";"Sixty";"Seventy";"Eighty";"Ninety"}</definedName>
    <definedName name="tens" localSheetId="600">{"";"";"Twenty";"Thirty";"Forty";"Fifty";"Sixty";"Seventy";"Eighty";"Ninety"}</definedName>
    <definedName name="tens" localSheetId="571">{"";"";"Twenty";"Thirty";"Forty";"Fifty";"Sixty";"Seventy";"Eighty";"Ninety"}</definedName>
    <definedName name="tens" localSheetId="562">{"";"";"Twenty";"Thirty";"Forty";"Fifty";"Sixty";"Seventy";"Eighty";"Ninety"}</definedName>
    <definedName name="tens" localSheetId="599">{"";"";"Twenty";"Thirty";"Forty";"Fifty";"Sixty";"Seventy";"Eighty";"Ninety"}</definedName>
    <definedName name="tens" localSheetId="612">{"";"";"Twenty";"Thirty";"Forty";"Fifty";"Sixty";"Seventy";"Eighty";"Ninety"}</definedName>
    <definedName name="tens" localSheetId="610">{"";"";"Twenty";"Thirty";"Forty";"Fifty";"Sixty";"Seventy";"Eighty";"Ninety"}</definedName>
    <definedName name="tens" localSheetId="570">{"";"";"Twenty";"Thirty";"Forty";"Fifty";"Sixty";"Seventy";"Eighty";"Ninety"}</definedName>
    <definedName name="tens" localSheetId="563">{"";"";"Twenty";"Thirty";"Forty";"Fifty";"Sixty";"Seventy";"Eighty";"Ninety"}</definedName>
    <definedName name="tens" localSheetId="564">{"";"";"Twenty";"Thirty";"Forty";"Fifty";"Sixty";"Seventy";"Eighty";"Ninety"}</definedName>
    <definedName name="tens" localSheetId="696">{"";"";"Twenty";"Thirty";"Forty";"Fifty";"Sixty";"Seventy";"Eighty";"Ninety"}</definedName>
    <definedName name="tens" localSheetId="697">{"";"";"Twenty";"Thirty";"Forty";"Fifty";"Sixty";"Seventy";"Eighty";"Ninety"}</definedName>
    <definedName name="tens" localSheetId="767">{"";"";"Twenty";"Thirty";"Forty";"Fifty";"Sixty";"Seventy";"Eighty";"Ninety"}</definedName>
    <definedName name="tens" localSheetId="714">{"";"";"Twenty";"Thirty";"Forty";"Fifty";"Sixty";"Seventy";"Eighty";"Ninety"}</definedName>
    <definedName name="tens" localSheetId="724">{"";"";"Twenty";"Thirty";"Forty";"Fifty";"Sixty";"Seventy";"Eighty";"Ninety"}</definedName>
    <definedName name="tens" localSheetId="770">{"";"";"Twenty";"Thirty";"Forty";"Fifty";"Sixty";"Seventy";"Eighty";"Ninety"}</definedName>
    <definedName name="tens" localSheetId="712">{"";"";"Twenty";"Thirty";"Forty";"Fifty";"Sixty";"Seventy";"Eighty";"Ninety"}</definedName>
    <definedName name="tens" localSheetId="589">{"";"";"Twenty";"Thirty";"Forty";"Fifty";"Sixty";"Seventy";"Eighty";"Ninety"}</definedName>
    <definedName name="tens" localSheetId="737">{"";"";"Twenty";"Thirty";"Forty";"Fifty";"Sixty";"Seventy";"Eighty";"Ninety"}</definedName>
    <definedName name="tens" localSheetId="70">{"";"";"Twenty";"Thirty";"Forty";"Fifty";"Sixty";"Seventy";"Eighty";"Ninety"}</definedName>
    <definedName name="tens" localSheetId="723">{"";"";"Twenty";"Thirty";"Forty";"Fifty";"Sixty";"Seventy";"Eighty";"Ninety"}</definedName>
    <definedName name="tens" localSheetId="699">{"";"";"Twenty";"Thirty";"Forty";"Fifty";"Sixty";"Seventy";"Eighty";"Ninety"}</definedName>
    <definedName name="tens" localSheetId="735">{"";"";"Twenty";"Thirty";"Forty";"Fifty";"Sixty";"Seventy";"Eighty";"Ninety"}</definedName>
    <definedName name="tens" localSheetId="740">{"";"";"Twenty";"Thirty";"Forty";"Fifty";"Sixty";"Seventy";"Eighty";"Ninety"}</definedName>
    <definedName name="tens" localSheetId="763">{"";"";"Twenty";"Thirty";"Forty";"Fifty";"Sixty";"Seventy";"Eighty";"Ninety"}</definedName>
    <definedName name="tens" localSheetId="727">{"";"";"Twenty";"Thirty";"Forty";"Fifty";"Sixty";"Seventy";"Eighty";"Ninety"}</definedName>
    <definedName name="tens" localSheetId="725">{"";"";"Twenty";"Thirty";"Forty";"Fifty";"Sixty";"Seventy";"Eighty";"Ninety"}</definedName>
    <definedName name="tens" localSheetId="721">{"";"";"Twenty";"Thirty";"Forty";"Fifty";"Sixty";"Seventy";"Eighty";"Ninety"}</definedName>
    <definedName name="tens" localSheetId="692">{"";"";"Twenty";"Thirty";"Forty";"Fifty";"Sixty";"Seventy";"Eighty";"Ninety"}</definedName>
    <definedName name="tens" localSheetId="593">{"";"";"Twenty";"Thirty";"Forty";"Fifty";"Sixty";"Seventy";"Eighty";"Ninety"}</definedName>
    <definedName name="tens" localSheetId="768">{"";"";"Twenty";"Thirty";"Forty";"Fifty";"Sixty";"Seventy";"Eighty";"Ninety"}</definedName>
    <definedName name="tens" localSheetId="729">{"";"";"Twenty";"Thirty";"Forty";"Fifty";"Sixty";"Seventy";"Eighty";"Ninety"}</definedName>
    <definedName name="tens" localSheetId="730">{"";"";"Twenty";"Thirty";"Forty";"Fifty";"Sixty";"Seventy";"Eighty";"Ninety"}</definedName>
    <definedName name="tens" localSheetId="595">{"";"";"Twenty";"Thirty";"Forty";"Fifty";"Sixty";"Seventy";"Eighty";"Ninety"}</definedName>
    <definedName name="tens" localSheetId="703">{"";"";"Twenty";"Thirty";"Forty";"Fifty";"Sixty";"Seventy";"Eighty";"Ninety"}</definedName>
    <definedName name="tens" localSheetId="722">{"";"";"Twenty";"Thirty";"Forty";"Fifty";"Sixty";"Seventy";"Eighty";"Ninety"}</definedName>
    <definedName name="tens" localSheetId="588">{"";"";"Twenty";"Thirty";"Forty";"Fifty";"Sixty";"Seventy";"Eighty";"Ninety"}</definedName>
    <definedName name="tens" localSheetId="705">{"";"";"Twenty";"Thirty";"Forty";"Fifty";"Sixty";"Seventy";"Eighty";"Ninety"}</definedName>
    <definedName name="tens" localSheetId="757">{"";"";"Twenty";"Thirty";"Forty";"Fifty";"Sixty";"Seventy";"Eighty";"Ninety"}</definedName>
    <definedName name="tens" localSheetId="728">{"";"";"Twenty";"Thirty";"Forty";"Fifty";"Sixty";"Seventy";"Eighty";"Ninety"}</definedName>
    <definedName name="tens" localSheetId="694">{"";"";"Twenty";"Thirty";"Forty";"Fifty";"Sixty";"Seventy";"Eighty";"Ninety"}</definedName>
    <definedName name="tens" localSheetId="688">{"";"";"Twenty";"Thirty";"Forty";"Fifty";"Sixty";"Seventy";"Eighty";"Ninety"}</definedName>
    <definedName name="tens" localSheetId="751">{"";"";"Twenty";"Thirty";"Forty";"Fifty";"Sixty";"Seventy";"Eighty";"Ninety"}</definedName>
    <definedName name="tens" localSheetId="701">{"";"";"Twenty";"Thirty";"Forty";"Fifty";"Sixty";"Seventy";"Eighty";"Ninety"}</definedName>
    <definedName name="tens" localSheetId="594">{"";"";"Twenty";"Thirty";"Forty";"Fifty";"Sixty";"Seventy";"Eighty";"Ninety"}</definedName>
    <definedName name="tens" localSheetId="731">{"";"";"Twenty";"Thirty";"Forty";"Fifty";"Sixty";"Seventy";"Eighty";"Ninety"}</definedName>
    <definedName name="tens" localSheetId="708">{"";"";"Twenty";"Thirty";"Forty";"Fifty";"Sixty";"Seventy";"Eighty";"Ninety"}</definedName>
    <definedName name="tens" localSheetId="739">{"";"";"Twenty";"Thirty";"Forty";"Fifty";"Sixty";"Seventy";"Eighty";"Ninety"}</definedName>
    <definedName name="tens" localSheetId="709">{"";"";"Twenty";"Thirty";"Forty";"Fifty";"Sixty";"Seventy";"Eighty";"Ninety"}</definedName>
    <definedName name="tens" localSheetId="736">{"";"";"Twenty";"Thirty";"Forty";"Fifty";"Sixty";"Seventy";"Eighty";"Ninety"}</definedName>
    <definedName name="tens" localSheetId="747">{"";"";"Twenty";"Thirty";"Forty";"Fifty";"Sixty";"Seventy";"Eighty";"Ninety"}</definedName>
    <definedName name="tens" localSheetId="720">{"";"";"Twenty";"Thirty";"Forty";"Fifty";"Sixty";"Seventy";"Eighty";"Ninety"}</definedName>
    <definedName name="tens" localSheetId="695">{"";"";"Twenty";"Thirty";"Forty";"Fifty";"Sixty";"Seventy";"Eighty";"Ninety"}</definedName>
    <definedName name="tens" localSheetId="750">{"";"";"Twenty";"Thirty";"Forty";"Fifty";"Sixty";"Seventy";"Eighty";"Ninety"}</definedName>
    <definedName name="tens" localSheetId="704">{"";"";"Twenty";"Thirty";"Forty";"Fifty";"Sixty";"Seventy";"Eighty";"Ninety"}</definedName>
    <definedName name="tens" localSheetId="693">{"";"";"Twenty";"Thirty";"Forty";"Fifty";"Sixty";"Seventy";"Eighty";"Ninety"}</definedName>
    <definedName name="tens" localSheetId="706">{"";"";"Twenty";"Thirty";"Forty";"Fifty";"Sixty";"Seventy";"Eighty";"Ninety"}</definedName>
    <definedName name="tens" localSheetId="764">{"";"";"Twenty";"Thirty";"Forty";"Fifty";"Sixty";"Seventy";"Eighty";"Ninety"}</definedName>
    <definedName name="tens" localSheetId="592">{"";"";"Twenty";"Thirty";"Forty";"Fifty";"Sixty";"Seventy";"Eighty";"Ninety"}</definedName>
    <definedName name="tens" localSheetId="715">{"";"";"Twenty";"Thirty";"Forty";"Fifty";"Sixty";"Seventy";"Eighty";"Ninety"}</definedName>
    <definedName name="tens" localSheetId="733">{"";"";"Twenty";"Thirty";"Forty";"Fifty";"Sixty";"Seventy";"Eighty";"Ninety"}</definedName>
    <definedName name="tens" localSheetId="732">{"";"";"Twenty";"Thirty";"Forty";"Fifty";"Sixty";"Seventy";"Eighty";"Ninety"}</definedName>
    <definedName name="tens" localSheetId="691">{"";"";"Twenty";"Thirty";"Forty";"Fifty";"Sixty";"Seventy";"Eighty";"Ninety"}</definedName>
    <definedName name="tens" localSheetId="710">{"";"";"Twenty";"Thirty";"Forty";"Fifty";"Sixty";"Seventy";"Eighty";"Ninety"}</definedName>
    <definedName name="tens" localSheetId="702">{"";"";"Twenty";"Thirty";"Forty";"Fifty";"Sixty";"Seventy";"Eighty";"Ninety"}</definedName>
    <definedName name="tens" localSheetId="711">{"";"";"Twenty";"Thirty";"Forty";"Fifty";"Sixty";"Seventy";"Eighty";"Ninety"}</definedName>
    <definedName name="tens" localSheetId="689">{"";"";"Twenty";"Thirty";"Forty";"Fifty";"Sixty";"Seventy";"Eighty";"Ninety"}</definedName>
    <definedName name="tens" localSheetId="590">{"";"";"Twenty";"Thirty";"Forty";"Fifty";"Sixty";"Seventy";"Eighty";"Ninety"}</definedName>
    <definedName name="tens" localSheetId="591">{"";"";"Twenty";"Thirty";"Forty";"Fifty";"Sixty";"Seventy";"Eighty";"Ninety"}</definedName>
    <definedName name="tens" localSheetId="707">{"";"";"Twenty";"Thirty";"Forty";"Fifty";"Sixty";"Seventy";"Eighty";"Ninety"}</definedName>
    <definedName name="tens" localSheetId="587">{"";"";"Twenty";"Thirty";"Forty";"Fifty";"Sixty";"Seventy";"Eighty";"Ninety"}</definedName>
    <definedName name="tens" localSheetId="765">{"";"";"Twenty";"Thirty";"Forty";"Fifty";"Sixty";"Seventy";"Eighty";"Ninety"}</definedName>
    <definedName name="tens" localSheetId="766">{"";"";"Twenty";"Thirty";"Forty";"Fifty";"Sixty";"Seventy";"Eighty";"Ninety"}</definedName>
    <definedName name="tens" localSheetId="734">{"";"";"Twenty";"Thirty";"Forty";"Fifty";"Sixty";"Seventy";"Eighty";"Ninety"}</definedName>
    <definedName name="tens" localSheetId="700">{"";"";"Twenty";"Thirty";"Forty";"Fifty";"Sixty";"Seventy";"Eighty";"Ninety"}</definedName>
    <definedName name="tens" localSheetId="698">{"";"";"Twenty";"Thirty";"Forty";"Fifty";"Sixty";"Seventy";"Eighty";"Ninety"}</definedName>
    <definedName name="tens" localSheetId="726">{"";"";"Twenty";"Thirty";"Forty";"Fifty";"Sixty";"Seventy";"Eighty";"Ninety"}</definedName>
    <definedName name="tens" localSheetId="716">{"";"";"Twenty";"Thirty";"Forty";"Fifty";"Sixty";"Seventy";"Eighty";"Ninety"}</definedName>
    <definedName name="tens" localSheetId="774">{"";"";"Twenty";"Thirty";"Forty";"Fifty";"Sixty";"Seventy";"Eighty";"Ninety"}</definedName>
    <definedName name="tens" localSheetId="586">{"";"";"Twenty";"Thirty";"Forty";"Fifty";"Sixty";"Seventy";"Eighty";"Ninety"}</definedName>
    <definedName name="tens" localSheetId="124">{"";"";"Twenty";"Thirty";"Forty";"Fifty";"Sixty";"Seventy";"Eighty";"Ninety"}</definedName>
    <definedName name="tens" localSheetId="0">{"";"";"Twenty";"Thirty";"Forty";"Fifty";"Sixty";"Seventy";"Eighty";"Ninety"}</definedName>
    <definedName name="tens" localSheetId="415">{"";"";"Twenty";"Thirty";"Forty";"Fifty";"Sixty";"Seventy";"Eighty";"Ninety"}</definedName>
    <definedName name="tens" localSheetId="373">{"";"";"Twenty";"Thirty";"Forty";"Fifty";"Sixty";"Seventy";"Eighty";"Ninety"}</definedName>
    <definedName name="tens" localSheetId="372">{"";"";"Twenty";"Thirty";"Forty";"Fifty";"Sixty";"Seventy";"Eighty";"Ninety"}</definedName>
    <definedName name="tens" localSheetId="598">{"";"";"Twenty";"Thirty";"Forty";"Fifty";"Sixty";"Seventy";"Eighty";"Ninety"}</definedName>
    <definedName name="tens" localSheetId="371">{"";"";"Twenty";"Thirty";"Forty";"Fifty";"Sixty";"Seventy";"Eighty";"Ninety"}</definedName>
    <definedName name="tens" localSheetId="637">{"";"";"Twenty";"Thirty";"Forty";"Fifty";"Sixty";"Seventy";"Eighty";"Ninety"}</definedName>
    <definedName name="tens" localSheetId="638">{"";"";"Twenty";"Thirty";"Forty";"Fifty";"Sixty";"Seventy";"Eighty";"Ninety"}</definedName>
    <definedName name="tens" localSheetId="9">{"";"";"Twenty";"Thirty";"Forty";"Fifty";"Sixty";"Seventy";"Eighty";"Ninety"}</definedName>
    <definedName name="tens" localSheetId="719">{"";"";"Twenty";"Thirty";"Forty";"Fifty";"Sixty";"Seventy";"Eighty";"Ninety"}</definedName>
    <definedName name="tens" localSheetId="583">{"";"";"Twenty";"Thirty";"Forty";"Fifty";"Sixty";"Seventy";"Eighty";"Ninety"}</definedName>
    <definedName name="tens" localSheetId="3">{"";"";"Twenty";"Thirty";"Forty";"Fifty";"Sixty";"Seventy";"Eighty";"Ninety"}</definedName>
    <definedName name="tens" localSheetId="6">{"";"";"Twenty";"Thirty";"Forty";"Fifty";"Sixty";"Seventy";"Eighty";"Ninety"}</definedName>
    <definedName name="tens" localSheetId="8">{"";"";"Twenty";"Thirty";"Forty";"Fifty";"Sixty";"Seventy";"Eighty";"Ninety"}</definedName>
    <definedName name="tens" localSheetId="7">{"";"";"Twenty";"Thirty";"Forty";"Fifty";"Sixty";"Seventy";"Eighty";"Ninety"}</definedName>
    <definedName name="tens" localSheetId="414">{"";"";"Twenty";"Thirty";"Forty";"Fifty";"Sixty";"Seventy";"Eighty";"Ninety"}</definedName>
    <definedName name="tens" localSheetId="580">{"";"";"Twenty";"Thirty";"Forty";"Fifty";"Sixty";"Seventy";"Eighty";"Ninety"}</definedName>
    <definedName name="tens" localSheetId="578">{"";"";"Twenty";"Thirty";"Forty";"Fifty";"Sixty";"Seventy";"Eighty";"Ninety"}</definedName>
    <definedName name="Z_6428A7A0_B31B_40C1_A13E_AD0DCC619E51_.wvu.PrintArea" localSheetId="4" hidden="1">'360'!$A$1:$H$53</definedName>
    <definedName name="Z_6428A7A0_B31B_40C1_A13E_AD0DCC619E51_.wvu.PrintArea" localSheetId="139" hidden="1">'A.S. Kranamm'!$A$1:$F$49</definedName>
    <definedName name="Z_6428A7A0_B31B_40C1_A13E_AD0DCC619E51_.wvu.PrintArea" localSheetId="56" hidden="1">AA!$A$1:$F$53</definedName>
    <definedName name="Z_6428A7A0_B31B_40C1_A13E_AD0DCC619E51_.wvu.PrintArea" localSheetId="58" hidden="1">'AA (2)'!$A$1:$F$53</definedName>
    <definedName name="Z_6428A7A0_B31B_40C1_A13E_AD0DCC619E51_.wvu.PrintArea" localSheetId="45" hidden="1">'AB &amp; Artho'!$A$1:$H$53</definedName>
    <definedName name="Z_6428A7A0_B31B_40C1_A13E_AD0DCC619E51_.wvu.PrintArea" localSheetId="59" hidden="1">Access!$A$1:$F$53</definedName>
    <definedName name="Z_6428A7A0_B31B_40C1_A13E_AD0DCC619E51_.wvu.PrintArea" localSheetId="36" hidden="1">'Actife Lifestyle'!$A$1:$F$55</definedName>
    <definedName name="Z_6428A7A0_B31B_40C1_A13E_AD0DCC619E51_.wvu.PrintArea" localSheetId="38" hidden="1">Actiontintoy!$A$1:$F$53</definedName>
    <definedName name="Z_6428A7A0_B31B_40C1_A13E_AD0DCC619E51_.wvu.PrintArea" localSheetId="135" hidden="1">Adpix!$A$1:$F$49</definedName>
    <definedName name="Z_6428A7A0_B31B_40C1_A13E_AD0DCC619E51_.wvu.PrintArea" localSheetId="16" hidden="1">Adstream!$A$1:$F$54</definedName>
    <definedName name="Z_6428A7A0_B31B_40C1_A13E_AD0DCC619E51_.wvu.PrintArea" localSheetId="51" hidden="1">'Advance Creative'!$A$1:$H$52</definedName>
    <definedName name="Z_6428A7A0_B31B_40C1_A13E_AD0DCC619E51_.wvu.PrintArea" localSheetId="14" hidden="1">'Advance Tech'!$A$1:$H$52</definedName>
    <definedName name="Z_6428A7A0_B31B_40C1_A13E_AD0DCC619E51_.wvu.PrintArea" localSheetId="67" hidden="1">'AFC Network'!$A$1:$F$50</definedName>
    <definedName name="Z_6428A7A0_B31B_40C1_A13E_AD0DCC619E51_.wvu.PrintArea" localSheetId="141" hidden="1">Affa!$A$1:$H$53</definedName>
    <definedName name="Z_6428A7A0_B31B_40C1_A13E_AD0DCC619E51_.wvu.PrintArea" localSheetId="40" hidden="1">Affa2!$A$1:$H$56</definedName>
    <definedName name="Z_6428A7A0_B31B_40C1_A13E_AD0DCC619E51_.wvu.PrintArea" localSheetId="134" hidden="1">Agensi!$A$1:$F$49</definedName>
    <definedName name="Z_6428A7A0_B31B_40C1_A13E_AD0DCC619E51_.wvu.PrintArea" localSheetId="30" hidden="1">'Agnes Maritha'!$A$1:$F$53</definedName>
    <definedName name="Z_6428A7A0_B31B_40C1_A13E_AD0DCC619E51_.wvu.PrintArea" localSheetId="52" hidden="1">AHR!$A$1:$H$54</definedName>
    <definedName name="Z_6428A7A0_B31B_40C1_A13E_AD0DCC619E51_.wvu.PrintArea" localSheetId="32" hidden="1">'Aim Max'!$A$1:$F$53</definedName>
    <definedName name="Z_6428A7A0_B31B_40C1_A13E_AD0DCC619E51_.wvu.PrintArea" localSheetId="24" hidden="1">AirAsia!$A$1:$H$56</definedName>
    <definedName name="Z_6428A7A0_B31B_40C1_A13E_AD0DCC619E51_.wvu.PrintArea" localSheetId="25" hidden="1">'AirAsia (2)'!$A$1:$H$53</definedName>
    <definedName name="Z_6428A7A0_B31B_40C1_A13E_AD0DCC619E51_.wvu.PrintArea" localSheetId="54" hidden="1">AirTrip!$A$1:$H$55</definedName>
    <definedName name="Z_6428A7A0_B31B_40C1_A13E_AD0DCC619E51_.wvu.PrintArea" localSheetId="33" hidden="1">'AKA Balloon'!$A$1:$H$54</definedName>
    <definedName name="Z_6428A7A0_B31B_40C1_A13E_AD0DCC619E51_.wvu.PrintArea" localSheetId="17" hidden="1">'Akauntan Negara Malaysia '!$A$1:$H$53</definedName>
    <definedName name="Z_6428A7A0_B31B_40C1_A13E_AD0DCC619E51_.wvu.PrintArea" localSheetId="144" hidden="1">'Alber Yap'!$A$1:$F$49</definedName>
    <definedName name="Z_6428A7A0_B31B_40C1_A13E_AD0DCC619E51_.wvu.PrintArea" localSheetId="143" hidden="1">Albert!$A$1:$F$49</definedName>
    <definedName name="Z_6428A7A0_B31B_40C1_A13E_AD0DCC619E51_.wvu.PrintArea" localSheetId="61" hidden="1">Alliance!$A$1:$F$53</definedName>
    <definedName name="Z_6428A7A0_B31B_40C1_A13E_AD0DCC619E51_.wvu.PrintArea" localSheetId="29" hidden="1">'Alunan Matrik'!$A$1:$F$53</definedName>
    <definedName name="Z_6428A7A0_B31B_40C1_A13E_AD0DCC619E51_.wvu.PrintArea" localSheetId="20" hidden="1">'Ameba Art'!$A$1:$F$54</definedName>
    <definedName name="Z_6428A7A0_B31B_40C1_A13E_AD0DCC619E51_.wvu.PrintArea" localSheetId="35" hidden="1">Annamah!$A$1:$F$52</definedName>
    <definedName name="Z_6428A7A0_B31B_40C1_A13E_AD0DCC619E51_.wvu.PrintArea" localSheetId="49" hidden="1">'Anovia Bridal'!$A$1:$H$52</definedName>
    <definedName name="Z_6428A7A0_B31B_40C1_A13E_AD0DCC619E51_.wvu.PrintArea" localSheetId="23" hidden="1">'APL Media Ltd'!$A$1:$H$55</definedName>
    <definedName name="Z_6428A7A0_B31B_40C1_A13E_AD0DCC619E51_.wvu.PrintArea" localSheetId="57" hidden="1">'A-Production'!$A$1:$F$55</definedName>
    <definedName name="Z_6428A7A0_B31B_40C1_A13E_AD0DCC619E51_.wvu.PrintArea" localSheetId="136" hidden="1">Arkitek!$A$1:$F$51</definedName>
    <definedName name="Z_6428A7A0_B31B_40C1_A13E_AD0DCC619E51_.wvu.PrintArea" localSheetId="64" hidden="1">'Art Tune'!$A$1:$F$49</definedName>
    <definedName name="Z_6428A7A0_B31B_40C1_A13E_AD0DCC619E51_.wvu.PrintArea" localSheetId="50" hidden="1">'Artiz Vision'!$A$1:$H$54</definedName>
    <definedName name="Z_6428A7A0_B31B_40C1_A13E_AD0DCC619E51_.wvu.PrintArea" localSheetId="244" hidden="1">Asia!$A$1:$F$52</definedName>
    <definedName name="Z_6428A7A0_B31B_40C1_A13E_AD0DCC619E51_.wvu.PrintArea" localSheetId="91" hidden="1">'Asia Garden'!$A$1:$F$52</definedName>
    <definedName name="Z_6428A7A0_B31B_40C1_A13E_AD0DCC619E51_.wvu.PrintArea" localSheetId="62" hidden="1">'Asia Holiday'!$A$1:$F$49</definedName>
    <definedName name="Z_6428A7A0_B31B_40C1_A13E_AD0DCC619E51_.wvu.PrintArea" localSheetId="65" hidden="1">Astro!$A$1:$H$59</definedName>
    <definedName name="Z_6428A7A0_B31B_40C1_A13E_AD0DCC619E51_.wvu.PrintArea" localSheetId="137" hidden="1">Aun!$A$1:$F$50</definedName>
    <definedName name="Z_6428A7A0_B31B_40C1_A13E_AD0DCC619E51_.wvu.PrintArea" localSheetId="133" hidden="1">Avant!$A$1:$F$53</definedName>
    <definedName name="Z_6428A7A0_B31B_40C1_A13E_AD0DCC619E51_.wvu.PrintArea" localSheetId="145" hidden="1">Avion!$A$1:$F$53</definedName>
    <definedName name="Z_6428A7A0_B31B_40C1_A13E_AD0DCC619E51_.wvu.PrintArea" localSheetId="142" hidden="1">'Avion '!$A$1:$F$53</definedName>
    <definedName name="Z_6428A7A0_B31B_40C1_A13E_AD0DCC619E51_.wvu.PrintArea" localSheetId="39" hidden="1">AXA!$A$1:$F$53</definedName>
    <definedName name="Z_6428A7A0_B31B_40C1_A13E_AD0DCC619E51_.wvu.PrintArea" localSheetId="18" hidden="1">'Azman bin Ahmad'!$A$1:$H$54</definedName>
    <definedName name="Z_6428A7A0_B31B_40C1_A13E_AD0DCC619E51_.wvu.PrintArea" localSheetId="158" hidden="1">'B&amp;W'!$A$1:$F$53</definedName>
    <definedName name="Z_6428A7A0_B31B_40C1_A13E_AD0DCC619E51_.wvu.PrintArea" localSheetId="183" hidden="1">'Baba Success'!$A$1:$F$49</definedName>
    <definedName name="Z_6428A7A0_B31B_40C1_A13E_AD0DCC619E51_.wvu.PrintArea" localSheetId="184" hidden="1">'Baba Two'!$A$1:$F$56</definedName>
    <definedName name="Z_6428A7A0_B31B_40C1_A13E_AD0DCC619E51_.wvu.PrintArea" localSheetId="167" hidden="1">BabaJob!$A$1:$F$53</definedName>
    <definedName name="Z_6428A7A0_B31B_40C1_A13E_AD0DCC619E51_.wvu.PrintArea" localSheetId="197" hidden="1">'Badan Warisan'!$A$1:$E$52</definedName>
    <definedName name="Z_6428A7A0_B31B_40C1_A13E_AD0DCC619E51_.wvu.PrintArea" localSheetId="179" hidden="1">Balasu!$A$1:$F$52</definedName>
    <definedName name="Z_6428A7A0_B31B_40C1_A13E_AD0DCC619E51_.wvu.PrintArea" localSheetId="162" hidden="1">'Bandar utama'!$A$1:$H$54</definedName>
    <definedName name="Z_6428A7A0_B31B_40C1_A13E_AD0DCC619E51_.wvu.PrintArea" localSheetId="165" hidden="1">'Bang Phuong'!$A$1:$H$53</definedName>
    <definedName name="Z_6428A7A0_B31B_40C1_A13E_AD0DCC619E51_.wvu.PrintArea" localSheetId="185" hidden="1">'Bangkok Express'!$A$1:$F$49</definedName>
    <definedName name="Z_6428A7A0_B31B_40C1_A13E_AD0DCC619E51_.wvu.PrintArea" localSheetId="186" hidden="1">Bayview!$A$1:$F$53</definedName>
    <definedName name="Z_6428A7A0_B31B_40C1_A13E_AD0DCC619E51_.wvu.PrintArea" localSheetId="173" hidden="1">'BB Websolutions'!$A$1:$H$56</definedName>
    <definedName name="Z_6428A7A0_B31B_40C1_A13E_AD0DCC619E51_.wvu.PrintArea" localSheetId="159" hidden="1">Beceative!$A$1:$F$49</definedName>
    <definedName name="Z_6428A7A0_B31B_40C1_A13E_AD0DCC619E51_.wvu.PrintArea" localSheetId="174" hidden="1">'Bendahari Negeri Pulau Pinang'!$A$1:$F$55</definedName>
    <definedName name="Z_6428A7A0_B31B_40C1_A13E_AD0DCC619E51_.wvu.PrintArea" localSheetId="178" hidden="1">'Benedict Lian Shi XIang'!$A$1:$F$49</definedName>
    <definedName name="Z_6428A7A0_B31B_40C1_A13E_AD0DCC619E51_.wvu.PrintArea" localSheetId="164" hidden="1">'Berjaya Sumpo'!$A$1:$H$53</definedName>
    <definedName name="Z_6428A7A0_B31B_40C1_A13E_AD0DCC619E51_.wvu.PrintArea" localSheetId="187" hidden="1">'BJ Hotel Development'!$A$1:$F$49</definedName>
    <definedName name="Z_6428A7A0_B31B_40C1_A13E_AD0DCC619E51_.wvu.PrintArea" localSheetId="201" hidden="1">'BJ Hotel Development (2)'!$A$1:$F$49</definedName>
    <definedName name="Z_6428A7A0_B31B_40C1_A13E_AD0DCC619E51_.wvu.PrintArea" localSheetId="12" hidden="1">'Bon Ton'!$A$1:$F$52</definedName>
    <definedName name="Z_6428A7A0_B31B_40C1_A13E_AD0DCC619E51_.wvu.PrintArea" localSheetId="189" hidden="1">'Borneo Vision'!$A$1:$F$52</definedName>
    <definedName name="Z_6428A7A0_B31B_40C1_A13E_AD0DCC619E51_.wvu.PrintArea" localSheetId="161" hidden="1">'Brand New'!$A$1:$H$66</definedName>
    <definedName name="Z_6428A7A0_B31B_40C1_A13E_AD0DCC619E51_.wvu.PrintArea" localSheetId="272" hidden="1">'CAC '!$A$1:$F$55</definedName>
    <definedName name="Z_6428A7A0_B31B_40C1_A13E_AD0DCC619E51_.wvu.PrintArea" localSheetId="261" hidden="1">Cake!$A$1:$H$55</definedName>
    <definedName name="Z_6428A7A0_B31B_40C1_A13E_AD0DCC619E51_.wvu.PrintArea" localSheetId="218" hidden="1">Campbell!$A$1:$F$49</definedName>
    <definedName name="Z_6428A7A0_B31B_40C1_A13E_AD0DCC619E51_.wvu.PrintArea" localSheetId="264" hidden="1">'Capital All Star Enterprise'!$A$1:$F$53</definedName>
    <definedName name="Z_6428A7A0_B31B_40C1_A13E_AD0DCC619E51_.wvu.PrintArea" localSheetId="265" hidden="1">Cecilia!$A$1:$F$62</definedName>
    <definedName name="Z_6428A7A0_B31B_40C1_A13E_AD0DCC619E51_.wvu.PrintArea" localSheetId="205" hidden="1">Celcom!$A$1:$F$51</definedName>
    <definedName name="Z_6428A7A0_B31B_40C1_A13E_AD0DCC619E51_.wvu.PrintArea" localSheetId="286" hidden="1">'Celcom Sdn Bhd'!$A$1:$H$55</definedName>
    <definedName name="Z_6428A7A0_B31B_40C1_A13E_AD0DCC619E51_.wvu.PrintArea" localSheetId="278" hidden="1">Chailek!$A$1:$H$52</definedName>
    <definedName name="Z_6428A7A0_B31B_40C1_A13E_AD0DCC619E51_.wvu.PrintArea" localSheetId="266" hidden="1">'Chan Tang Eng'!$A$1:$F$55</definedName>
    <definedName name="Z_6428A7A0_B31B_40C1_A13E_AD0DCC619E51_.wvu.PrintArea" localSheetId="250" hidden="1">'Chan Wei Meng'!$A$1:$F$52</definedName>
    <definedName name="Z_6428A7A0_B31B_40C1_A13E_AD0DCC619E51_.wvu.PrintArea" localSheetId="279" hidden="1">'Cheah Hock Lye'!$A$1:$H$53</definedName>
    <definedName name="Z_6428A7A0_B31B_40C1_A13E_AD0DCC619E51_.wvu.PrintArea" localSheetId="273" hidden="1">'Chee Seng'!$A$1:$F$53</definedName>
    <definedName name="Z_6428A7A0_B31B_40C1_A13E_AD0DCC619E51_.wvu.PrintArea" localSheetId="275" hidden="1">'China Airlines Limited'!$A$1:$H$53</definedName>
    <definedName name="Z_6428A7A0_B31B_40C1_A13E_AD0DCC619E51_.wvu.PrintArea" localSheetId="283" hidden="1">'Chong Kar Yuan'!$A$1:$H$56</definedName>
    <definedName name="Z_6428A7A0_B31B_40C1_A13E_AD0DCC619E51_.wvu.PrintArea" localSheetId="268" hidden="1">'Chong Lee Choo'!$A$1:$F$53</definedName>
    <definedName name="Z_6428A7A0_B31B_40C1_A13E_AD0DCC619E51_.wvu.PrintArea" localSheetId="206" hidden="1">'Chong Li Ching'!$A$1:$F$53</definedName>
    <definedName name="Z_6428A7A0_B31B_40C1_A13E_AD0DCC619E51_.wvu.PrintArea" localSheetId="240" hidden="1">'Chung Hwa Confucian'!$A$1:$F$50</definedName>
    <definedName name="Z_6428A7A0_B31B_40C1_A13E_AD0DCC619E51_.wvu.PrintArea" localSheetId="96" hidden="1">'CIMB Credit Card'!$A$1:$H$59</definedName>
    <definedName name="Z_6428A7A0_B31B_40C1_A13E_AD0DCC619E51_.wvu.PrintArea" localSheetId="220" hidden="1">Clarity!$A$1:$H$53</definedName>
    <definedName name="Z_6428A7A0_B31B_40C1_A13E_AD0DCC619E51_.wvu.PrintArea" localSheetId="221" hidden="1">'Clarity (2)'!$A$1:$F$50</definedName>
    <definedName name="Z_6428A7A0_B31B_40C1_A13E_AD0DCC619E51_.wvu.PrintArea" localSheetId="245" hidden="1">'Click Start'!$A$1:$F$53</definedName>
    <definedName name="Z_6428A7A0_B31B_40C1_A13E_AD0DCC619E51_.wvu.PrintArea" localSheetId="241" hidden="1">Confrerie!$A$1:$F$50</definedName>
    <definedName name="Z_6428A7A0_B31B_40C1_A13E_AD0DCC619E51_.wvu.PrintArea" localSheetId="233" hidden="1">Connect!$A$1:$F$49</definedName>
    <definedName name="Z_6428A7A0_B31B_40C1_A13E_AD0DCC619E51_.wvu.PrintArea" localSheetId="215" hidden="1">Continental!$A$1:$F$49</definedName>
    <definedName name="Z_6428A7A0_B31B_40C1_A13E_AD0DCC619E51_.wvu.PrintArea" localSheetId="299" hidden="1">Convep2!$A$1:$H$53</definedName>
    <definedName name="Z_6428A7A0_B31B_40C1_A13E_AD0DCC619E51_.wvu.PrintArea" localSheetId="99" hidden="1">Creative!$A$1:$F$53</definedName>
    <definedName name="Z_6428A7A0_B31B_40C1_A13E_AD0DCC619E51_.wvu.PrintArea" localSheetId="263" hidden="1">'Crowne Plaza'!$A$1:$F$53</definedName>
    <definedName name="Z_6428A7A0_B31B_40C1_A13E_AD0DCC619E51_.wvu.PrintArea" localSheetId="582" hidden="1">'Danny Goon'!$A$1:$H$54</definedName>
    <definedName name="Z_6428A7A0_B31B_40C1_A13E_AD0DCC619E51_.wvu.PrintArea" localSheetId="581" hidden="1">'Dato Mustafa'!$A$1:$H$54</definedName>
    <definedName name="Z_6428A7A0_B31B_40C1_A13E_AD0DCC619E51_.wvu.PrintArea" localSheetId="579" hidden="1">'Dato'' Rosli'!$A$1:$F$55</definedName>
    <definedName name="Z_6428A7A0_B31B_40C1_A13E_AD0DCC619E51_.wvu.PrintArea" localSheetId="584" hidden="1">'Dato Seri Aru'!$A$1:$H$54</definedName>
    <definedName name="Z_6428A7A0_B31B_40C1_A13E_AD0DCC619E51_.wvu.PrintArea" localSheetId="323" hidden="1">Devi!$A$1:$F$49</definedName>
    <definedName name="Z_6428A7A0_B31B_40C1_A13E_AD0DCC619E51_.wvu.PrintArea" localSheetId="309" hidden="1">'Discover Orient'!$A$1:$F$53</definedName>
    <definedName name="Z_6428A7A0_B31B_40C1_A13E_AD0DCC619E51_.wvu.PrintArea" localSheetId="306" hidden="1">'Discover Vacations'!$A$1:$F$55</definedName>
    <definedName name="Z_6428A7A0_B31B_40C1_A13E_AD0DCC619E51_.wvu.PrintArea" localSheetId="311" hidden="1">'D''Media'!$A$1:$F$53</definedName>
    <definedName name="Z_6428A7A0_B31B_40C1_A13E_AD0DCC619E51_.wvu.PrintArea" localSheetId="305" hidden="1">'Dragon Airlines'!$A$1:$H$53</definedName>
    <definedName name="Z_6428A7A0_B31B_40C1_A13E_AD0DCC619E51_.wvu.PrintArea" localSheetId="336" hidden="1">'E&amp;O Trading'!$A$1:$F$49</definedName>
    <definedName name="Z_6428A7A0_B31B_40C1_A13E_AD0DCC619E51_.wvu.PrintArea" localSheetId="340" hidden="1">Eastin2!$A$1:$F$49</definedName>
    <definedName name="Z_6428A7A0_B31B_40C1_A13E_AD0DCC619E51_.wvu.PrintArea" localSheetId="90" hidden="1">ecs!$A$1:$F$49</definedName>
    <definedName name="Z_6428A7A0_B31B_40C1_A13E_AD0DCC619E51_.wvu.PrintArea" localSheetId="69" hidden="1">Eja!$A$1:$H$54</definedName>
    <definedName name="Z_6428A7A0_B31B_40C1_A13E_AD0DCC619E51_.wvu.PrintArea" localSheetId="344" hidden="1">Eli!$A$1:$F$49</definedName>
    <definedName name="Z_6428A7A0_B31B_40C1_A13E_AD0DCC619E51_.wvu.PrintArea" localSheetId="71" hidden="1">'Eqtd Consulting'!$A$1:$F$56</definedName>
    <definedName name="Z_6428A7A0_B31B_40C1_A13E_AD0DCC619E51_.wvu.PrintArea" localSheetId="343" hidden="1">'Ewe Teik Siang'!$A$1:$F$51</definedName>
    <definedName name="Z_6428A7A0_B31B_40C1_A13E_AD0DCC619E51_.wvu.PrintArea" localSheetId="360" hidden="1">'Feng Studio'!$A$1:$F$55</definedName>
    <definedName name="Z_6428A7A0_B31B_40C1_A13E_AD0DCC619E51_.wvu.PrintArea" localSheetId="106" hidden="1">'Fine Winner'!$A$1:$H$53</definedName>
    <definedName name="Z_6428A7A0_B31B_40C1_A13E_AD0DCC619E51_.wvu.PrintArea" localSheetId="118" hidden="1">FKGlobal!$A$1:$H$54</definedName>
    <definedName name="Z_6428A7A0_B31B_40C1_A13E_AD0DCC619E51_.wvu.PrintArea" localSheetId="115" hidden="1">Flagstaff!$A$1:$H$56</definedName>
    <definedName name="Z_6428A7A0_B31B_40C1_A13E_AD0DCC619E51_.wvu.PrintArea" localSheetId="690" hidden="1">'Flagstaff (2)'!$A$1:$H$58</definedName>
    <definedName name="Z_6428A7A0_B31B_40C1_A13E_AD0DCC619E51_.wvu.PrintArea" localSheetId="110" hidden="1">Flatplan!$A$1:$H$56</definedName>
    <definedName name="Z_6428A7A0_B31B_40C1_A13E_AD0DCC619E51_.wvu.PrintArea" localSheetId="116" hidden="1">Fluxline!$A$1:$F$53</definedName>
    <definedName name="Z_6428A7A0_B31B_40C1_A13E_AD0DCC619E51_.wvu.PrintArea" localSheetId="117" hidden="1">'FM Global'!$A$1:$F$52</definedName>
    <definedName name="Z_6428A7A0_B31B_40C1_A13E_AD0DCC619E51_.wvu.PrintArea" localSheetId="109" hidden="1">'Foong Chee Yin'!$A$1:$F$53</definedName>
    <definedName name="Z_6428A7A0_B31B_40C1_A13E_AD0DCC619E51_.wvu.PrintArea" localSheetId="127" hidden="1">Freddy!$A$1:$F$53</definedName>
    <definedName name="Z_6428A7A0_B31B_40C1_A13E_AD0DCC619E51_.wvu.PrintArea" localSheetId="112" hidden="1">Friendship!$A$1:$H$68</definedName>
    <definedName name="Z_6428A7A0_B31B_40C1_A13E_AD0DCC619E51_.wvu.PrintArea" localSheetId="362" hidden="1">'Fuji Xerox'!$A$1:$H$55</definedName>
    <definedName name="Z_6428A7A0_B31B_40C1_A13E_AD0DCC619E51_.wvu.PrintArea" localSheetId="361" hidden="1">'Fuji Xerox (3)'!$A$1:$H$52</definedName>
    <definedName name="Z_6428A7A0_B31B_40C1_A13E_AD0DCC619E51_.wvu.PrintArea" localSheetId="397" hidden="1">'Ghee Hiang'!$A$1:$F$49</definedName>
    <definedName name="Z_6428A7A0_B31B_40C1_A13E_AD0DCC619E51_.wvu.PrintArea" localSheetId="379" hidden="1">'GHT Malaysia'!$A$1:$H$55</definedName>
    <definedName name="Z_6428A7A0_B31B_40C1_A13E_AD0DCC619E51_.wvu.PrintArea" localSheetId="394" hidden="1">'Global Leadership'!$A$1:$F$52</definedName>
    <definedName name="Z_6428A7A0_B31B_40C1_A13E_AD0DCC619E51_.wvu.PrintArea" localSheetId="398" hidden="1">'Go Int Group'!$A$1:$F$53</definedName>
    <definedName name="Z_6428A7A0_B31B_40C1_A13E_AD0DCC619E51_.wvu.PrintArea" localSheetId="386" hidden="1">Goche!$A$1:$H$54</definedName>
    <definedName name="Z_6428A7A0_B31B_40C1_A13E_AD0DCC619E51_.wvu.PrintArea" localSheetId="383" hidden="1">'Goh Yen Ting'!$A$1:$F$53</definedName>
    <definedName name="Z_6428A7A0_B31B_40C1_A13E_AD0DCC619E51_.wvu.PrintArea" localSheetId="393" hidden="1">Google!$A$1:$H$53</definedName>
    <definedName name="Z_6428A7A0_B31B_40C1_A13E_AD0DCC619E51_.wvu.PrintArea" localSheetId="384" hidden="1">'Gooi Hean Kar'!$A$1:$F$53</definedName>
    <definedName name="Z_6428A7A0_B31B_40C1_A13E_AD0DCC619E51_.wvu.PrintArea" localSheetId="597" hidden="1">'Gooi Zi Sen'!$A$1:$H$54</definedName>
    <definedName name="Z_6428A7A0_B31B_40C1_A13E_AD0DCC619E51_.wvu.PrintArea" localSheetId="380" hidden="1">'Great Eastern'!$A$1:$H$52</definedName>
    <definedName name="Z_6428A7A0_B31B_40C1_A13E_AD0DCC619E51_.wvu.PrintArea" localSheetId="391" hidden="1">Gulliever!$A$1:$H$53</definedName>
    <definedName name="Z_6428A7A0_B31B_40C1_A13E_AD0DCC619E51_.wvu.PrintArea" localSheetId="422" hidden="1">Haze!$A$1:$F$53</definedName>
    <definedName name="Z_6428A7A0_B31B_40C1_A13E_AD0DCC619E51_.wvu.PrintArea" localSheetId="424" hidden="1">Heart!$A$1:$H$53</definedName>
    <definedName name="Z_6428A7A0_B31B_40C1_A13E_AD0DCC619E51_.wvu.PrintArea" localSheetId="427" hidden="1">'Heng Lee Lee'!$A$1:$F$53</definedName>
    <definedName name="Z_6428A7A0_B31B_40C1_A13E_AD0DCC619E51_.wvu.PrintArea" localSheetId="426" hidden="1">'HG Lim'!$A$1:$G$51</definedName>
    <definedName name="Z_6428A7A0_B31B_40C1_A13E_AD0DCC619E51_.wvu.PrintArea" localSheetId="434" hidden="1">HinTeik!$A$1:$F$52</definedName>
    <definedName name="Z_6428A7A0_B31B_40C1_A13E_AD0DCC619E51_.wvu.PrintArea" localSheetId="537" hidden="1">'H''ng Lee Lee'!$A$1:$F$53</definedName>
    <definedName name="Z_6428A7A0_B31B_40C1_A13E_AD0DCC619E51_.wvu.PrintArea" localSheetId="435" hidden="1">'Ho Jia Qian'!$A$1:$F$53</definedName>
    <definedName name="Z_6428A7A0_B31B_40C1_A13E_AD0DCC619E51_.wvu.PrintArea" localSheetId="443" hidden="1">'Hong Kong Convention'!$A$1:$F$50</definedName>
    <definedName name="Z_6428A7A0_B31B_40C1_A13E_AD0DCC619E51_.wvu.PrintArea" localSheetId="425" hidden="1">'Hot Print'!$A$1:$F$53</definedName>
    <definedName name="Z_6428A7A0_B31B_40C1_A13E_AD0DCC619E51_.wvu.PrintArea" localSheetId="445" hidden="1">'Huei Yow'!$A$1:$F$49</definedName>
    <definedName name="Z_6428A7A0_B31B_40C1_A13E_AD0DCC619E51_.wvu.PrintArea" localSheetId="472" hidden="1">'I2 Promotion'!$A$1:$F$53</definedName>
    <definedName name="Z_6428A7A0_B31B_40C1_A13E_AD0DCC619E51_.wvu.PrintArea" localSheetId="480" hidden="1">Impakstrat!$A$1:$F$49</definedName>
    <definedName name="Z_6428A7A0_B31B_40C1_A13E_AD0DCC619E51_.wvu.PrintArea" localSheetId="474" hidden="1">'Indent Media'!$A$1:$F$54</definedName>
    <definedName name="Z_6428A7A0_B31B_40C1_A13E_AD0DCC619E51_.wvu.PrintArea" localSheetId="466" hidden="1">'Info Colour'!$A$1:$F$55</definedName>
    <definedName name="Z_6428A7A0_B31B_40C1_A13E_AD0DCC619E51_.wvu.PrintArea" localSheetId="462" hidden="1">Informa!$A$1:$H$53</definedName>
    <definedName name="Z_6428A7A0_B31B_40C1_A13E_AD0DCC619E51_.wvu.PrintArea" localSheetId="477" hidden="1">'Invest-in-Penang'!$A$1:$F$49</definedName>
    <definedName name="Z_6428A7A0_B31B_40C1_A13E_AD0DCC619E51_.wvu.PrintArea" localSheetId="471" hidden="1">'IPK College'!$A$1:$H$53</definedName>
    <definedName name="Z_6428A7A0_B31B_40C1_A13E_AD0DCC619E51_.wvu.PrintArea" localSheetId="496" hidden="1">'Jackie M'!$A$1:$H$55</definedName>
    <definedName name="Z_6428A7A0_B31B_40C1_A13E_AD0DCC619E51_.wvu.PrintArea" localSheetId="506" hidden="1">Jass!$A$1:$F$53</definedName>
    <definedName name="Z_6428A7A0_B31B_40C1_A13E_AD0DCC619E51_.wvu.PrintArea" localSheetId="504" hidden="1">'Jerome Quah'!$A$1:$F$53</definedName>
    <definedName name="Z_6428A7A0_B31B_40C1_A13E_AD0DCC619E51_.wvu.PrintArea" localSheetId="508" hidden="1">'Joe Sidek'!$A$1:$F$54</definedName>
    <definedName name="Z_6428A7A0_B31B_40C1_A13E_AD0DCC619E51_.wvu.PrintArea" localSheetId="494" hidden="1">'Joy Chan'!$A$1:$F$53</definedName>
    <definedName name="Z_6428A7A0_B31B_40C1_A13E_AD0DCC619E51_.wvu.PrintArea" localSheetId="552" hidden="1">'Kee Seok Poh'!$A$1:$H$52</definedName>
    <definedName name="Z_6428A7A0_B31B_40C1_A13E_AD0DCC619E51_.wvu.PrintArea" localSheetId="585" hidden="1">Kenneth!$A$1:$H$54</definedName>
    <definedName name="Z_6428A7A0_B31B_40C1_A13E_AD0DCC619E51_.wvu.PrintArea" localSheetId="531" hidden="1">Kenray!$A$1:$H$53</definedName>
    <definedName name="Z_6428A7A0_B31B_40C1_A13E_AD0DCC619E51_.wvu.PrintArea" localSheetId="639" hidden="1">'Ketua Pengarah'!$A$1:$H$53</definedName>
    <definedName name="Z_6428A7A0_B31B_40C1_A13E_AD0DCC619E51_.wvu.PrintArea" localSheetId="640" hidden="1">'Ketua Pengarah (2)'!$A$1:$H$52</definedName>
    <definedName name="Z_6428A7A0_B31B_40C1_A13E_AD0DCC619E51_.wvu.PrintArea" localSheetId="641" hidden="1">'Ketua Pengarah (3)'!$A$1:$H$53</definedName>
    <definedName name="Z_6428A7A0_B31B_40C1_A13E_AD0DCC619E51_.wvu.PrintArea" localSheetId="642" hidden="1">'Ketua Pengarah (PTPTN)'!$A$1:$F$54</definedName>
    <definedName name="Z_6428A7A0_B31B_40C1_A13E_AD0DCC619E51_.wvu.PrintArea" localSheetId="650" hidden="1">'KF Sticker'!$A$1:$F$49</definedName>
    <definedName name="Z_6428A7A0_B31B_40C1_A13E_AD0DCC619E51_.wvu.PrintArea" localSheetId="596" hidden="1">'Khoo Boo Lim'!$A$1:$H$54</definedName>
    <definedName name="Z_6428A7A0_B31B_40C1_A13E_AD0DCC619E51_.wvu.PrintArea" localSheetId="532" hidden="1">'Ko Kai Kong'!$A$1:$F$62</definedName>
    <definedName name="Z_6428A7A0_B31B_40C1_A13E_AD0DCC619E51_.wvu.PrintArea" localSheetId="556" hidden="1">'Koay Poy Teik'!$A$1:$F$54</definedName>
    <definedName name="Z_6428A7A0_B31B_40C1_A13E_AD0DCC619E51_.wvu.PrintArea" localSheetId="561" hidden="1">'Koay Song Lin'!$A$1:$F$52</definedName>
    <definedName name="Z_6428A7A0_B31B_40C1_A13E_AD0DCC619E51_.wvu.PrintArea" localSheetId="533" hidden="1">Kraken!$A$1:$F$55</definedName>
    <definedName name="Z_6428A7A0_B31B_40C1_A13E_AD0DCC619E51_.wvu.PrintArea" localSheetId="656" hidden="1">KTM!$A$1:$E$52</definedName>
    <definedName name="Z_6428A7A0_B31B_40C1_A13E_AD0DCC619E51_.wvu.PrintArea" localSheetId="635" hidden="1">KWSP!$A$1:$H$55</definedName>
    <definedName name="Z_6428A7A0_B31B_40C1_A13E_AD0DCC619E51_.wvu.PrintArea" localSheetId="526" hidden="1">'KY Studio'!$A$1:$F$53</definedName>
    <definedName name="Z_6428A7A0_B31B_40C1_A13E_AD0DCC619E51_.wvu.PrintArea" localSheetId="675" hidden="1">'LA Design'!$A$1:$E$52</definedName>
    <definedName name="Z_6428A7A0_B31B_40C1_A13E_AD0DCC619E51_.wvu.PrintArea" localSheetId="614" hidden="1">'LA Vintage'!$A$1:$F$53</definedName>
    <definedName name="Z_6428A7A0_B31B_40C1_A13E_AD0DCC619E51_.wvu.PrintArea" localSheetId="577" hidden="1">'Law Heng Kiang'!$A$1:$H$54</definedName>
    <definedName name="Z_6428A7A0_B31B_40C1_A13E_AD0DCC619E51_.wvu.PrintArea" localSheetId="604" hidden="1">'Leader Asia'!$A$1:$H$53</definedName>
    <definedName name="Z_6428A7A0_B31B_40C1_A13E_AD0DCC619E51_.wvu.PrintArea" localSheetId="683" hidden="1">Leandro!$A$1:$F$52</definedName>
    <definedName name="Z_6428A7A0_B31B_40C1_A13E_AD0DCC619E51_.wvu.PrintArea" localSheetId="575" hidden="1">'Lee Ick Joo'!$A$1:$H$55</definedName>
    <definedName name="Z_6428A7A0_B31B_40C1_A13E_AD0DCC619E51_.wvu.PrintArea" localSheetId="633" hidden="1">'Lee Wai Keong'!$A$1:$F$52</definedName>
    <definedName name="Z_6428A7A0_B31B_40C1_A13E_AD0DCC619E51_.wvu.PrintArea" localSheetId="643" hidden="1">'LHDN '!$A$1:$H$52</definedName>
    <definedName name="Z_6428A7A0_B31B_40C1_A13E_AD0DCC619E51_.wvu.PrintArea" localSheetId="644" hidden="1">'LHDN  (2)'!$A$1:$F$53</definedName>
    <definedName name="Z_6428A7A0_B31B_40C1_A13E_AD0DCC619E51_.wvu.PrintArea" localSheetId="645" hidden="1">'LHDN  (3)'!$A$1:$F$53</definedName>
    <definedName name="Z_6428A7A0_B31B_40C1_A13E_AD0DCC619E51_.wvu.PrintArea" localSheetId="670" hidden="1">'Lim Boon Kooi'!$A$1:$F$49</definedName>
    <definedName name="Z_6428A7A0_B31B_40C1_A13E_AD0DCC619E51_.wvu.PrintArea" localSheetId="574" hidden="1">'Lim Guan Eng'!$A$1:$H$54</definedName>
    <definedName name="Z_6428A7A0_B31B_40C1_A13E_AD0DCC619E51_.wvu.PrintArea" localSheetId="669" hidden="1">'Lim Hooi Leng'!$A$1:$H$52</definedName>
    <definedName name="Z_6428A7A0_B31B_40C1_A13E_AD0DCC619E51_.wvu.PrintArea" localSheetId="718" hidden="1">'Lim Hooi Leng (2)'!$A$1:$F$52</definedName>
    <definedName name="Z_6428A7A0_B31B_40C1_A13E_AD0DCC619E51_.wvu.PrintArea" localSheetId="602" hidden="1">'Lim Woi Hong'!$A$1:$H$52</definedName>
    <definedName name="Z_6428A7A0_B31B_40C1_A13E_AD0DCC619E51_.wvu.PrintArea" localSheetId="606" hidden="1">'Lokle Siew Fook'!$A$1:$F$55</definedName>
    <definedName name="Z_6428A7A0_B31B_40C1_A13E_AD0DCC619E51_.wvu.PrintArea" localSheetId="612" hidden="1">'Love A Cupcake'!$A$1:$F$52</definedName>
    <definedName name="Z_6428A7A0_B31B_40C1_A13E_AD0DCC619E51_.wvu.PrintArea" localSheetId="610" hidden="1">'Love A Cupcake (2)'!$A$1:$F$52</definedName>
    <definedName name="Z_6428A7A0_B31B_40C1_A13E_AD0DCC619E51_.wvu.PrintArea" localSheetId="570" hidden="1">'Low Yen Peng'!$A$1:$F$53</definedName>
    <definedName name="Z_6428A7A0_B31B_40C1_A13E_AD0DCC619E51_.wvu.PrintArea" localSheetId="696" hidden="1">'M Summit'!$A$1:$H$52</definedName>
    <definedName name="Z_6428A7A0_B31B_40C1_A13E_AD0DCC619E51_.wvu.PrintArea" localSheetId="697" hidden="1">'M Summit (2)'!$A$1:$H$52</definedName>
    <definedName name="Z_6428A7A0_B31B_40C1_A13E_AD0DCC619E51_.wvu.PrintArea" localSheetId="748" hidden="1">MACP!$A$1:$F$49</definedName>
    <definedName name="Z_6428A7A0_B31B_40C1_A13E_AD0DCC619E51_.wvu.PrintArea" localSheetId="767" hidden="1">Magicprint!$A$1:$F$55</definedName>
    <definedName name="Z_6428A7A0_B31B_40C1_A13E_AD0DCC619E51_.wvu.PrintArea" localSheetId="723" hidden="1">'Malaysia Airlines2'!$A$1:$H$53</definedName>
    <definedName name="Z_6428A7A0_B31B_40C1_A13E_AD0DCC619E51_.wvu.PrintArea" localSheetId="742" hidden="1">'Malaysia Book Of Record'!$A$1:$F$54</definedName>
    <definedName name="Z_6428A7A0_B31B_40C1_A13E_AD0DCC619E51_.wvu.PrintArea" localSheetId="735" hidden="1">'Malaysia Tourism (Tokyo)'!$A$1:$H$53</definedName>
    <definedName name="Z_6428A7A0_B31B_40C1_A13E_AD0DCC619E51_.wvu.PrintArea" localSheetId="740" hidden="1">'Malaysia Tourism Pro'!$A$1:$F$55</definedName>
    <definedName name="Z_6428A7A0_B31B_40C1_A13E_AD0DCC619E51_.wvu.PrintArea" localSheetId="763" hidden="1">'Malaysian Tourism'!$A$1:$F$52</definedName>
    <definedName name="Z_6428A7A0_B31B_40C1_A13E_AD0DCC619E51_.wvu.PrintArea" localSheetId="752" hidden="1">Malihom!$A$1:$F$54</definedName>
    <definedName name="Z_6428A7A0_B31B_40C1_A13E_AD0DCC619E51_.wvu.PrintArea" localSheetId="768" hidden="1">MarketSource!$A$1:$H$54</definedName>
    <definedName name="Z_6428A7A0_B31B_40C1_A13E_AD0DCC619E51_.wvu.PrintArea" localSheetId="729" hidden="1">Marsh!$A$1:$F$52</definedName>
    <definedName name="Z_6428A7A0_B31B_40C1_A13E_AD0DCC619E51_.wvu.PrintArea" localSheetId="595" hidden="1">'Mary Ann Harriss'!$A$1:$H$54</definedName>
    <definedName name="Z_6428A7A0_B31B_40C1_A13E_AD0DCC619E51_.wvu.PrintArea" localSheetId="728" hidden="1">'Max-Airplay'!$A$1:$F$52</definedName>
    <definedName name="Z_6428A7A0_B31B_40C1_A13E_AD0DCC619E51_.wvu.PrintArea" localSheetId="688" hidden="1">'MB Exhibitions'!$A$1:$H$55</definedName>
    <definedName name="Z_6428A7A0_B31B_40C1_A13E_AD0DCC619E51_.wvu.PrintArea" localSheetId="594" hidden="1">'Media Hub'!$A$1:$H$52</definedName>
    <definedName name="Z_6428A7A0_B31B_40C1_A13E_AD0DCC619E51_.wvu.PrintArea" localSheetId="731" hidden="1">'Media Transasia'!$A$1:$H$55</definedName>
    <definedName name="Z_6428A7A0_B31B_40C1_A13E_AD0DCC619E51_.wvu.PrintArea" localSheetId="708" hidden="1">Mediacorp!$A$1:$H$54</definedName>
    <definedName name="Z_6428A7A0_B31B_40C1_A13E_AD0DCC619E51_.wvu.PrintArea" localSheetId="736" hidden="1">Meru!$A$1:$H$55</definedName>
    <definedName name="Z_6428A7A0_B31B_40C1_A13E_AD0DCC619E51_.wvu.PrintArea" localSheetId="747" hidden="1">Messe!$A$1:$H$55</definedName>
    <definedName name="Z_6428A7A0_B31B_40C1_A13E_AD0DCC619E51_.wvu.PrintArea" localSheetId="704" hidden="1">'Metro Green Adventure'!$A$1:$H$54</definedName>
    <definedName name="Z_6428A7A0_B31B_40C1_A13E_AD0DCC619E51_.wvu.PrintArea" localSheetId="762" hidden="1">MGS!$A$1:$F$52</definedName>
    <definedName name="Z_6428A7A0_B31B_40C1_A13E_AD0DCC619E51_.wvu.PrintArea" localSheetId="741" hidden="1">'Mind Sense'!$A$1:$F$53</definedName>
    <definedName name="Z_6428A7A0_B31B_40C1_A13E_AD0DCC619E51_.wvu.PrintArea" localSheetId="715" hidden="1">Mirzal!$A$1:$F$52</definedName>
    <definedName name="Z_6428A7A0_B31B_40C1_A13E_AD0DCC619E51_.wvu.PrintArea" localSheetId="702" hidden="1">'Mohd Izuddin'!$A$1:$H$52</definedName>
    <definedName name="Z_6428A7A0_B31B_40C1_A13E_AD0DCC619E51_.wvu.PrintArea" localSheetId="590" hidden="1">'Monkey Ideas Event'!$A$1:$H$54</definedName>
    <definedName name="Z_6428A7A0_B31B_40C1_A13E_AD0DCC619E51_.wvu.PrintArea" localSheetId="753" hidden="1">Moonlight!$A$1:$F$52</definedName>
    <definedName name="Z_6428A7A0_B31B_40C1_A13E_AD0DCC619E51_.wvu.PrintArea" localSheetId="734" hidden="1">MSIG!$A$1:$H$55</definedName>
    <definedName name="Z_6428A7A0_B31B_40C1_A13E_AD0DCC619E51_.wvu.PrintArea" localSheetId="698" hidden="1">'My Horizon'!$A$1:$H$54</definedName>
    <definedName name="Z_6428A7A0_B31B_40C1_A13E_AD0DCC619E51_.wvu.PrintArea" localSheetId="774" hidden="1">Myceb!$A$1:$F$53</definedName>
    <definedName name="Z_6428A7A0_B31B_40C1_A13E_AD0DCC619E51_.wvu.PrintArea" localSheetId="370" hidden="1">Obgyn!$A$1:$F$50</definedName>
    <definedName name="Z_6428A7A0_B31B_40C1_A13E_AD0DCC619E51_.wvu.PrintArea" localSheetId="372" hidden="1">'One FM'!$A$1:$F$52</definedName>
    <definedName name="Z_6428A7A0_B31B_40C1_A13E_AD0DCC619E51_.wvu.PrintArea" localSheetId="598" hidden="1">'Ong Ah Teong'!$A$1:$H$54</definedName>
    <definedName name="Z_6428A7A0_B31B_40C1_A13E_AD0DCC619E51_.wvu.PrintArea" localSheetId="9" hidden="1">'PY Blank Copy'!$A$1:$F$53</definedName>
    <definedName name="Z_6428A7A0_B31B_40C1_A13E_AD0DCC619E51_.wvu.PrintArea" localSheetId="583" hidden="1">'Tan Sam Soon'!$A$1:$H$54</definedName>
    <definedName name="Z_6428A7A0_B31B_40C1_A13E_AD0DCC619E51_.wvu.PrintArea" localSheetId="580" hidden="1">'YB Dato'' Abdul Malik'!$A$1:$H$54</definedName>
    <definedName name="Z_6428A7A0_B31B_40C1_A13E_AD0DCC619E51_.wvu.PrintArea" localSheetId="578" hidden="1">'Yeoh Soon Hin'!$A$1:$H$54</definedName>
    <definedName name="Z_6428A7A0_B31B_40C1_A13E_AD0DCC619E51_.wvu.Rows" localSheetId="265" hidden="1">Cecilia!$32:$40</definedName>
    <definedName name="Z_6428A7A0_B31B_40C1_A13E_AD0DCC619E51_.wvu.Rows" localSheetId="324" hidden="1">DSOP1!$5:$6</definedName>
    <definedName name="Z_6428A7A0_B31B_40C1_A13E_AD0DCC619E51_.wvu.Rows" localSheetId="532" hidden="1">'Ko Kai Kong'!$32:$40</definedName>
    <definedName name="Z_6428A7A0_B31B_40C1_A13E_AD0DCC619E51_.wvu.Rows" localSheetId="556" hidden="1">'Koay Poy Teik'!$5:$5</definedName>
    <definedName name="Z_6428A7A0_B31B_40C1_A13E_AD0DCC619E51_.wvu.Rows" localSheetId="651" hidden="1">Komunikatin!$5:$5</definedName>
    <definedName name="Z_6428A7A0_B31B_40C1_A13E_AD0DCC619E51_.wvu.Rows" localSheetId="752" hidden="1">Malihom!$5:$5</definedName>
    <definedName name="Z_6428A7A0_B31B_40C1_A13E_AD0DCC619E51_.wvu.Rows" localSheetId="750" hidden="1">'Metro Green'!$5:$5</definedName>
  </definedNames>
  <calcPr calcId="181029"/>
  <customWorkbookViews>
    <customWorkbookView name="MICHELLE - Personal View" guid="{6428A7A0-B31B-40C1-A13E-AD0DCC619E51}" mergeInterval="0" personalView="1" maximized="1" xWindow="-8" yWindow="-8" windowWidth="1382" windowHeight="744" tabRatio="930" activeSheetId="69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899" l="1"/>
  <c r="H20" i="823"/>
  <c r="H23" i="823"/>
  <c r="H33" i="922"/>
  <c r="B35" i="922" s="1"/>
  <c r="H20" i="681" l="1"/>
  <c r="H20" i="691"/>
  <c r="H33" i="921"/>
  <c r="B35" i="921" s="1"/>
  <c r="H22" i="779" l="1"/>
  <c r="H21" i="779"/>
  <c r="H22" i="421"/>
  <c r="H21" i="421"/>
  <c r="H22" i="365"/>
  <c r="H21" i="365"/>
  <c r="H20" i="920" l="1"/>
  <c r="H35" i="920" s="1"/>
  <c r="B37" i="920" s="1"/>
  <c r="H26" i="840" l="1"/>
  <c r="H20" i="840"/>
  <c r="Q19" i="399" l="1"/>
  <c r="Q18" i="399"/>
  <c r="H21" i="759"/>
  <c r="H20" i="287"/>
  <c r="H22" i="759" l="1"/>
  <c r="H39" i="759" s="1"/>
  <c r="H35" i="919" l="1"/>
  <c r="B37" i="919" s="1"/>
  <c r="R31" i="919"/>
  <c r="R25" i="919"/>
  <c r="R27" i="919" s="1"/>
  <c r="R18" i="919"/>
  <c r="R22" i="919" s="1"/>
  <c r="H21" i="79"/>
  <c r="H22" i="660" l="1"/>
  <c r="O39" i="918" l="1"/>
  <c r="O36" i="918"/>
  <c r="R32" i="918"/>
  <c r="R30" i="918"/>
  <c r="O28" i="918"/>
  <c r="O25" i="918"/>
  <c r="H37" i="918"/>
  <c r="B39" i="918" s="1"/>
  <c r="O19" i="918"/>
  <c r="O15" i="918"/>
  <c r="O3" i="918"/>
  <c r="H46" i="785" l="1"/>
  <c r="H43" i="785"/>
  <c r="H33" i="785"/>
  <c r="H41" i="785"/>
  <c r="H38" i="785"/>
  <c r="H30" i="785"/>
  <c r="H20" i="785"/>
  <c r="H48" i="785" l="1"/>
  <c r="H20" i="686"/>
  <c r="H20" i="274" l="1"/>
  <c r="H22" i="313"/>
  <c r="H21" i="313"/>
  <c r="H20" i="313"/>
  <c r="H34" i="917" l="1"/>
  <c r="B36" i="917" s="1"/>
  <c r="H35" i="916"/>
  <c r="B37" i="916" s="1"/>
  <c r="N23" i="916"/>
  <c r="N21" i="916"/>
  <c r="N23" i="477"/>
  <c r="N21" i="477"/>
  <c r="H35" i="915" l="1"/>
  <c r="B37" i="915" s="1"/>
  <c r="H34" i="389"/>
  <c r="H33" i="399" l="1"/>
  <c r="H20" i="839"/>
  <c r="H20" i="914"/>
  <c r="H39" i="914" s="1"/>
  <c r="B41" i="914" s="1"/>
  <c r="H37" i="660" l="1"/>
  <c r="H22" i="771" l="1"/>
  <c r="N21" i="759"/>
  <c r="H21" i="790" l="1"/>
  <c r="H20" i="790"/>
  <c r="H34" i="913"/>
  <c r="B36" i="913" s="1"/>
  <c r="H38" i="912" l="1"/>
  <c r="H36" i="711" l="1"/>
  <c r="H25" i="603" l="1"/>
  <c r="H23" i="603"/>
  <c r="H21" i="603"/>
  <c r="H38" i="49" l="1"/>
  <c r="H21" i="66" l="1"/>
  <c r="H22" i="66" s="1"/>
  <c r="H20" i="911" l="1"/>
  <c r="H33" i="911" s="1"/>
  <c r="H25" i="857"/>
  <c r="H23" i="857"/>
  <c r="H20" i="857"/>
  <c r="P13" i="857"/>
  <c r="H20" i="910"/>
  <c r="H36" i="910" s="1"/>
  <c r="B38" i="910" s="1"/>
  <c r="H21" i="909" l="1"/>
  <c r="H33" i="909" s="1"/>
  <c r="B35" i="909" s="1"/>
  <c r="H35" i="908"/>
  <c r="B37" i="908" s="1"/>
  <c r="H21" i="907" l="1"/>
  <c r="H35" i="907" s="1"/>
  <c r="B37" i="907" s="1"/>
  <c r="H20" i="906"/>
  <c r="H35" i="906" s="1"/>
  <c r="B37" i="906" s="1"/>
  <c r="H20" i="905"/>
  <c r="H35" i="905" s="1"/>
  <c r="B37" i="905" s="1"/>
  <c r="H20" i="904"/>
  <c r="H35" i="904" s="1"/>
  <c r="B37" i="904" s="1"/>
  <c r="H39" i="34" l="1"/>
  <c r="H38" i="34"/>
  <c r="H31" i="34"/>
  <c r="H30" i="34"/>
  <c r="H40" i="34" l="1"/>
  <c r="H32" i="34"/>
  <c r="H45" i="34" l="1"/>
  <c r="H35" i="903"/>
  <c r="B37" i="903" s="1"/>
  <c r="H35" i="902"/>
  <c r="B37" i="902" s="1"/>
  <c r="H21" i="45"/>
  <c r="H20" i="45"/>
  <c r="H25" i="708" l="1"/>
  <c r="H23" i="901" l="1"/>
  <c r="H35" i="901" s="1"/>
  <c r="B37" i="901" s="1"/>
  <c r="H20" i="705" l="1"/>
  <c r="H34" i="350"/>
  <c r="H20" i="900"/>
  <c r="H34" i="900" s="1"/>
  <c r="B36" i="900" s="1"/>
  <c r="S14" i="900"/>
  <c r="H34" i="708"/>
  <c r="H34" i="899" l="1"/>
  <c r="B36" i="899" s="1"/>
  <c r="O39" i="899"/>
  <c r="O36" i="899"/>
  <c r="R32" i="899"/>
  <c r="R30" i="899"/>
  <c r="O28" i="899"/>
  <c r="O25" i="899"/>
  <c r="O19" i="899"/>
  <c r="O15" i="899"/>
  <c r="O3" i="899"/>
  <c r="O39" i="823"/>
  <c r="O36" i="823"/>
  <c r="K32" i="759" l="1"/>
  <c r="H21" i="535" l="1"/>
  <c r="H20" i="535"/>
  <c r="H27" i="778" l="1"/>
  <c r="H35" i="79"/>
  <c r="H37" i="450"/>
  <c r="H25" i="450"/>
  <c r="H39" i="450" l="1"/>
  <c r="R12" i="686"/>
  <c r="H23" i="773"/>
  <c r="H36" i="773" s="1"/>
  <c r="M24" i="898"/>
  <c r="H37" i="898"/>
  <c r="B39" i="898" s="1"/>
  <c r="H24" i="226"/>
  <c r="H35" i="43"/>
  <c r="H21" i="871" l="1"/>
  <c r="H23" i="535"/>
  <c r="H20" i="897" l="1"/>
  <c r="H35" i="897" s="1"/>
  <c r="B37" i="897" s="1"/>
  <c r="R20" i="897"/>
  <c r="H21" i="896"/>
  <c r="H35" i="896" s="1"/>
  <c r="R20" i="896"/>
  <c r="B37" i="896" l="1"/>
  <c r="H35" i="844" l="1"/>
  <c r="R28" i="844"/>
  <c r="H45" i="646"/>
  <c r="H43" i="646"/>
  <c r="H39" i="646"/>
  <c r="H38" i="646"/>
  <c r="H36" i="646"/>
  <c r="H35" i="646"/>
  <c r="H25" i="646"/>
  <c r="H30" i="646"/>
  <c r="H29" i="646"/>
  <c r="H28" i="646"/>
  <c r="H26" i="646"/>
  <c r="H21" i="646"/>
  <c r="H31" i="646" l="1"/>
  <c r="H41" i="646"/>
  <c r="H20" i="895"/>
  <c r="H35" i="895" s="1"/>
  <c r="B37" i="895" s="1"/>
  <c r="H47" i="646" l="1"/>
  <c r="O26" i="661"/>
  <c r="H20" i="894" l="1"/>
  <c r="H35" i="894" s="1"/>
  <c r="B37" i="894" s="1"/>
  <c r="H37" i="681" l="1"/>
  <c r="H35" i="893"/>
  <c r="B37" i="893" s="1"/>
  <c r="H37" i="536" l="1"/>
  <c r="H36" i="892"/>
  <c r="B38" i="892" s="1"/>
  <c r="H34" i="649" l="1"/>
  <c r="H21" i="888" l="1"/>
  <c r="H20" i="888"/>
  <c r="H21" i="891"/>
  <c r="H37" i="891" s="1"/>
  <c r="B39" i="891" s="1"/>
  <c r="R35" i="891"/>
  <c r="R32" i="891"/>
  <c r="H38" i="890" l="1"/>
  <c r="B40" i="890" s="1"/>
  <c r="R31" i="889"/>
  <c r="R25" i="889"/>
  <c r="R27" i="889" s="1"/>
  <c r="H41" i="889"/>
  <c r="B43" i="889" s="1"/>
  <c r="R18" i="889"/>
  <c r="R21" i="889" s="1"/>
  <c r="H21" i="661"/>
  <c r="N7" i="661"/>
  <c r="S112" i="450" l="1"/>
  <c r="O3" i="823" l="1"/>
  <c r="H25" i="679"/>
  <c r="H20" i="679"/>
  <c r="H35" i="888" l="1"/>
  <c r="B37" i="888" s="1"/>
  <c r="O35" i="566"/>
  <c r="O27" i="566"/>
  <c r="O25" i="566"/>
  <c r="H36" i="287" l="1"/>
  <c r="H35" i="694" l="1"/>
  <c r="H23" i="345" l="1"/>
  <c r="H22" i="345"/>
  <c r="H34" i="778" l="1"/>
  <c r="B36" i="778" s="1"/>
  <c r="H34" i="887" l="1"/>
  <c r="B36" i="887" s="1"/>
  <c r="H37" i="823" l="1"/>
  <c r="R32" i="823"/>
  <c r="R30" i="823"/>
  <c r="H35" i="886" l="1"/>
  <c r="B37" i="886" s="1"/>
  <c r="H33" i="885" l="1"/>
  <c r="B35" i="885" s="1"/>
  <c r="H36" i="813" l="1"/>
  <c r="H35" i="884" l="1"/>
  <c r="B37" i="884" s="1"/>
  <c r="H35" i="883"/>
  <c r="B37" i="883" s="1"/>
  <c r="H35" i="882"/>
  <c r="B37" i="882" s="1"/>
  <c r="H22" i="508" l="1"/>
  <c r="H21" i="508"/>
  <c r="R20" i="844"/>
  <c r="H35" i="881"/>
  <c r="B37" i="881" s="1"/>
  <c r="H20" i="801" l="1"/>
  <c r="H20" i="880" l="1"/>
  <c r="H21" i="880" s="1"/>
  <c r="H36" i="880" s="1"/>
  <c r="B38" i="880" s="1"/>
  <c r="H21" i="873"/>
  <c r="H36" i="873" s="1"/>
  <c r="H28" i="682"/>
  <c r="H34" i="682" s="1"/>
  <c r="H35" i="849" l="1"/>
  <c r="H21" i="833" l="1"/>
  <c r="H20" i="833"/>
  <c r="H21" i="867" l="1"/>
  <c r="H35" i="226"/>
  <c r="H35" i="879" l="1"/>
  <c r="B37" i="879" s="1"/>
  <c r="O15" i="879"/>
  <c r="O14" i="879"/>
  <c r="O13" i="879"/>
  <c r="O15" i="801"/>
  <c r="O14" i="801"/>
  <c r="O13" i="801"/>
  <c r="H21" i="561" l="1"/>
  <c r="H20" i="626"/>
  <c r="H36" i="561" l="1"/>
  <c r="H20" i="878" l="1"/>
  <c r="H35" i="878" s="1"/>
  <c r="B37" i="878" s="1"/>
  <c r="H22" i="874"/>
  <c r="H21" i="874"/>
  <c r="H20" i="874"/>
  <c r="J20" i="874"/>
  <c r="K20" i="874" s="1"/>
  <c r="H36" i="840" l="1"/>
  <c r="H34" i="837"/>
  <c r="H34" i="256" l="1"/>
  <c r="H33" i="877" l="1"/>
  <c r="B35" i="877" s="1"/>
  <c r="S11" i="399"/>
  <c r="S10" i="399"/>
  <c r="H38" i="876" l="1"/>
  <c r="B40" i="876" s="1"/>
  <c r="H36" i="429" l="1"/>
  <c r="H32" i="429"/>
  <c r="H29" i="429"/>
  <c r="H26" i="429"/>
  <c r="H23" i="429"/>
  <c r="Q33" i="429"/>
  <c r="Q27" i="429"/>
  <c r="Q22" i="429"/>
  <c r="Q20" i="429"/>
  <c r="H20" i="429"/>
  <c r="H35" i="875" l="1"/>
  <c r="B37" i="875" s="1"/>
  <c r="H21" i="623" l="1"/>
  <c r="H34" i="535" l="1"/>
  <c r="J22" i="874" l="1"/>
  <c r="H20" i="802"/>
  <c r="P20" i="857"/>
  <c r="P18" i="857"/>
  <c r="P15" i="857"/>
  <c r="H35" i="874" l="1"/>
  <c r="B37" i="874" s="1"/>
  <c r="H35" i="801"/>
  <c r="B38" i="873" l="1"/>
  <c r="H38" i="872"/>
  <c r="H35" i="871"/>
  <c r="H35" i="665"/>
  <c r="H26" i="545" l="1"/>
  <c r="H22" i="545"/>
  <c r="H36" i="545" l="1"/>
  <c r="H35" i="484"/>
  <c r="B37" i="484" s="1"/>
  <c r="H39" i="870" l="1"/>
  <c r="B41" i="870" s="1"/>
  <c r="H36" i="869" l="1"/>
  <c r="B38" i="869" s="1"/>
  <c r="P17" i="869"/>
  <c r="P16" i="869"/>
  <c r="P14" i="869"/>
  <c r="H34" i="868"/>
  <c r="B36" i="868" s="1"/>
  <c r="P17" i="868"/>
  <c r="P16" i="868"/>
  <c r="P14" i="868"/>
  <c r="P18" i="868" l="1"/>
  <c r="P18" i="869"/>
  <c r="H35" i="307"/>
  <c r="B37" i="307" s="1"/>
  <c r="F20" i="765"/>
  <c r="H37" i="867"/>
  <c r="B39" i="867" s="1"/>
  <c r="M24" i="867"/>
  <c r="H34" i="794"/>
  <c r="H34" i="313" l="1"/>
  <c r="H25" i="866" l="1"/>
  <c r="H24" i="866"/>
  <c r="H23" i="866"/>
  <c r="H22" i="866"/>
  <c r="H21" i="866"/>
  <c r="H20" i="866"/>
  <c r="H36" i="866" l="1"/>
  <c r="B38" i="866" l="1"/>
  <c r="F37" i="865" l="1"/>
  <c r="B39" i="865" s="1"/>
  <c r="F39" i="864" l="1"/>
  <c r="B41" i="864" s="1"/>
  <c r="F23" i="437"/>
  <c r="F21" i="437"/>
  <c r="F20" i="727" l="1"/>
  <c r="G20" i="861" l="1"/>
  <c r="G20" i="863" l="1"/>
  <c r="G35" i="863" s="1"/>
  <c r="B37" i="863" s="1"/>
  <c r="G21" i="862"/>
  <c r="G20" i="862"/>
  <c r="G21" i="861"/>
  <c r="G20" i="860"/>
  <c r="G33" i="860" s="1"/>
  <c r="B35" i="860" s="1"/>
  <c r="G35" i="862" l="1"/>
  <c r="B37" i="862" s="1"/>
  <c r="G35" i="861"/>
  <c r="B37" i="861" s="1"/>
  <c r="F34" i="859" l="1"/>
  <c r="B36" i="859" s="1"/>
  <c r="N32" i="859"/>
  <c r="N31" i="859"/>
  <c r="N28" i="859"/>
  <c r="N24" i="859"/>
  <c r="N23" i="859"/>
  <c r="N19" i="859"/>
  <c r="N18" i="859"/>
  <c r="N32" i="858"/>
  <c r="N31" i="858"/>
  <c r="N28" i="858"/>
  <c r="N24" i="858"/>
  <c r="N23" i="858"/>
  <c r="F34" i="858"/>
  <c r="B36" i="858" s="1"/>
  <c r="N19" i="858"/>
  <c r="N18" i="858"/>
  <c r="N33" i="858" l="1"/>
  <c r="N33" i="859"/>
  <c r="H20" i="856"/>
  <c r="H34" i="857" l="1"/>
  <c r="B36" i="857" s="1"/>
  <c r="H21" i="856"/>
  <c r="H34" i="856" s="1"/>
  <c r="B36" i="856" s="1"/>
  <c r="F24" i="719"/>
  <c r="F23" i="719"/>
  <c r="F22" i="719"/>
  <c r="F20" i="688"/>
  <c r="H20" i="855" l="1"/>
  <c r="H33" i="855" s="1"/>
  <c r="H24" i="847"/>
  <c r="H27" i="847" s="1"/>
  <c r="H20" i="847"/>
  <c r="H22" i="847" s="1"/>
  <c r="B35" i="855" l="1"/>
  <c r="H33" i="847"/>
  <c r="R21" i="847" l="1"/>
  <c r="R24" i="847" s="1"/>
  <c r="R17" i="847"/>
  <c r="R19" i="847" s="1"/>
  <c r="F36" i="854" l="1"/>
  <c r="B38" i="854" s="1"/>
  <c r="H33" i="853"/>
  <c r="B35" i="853" s="1"/>
  <c r="H33" i="852" l="1"/>
  <c r="B35" i="852" s="1"/>
  <c r="H36" i="851" l="1"/>
  <c r="B38" i="851" s="1"/>
  <c r="H39" i="429" l="1"/>
  <c r="H35" i="42"/>
  <c r="B37" i="849" l="1"/>
  <c r="F22" i="848" l="1"/>
  <c r="F34" i="848" s="1"/>
  <c r="B36" i="848" s="1"/>
  <c r="B35" i="847" l="1"/>
  <c r="F40" i="846" l="1"/>
  <c r="B42" i="846" s="1"/>
  <c r="F34" i="845"/>
  <c r="B36" i="845" s="1"/>
  <c r="B37" i="844" l="1"/>
  <c r="H34" i="575" l="1"/>
  <c r="H34" i="843"/>
  <c r="B36" i="843" s="1"/>
  <c r="P16" i="256" l="1"/>
  <c r="S15" i="842" l="1"/>
  <c r="S18" i="842"/>
  <c r="H20" i="842"/>
  <c r="H37" i="842" s="1"/>
  <c r="B39" i="842" s="1"/>
  <c r="B38" i="840" l="1"/>
  <c r="U52" i="839" l="1"/>
  <c r="U50" i="839"/>
  <c r="U33" i="839"/>
  <c r="H46" i="839"/>
  <c r="B48" i="839" s="1"/>
  <c r="H20" i="758"/>
  <c r="N32" i="838" l="1"/>
  <c r="N31" i="838"/>
  <c r="N28" i="838"/>
  <c r="N24" i="838"/>
  <c r="N23" i="838"/>
  <c r="F34" i="838"/>
  <c r="B36" i="838" s="1"/>
  <c r="N19" i="838"/>
  <c r="N18" i="838"/>
  <c r="N33" i="838" l="1"/>
  <c r="B36" i="837"/>
  <c r="F21" i="338" l="1"/>
  <c r="H20" i="836" l="1"/>
  <c r="H35" i="836" l="1"/>
  <c r="B37" i="836" s="1"/>
  <c r="H34" i="835" l="1"/>
  <c r="B36" i="835" s="1"/>
  <c r="H34" i="396" l="1"/>
  <c r="H35" i="834" l="1"/>
  <c r="B37" i="834" s="1"/>
  <c r="H34" i="833" l="1"/>
  <c r="B37" i="833" s="1"/>
  <c r="F36" i="832" l="1"/>
  <c r="B38" i="832" s="1"/>
  <c r="H26" i="737" l="1"/>
  <c r="H20" i="737"/>
  <c r="H33" i="737" l="1"/>
  <c r="H23" i="391"/>
  <c r="H35" i="391" s="1"/>
  <c r="H36" i="686" l="1"/>
  <c r="F34" i="831" l="1"/>
  <c r="F18" i="830" l="1"/>
  <c r="F34" i="830" s="1"/>
  <c r="B36" i="830" s="1"/>
  <c r="O28" i="823" l="1"/>
  <c r="O25" i="823"/>
  <c r="H20" i="829"/>
  <c r="H35" i="829" s="1"/>
  <c r="B37" i="829" s="1"/>
  <c r="N15" i="829"/>
  <c r="H20" i="828"/>
  <c r="H35" i="828" s="1"/>
  <c r="B37" i="828" s="1"/>
  <c r="N15" i="828"/>
  <c r="H34" i="362" l="1"/>
  <c r="F37" i="719" l="1"/>
  <c r="F21" i="825" l="1"/>
  <c r="F20" i="825"/>
  <c r="M25" i="719"/>
  <c r="F36" i="825" l="1"/>
  <c r="H21" i="827"/>
  <c r="H39" i="827" s="1"/>
  <c r="B41" i="827" s="1"/>
  <c r="F33" i="826" l="1"/>
  <c r="B35" i="826" s="1"/>
  <c r="F36" i="824" l="1"/>
  <c r="B38" i="824" s="1"/>
  <c r="B38" i="825" l="1"/>
  <c r="H20" i="678" l="1"/>
  <c r="B39" i="823"/>
  <c r="O19" i="823"/>
  <c r="O15" i="823"/>
  <c r="H20" i="59"/>
  <c r="O19" i="59"/>
  <c r="O15" i="59"/>
  <c r="H20" i="461"/>
  <c r="F33" i="382" l="1"/>
  <c r="B35" i="382" s="1"/>
  <c r="H34" i="822" l="1"/>
  <c r="B36" i="822" s="1"/>
  <c r="N30" i="818" l="1"/>
  <c r="H36" i="821" l="1"/>
  <c r="B38" i="821" s="1"/>
  <c r="N17" i="661" l="1"/>
  <c r="H20" i="820" l="1"/>
  <c r="H43" i="820" s="1"/>
  <c r="B45" i="820" s="1"/>
  <c r="U49" i="820"/>
  <c r="U47" i="820"/>
  <c r="U30" i="820"/>
  <c r="H20" i="815" l="1"/>
  <c r="H33" i="325" l="1"/>
  <c r="F23" i="819" l="1"/>
  <c r="F21" i="819"/>
  <c r="F20" i="819"/>
  <c r="F22" i="819"/>
  <c r="F38" i="819" l="1"/>
  <c r="B40" i="819" s="1"/>
  <c r="H21" i="818" l="1"/>
  <c r="H20" i="818"/>
  <c r="H36" i="818" l="1"/>
  <c r="B38" i="818" s="1"/>
  <c r="H35" i="817" l="1"/>
  <c r="B37" i="817" s="1"/>
  <c r="H20" i="816" l="1"/>
  <c r="H33" i="816" s="1"/>
  <c r="B35" i="816" s="1"/>
  <c r="H35" i="815" l="1"/>
  <c r="B37" i="815" s="1"/>
  <c r="H37" i="814" l="1"/>
  <c r="B39" i="814" s="1"/>
  <c r="B38" i="813"/>
  <c r="H20" i="738" l="1"/>
  <c r="F40" i="812" l="1"/>
  <c r="B42" i="812" s="1"/>
  <c r="H34" i="811"/>
  <c r="B36" i="811" s="1"/>
  <c r="H20" i="810" l="1"/>
  <c r="H33" i="810" l="1"/>
  <c r="B35" i="810" s="1"/>
  <c r="F49" i="616" l="1"/>
  <c r="M22" i="616"/>
  <c r="P61" i="561" l="1"/>
  <c r="R31" i="79" l="1"/>
  <c r="R25" i="79"/>
  <c r="R27" i="79" s="1"/>
  <c r="R18" i="79"/>
  <c r="R22" i="79" s="1"/>
  <c r="P22" i="226"/>
  <c r="H34" i="809"/>
  <c r="B36" i="809" s="1"/>
  <c r="S14" i="708"/>
  <c r="H34" i="808" l="1"/>
  <c r="B37" i="808" s="1"/>
  <c r="F20" i="439"/>
  <c r="H19" i="733"/>
  <c r="H33" i="807"/>
  <c r="B35" i="807" s="1"/>
  <c r="H20" i="806" l="1"/>
  <c r="H33" i="806" s="1"/>
  <c r="B35" i="806" s="1"/>
  <c r="S105" i="450" l="1"/>
  <c r="S102" i="450"/>
  <c r="S100" i="450"/>
  <c r="S94" i="450"/>
  <c r="S88" i="450"/>
  <c r="P31" i="399" l="1"/>
  <c r="P30" i="399"/>
  <c r="F21" i="795"/>
  <c r="P32" i="399" l="1"/>
  <c r="F36" i="805" l="1"/>
  <c r="B38" i="805" s="1"/>
  <c r="F35" i="804" l="1"/>
  <c r="B37" i="804" s="1"/>
  <c r="H20" i="797"/>
  <c r="H36" i="803" l="1"/>
  <c r="B38" i="803" s="1"/>
  <c r="H20" i="800" l="1"/>
  <c r="H25" i="800"/>
  <c r="H43" i="758" l="1"/>
  <c r="B37" i="801"/>
  <c r="H35" i="802"/>
  <c r="B37" i="802" s="1"/>
  <c r="H35" i="800"/>
  <c r="B37" i="800" s="1"/>
  <c r="H36" i="799" l="1"/>
  <c r="B38" i="799" s="1"/>
  <c r="P29" i="399" l="1"/>
  <c r="F21" i="416"/>
  <c r="H46" i="798" l="1"/>
  <c r="B48" i="798" s="1"/>
  <c r="H33" i="797" l="1"/>
  <c r="B35" i="797" s="1"/>
  <c r="H20" i="774"/>
  <c r="H33" i="774" s="1"/>
  <c r="H20" i="796"/>
  <c r="H36" i="796" l="1"/>
  <c r="B38" i="796" s="1"/>
  <c r="F33" i="699" l="1"/>
  <c r="F34" i="795"/>
  <c r="B36" i="795" s="1"/>
  <c r="M24" i="794"/>
  <c r="B36" i="794"/>
  <c r="B36" i="649"/>
  <c r="F39" i="437" l="1"/>
  <c r="H33" i="572" l="1"/>
  <c r="H33" i="793" l="1"/>
  <c r="B35" i="793" s="1"/>
  <c r="H20" i="775" l="1"/>
  <c r="H38" i="691" l="1"/>
  <c r="F34" i="792" l="1"/>
  <c r="B36" i="792" s="1"/>
  <c r="F37" i="791"/>
  <c r="B39" i="791" s="1"/>
  <c r="H21" i="786" l="1"/>
  <c r="H35" i="790" l="1"/>
  <c r="B37" i="790" s="1"/>
  <c r="F33" i="789"/>
  <c r="B35" i="789" s="1"/>
  <c r="F29" i="788"/>
  <c r="F30" i="788"/>
  <c r="F25" i="788"/>
  <c r="F22" i="788"/>
  <c r="F21" i="788"/>
  <c r="F20" i="788"/>
  <c r="F33" i="788" l="1"/>
  <c r="F26" i="788"/>
  <c r="H20" i="787"/>
  <c r="H34" i="787" s="1"/>
  <c r="B36" i="787" s="1"/>
  <c r="H20" i="642"/>
  <c r="F36" i="788" l="1"/>
  <c r="B38" i="788" s="1"/>
  <c r="H26" i="786"/>
  <c r="H35" i="786" s="1"/>
  <c r="B37" i="786" l="1"/>
  <c r="H20" i="783" l="1"/>
  <c r="B50" i="785" l="1"/>
  <c r="H36" i="784" l="1"/>
  <c r="B38" i="784" s="1"/>
  <c r="N19" i="345"/>
  <c r="N18" i="345"/>
  <c r="N20" i="345" l="1"/>
  <c r="H21" i="783"/>
  <c r="H35" i="783" s="1"/>
  <c r="B37" i="783" s="1"/>
  <c r="H21" i="782" l="1"/>
  <c r="H34" i="28" l="1"/>
  <c r="H34" i="782"/>
  <c r="B36" i="782" s="1"/>
  <c r="H33" i="781" l="1"/>
  <c r="B35" i="781" s="1"/>
  <c r="F35" i="780" l="1"/>
  <c r="B37" i="780" s="1"/>
  <c r="H35" i="779" l="1"/>
  <c r="B37" i="779" s="1"/>
  <c r="S84" i="450" l="1"/>
  <c r="S82" i="450"/>
  <c r="S76" i="450"/>
  <c r="S70" i="450"/>
  <c r="S64" i="450"/>
  <c r="F33" i="777" l="1"/>
  <c r="B35" i="777" s="1"/>
  <c r="F34" i="776" l="1"/>
  <c r="B36" i="776" s="1"/>
  <c r="H33" i="775" l="1"/>
  <c r="B35" i="775" s="1"/>
  <c r="B35" i="774" l="1"/>
  <c r="B38" i="773" l="1"/>
  <c r="H23" i="757"/>
  <c r="H21" i="757"/>
  <c r="H20" i="757"/>
  <c r="N13" i="668" l="1"/>
  <c r="F20" i="592"/>
  <c r="L35" i="772"/>
  <c r="L34" i="772"/>
  <c r="L33" i="772"/>
  <c r="L30" i="772"/>
  <c r="L29" i="772"/>
  <c r="L28" i="772"/>
  <c r="L27" i="772"/>
  <c r="L26" i="772"/>
  <c r="F26" i="772"/>
  <c r="F25" i="772"/>
  <c r="L24" i="772"/>
  <c r="L23" i="772"/>
  <c r="L21" i="772"/>
  <c r="L19" i="772"/>
  <c r="L18" i="772"/>
  <c r="L17" i="772"/>
  <c r="L16" i="772"/>
  <c r="L15" i="772"/>
  <c r="F36" i="772" l="1"/>
  <c r="B38" i="772" s="1"/>
  <c r="H39" i="369" l="1"/>
  <c r="H34" i="369"/>
  <c r="H31" i="369"/>
  <c r="H26" i="369"/>
  <c r="H21" i="369"/>
  <c r="H37" i="771"/>
  <c r="B39" i="771" s="1"/>
  <c r="H37" i="483"/>
  <c r="H42" i="369" l="1"/>
  <c r="H32" i="566" l="1"/>
  <c r="F36" i="770" l="1"/>
  <c r="B38" i="770" s="1"/>
  <c r="H36" i="769"/>
  <c r="B38" i="769" s="1"/>
  <c r="H20" i="728" l="1"/>
  <c r="H20" i="768" l="1"/>
  <c r="H33" i="768" s="1"/>
  <c r="B35" i="768" s="1"/>
  <c r="H20" i="767" l="1"/>
  <c r="H33" i="767" s="1"/>
  <c r="B35" i="767" s="1"/>
  <c r="H20" i="736" l="1"/>
  <c r="P16" i="226"/>
  <c r="F22" i="415"/>
  <c r="F23" i="415"/>
  <c r="F24" i="415"/>
  <c r="F25" i="415" l="1"/>
  <c r="F34" i="415" s="1"/>
  <c r="F33" i="766"/>
  <c r="B35" i="766" s="1"/>
  <c r="F25" i="672" l="1"/>
  <c r="F23" i="672"/>
  <c r="F22" i="672"/>
  <c r="F36" i="765" l="1"/>
  <c r="B38" i="765" s="1"/>
  <c r="H21" i="693"/>
  <c r="H35" i="477"/>
  <c r="F21" i="427" l="1"/>
  <c r="F20" i="427"/>
  <c r="F34" i="764"/>
  <c r="B36" i="764" s="1"/>
  <c r="P29" i="635"/>
  <c r="P26" i="635"/>
  <c r="P23" i="635"/>
  <c r="H33" i="763"/>
  <c r="B35" i="763" s="1"/>
  <c r="H23" i="762" l="1"/>
  <c r="H34" i="762" s="1"/>
  <c r="B36" i="762" s="1"/>
  <c r="H35" i="761"/>
  <c r="B37" i="761" s="1"/>
  <c r="H33" i="760" l="1"/>
  <c r="B35" i="760" s="1"/>
  <c r="B41" i="759" l="1"/>
  <c r="H25" i="551"/>
  <c r="H20" i="551"/>
  <c r="H25" i="523"/>
  <c r="H20" i="523"/>
  <c r="B45" i="758"/>
  <c r="U49" i="758"/>
  <c r="U47" i="758"/>
  <c r="U30" i="758"/>
  <c r="H33" i="551" l="1"/>
  <c r="H33" i="523"/>
  <c r="H35" i="757" l="1"/>
  <c r="B37" i="757" s="1"/>
  <c r="H35" i="752"/>
  <c r="F21" i="756"/>
  <c r="F36" i="756" s="1"/>
  <c r="B38" i="756" s="1"/>
  <c r="F22" i="755" l="1"/>
  <c r="F34" i="755" s="1"/>
  <c r="B36" i="755" s="1"/>
  <c r="F33" i="754" l="1"/>
  <c r="B35" i="754" s="1"/>
  <c r="F36" i="594" l="1"/>
  <c r="H35" i="753"/>
  <c r="B37" i="753" s="1"/>
  <c r="B37" i="752"/>
  <c r="H35" i="751"/>
  <c r="B37" i="751" s="1"/>
  <c r="H35" i="750"/>
  <c r="B37" i="750" s="1"/>
  <c r="H35" i="749"/>
  <c r="B37" i="749" s="1"/>
  <c r="H35" i="748"/>
  <c r="B37" i="748" s="1"/>
  <c r="H35" i="747"/>
  <c r="B37" i="747" s="1"/>
  <c r="H35" i="746"/>
  <c r="B37" i="746" s="1"/>
  <c r="H35" i="745"/>
  <c r="B37" i="745" s="1"/>
  <c r="H35" i="744"/>
  <c r="B37" i="744" s="1"/>
  <c r="F34" i="743" l="1"/>
  <c r="B36" i="743" s="1"/>
  <c r="H25" i="742"/>
  <c r="H20" i="742"/>
  <c r="H35" i="742" l="1"/>
  <c r="B37" i="742" s="1"/>
  <c r="H21" i="741"/>
  <c r="H38" i="741" s="1"/>
  <c r="B40" i="741" s="1"/>
  <c r="F21" i="316" l="1"/>
  <c r="H23" i="697" l="1"/>
  <c r="H38" i="736" l="1"/>
  <c r="F35" i="740" l="1"/>
  <c r="B37" i="740" s="1"/>
  <c r="H25" i="739" l="1"/>
  <c r="H20" i="739"/>
  <c r="H34" i="739" l="1"/>
  <c r="B36" i="739" s="1"/>
  <c r="H34" i="738" l="1"/>
  <c r="B36" i="738" s="1"/>
  <c r="R25" i="306"/>
  <c r="R17" i="306"/>
  <c r="B35" i="737" l="1"/>
  <c r="P38" i="561"/>
  <c r="P31" i="561"/>
  <c r="H34" i="207"/>
  <c r="F34" i="249"/>
  <c r="F33" i="458"/>
  <c r="B35" i="458" s="1"/>
  <c r="B40" i="736" l="1"/>
  <c r="F25" i="735" l="1"/>
  <c r="F34" i="735" s="1"/>
  <c r="B36" i="735" s="1"/>
  <c r="F21" i="734" l="1"/>
  <c r="F22" i="734" s="1"/>
  <c r="F37" i="734" l="1"/>
  <c r="B39" i="734" s="1"/>
  <c r="B34" i="566" l="1"/>
  <c r="H34" i="733" l="1"/>
  <c r="F34" i="732"/>
  <c r="B36" i="732" s="1"/>
  <c r="B36" i="733" l="1"/>
  <c r="F34" i="731" l="1"/>
  <c r="B36" i="731" s="1"/>
  <c r="F21" i="729"/>
  <c r="F20" i="729"/>
  <c r="F24" i="729" l="1"/>
  <c r="F35" i="729" s="1"/>
  <c r="B37" i="729" s="1"/>
  <c r="H34" i="730"/>
  <c r="B37" i="730" s="1"/>
  <c r="H26" i="728" l="1"/>
  <c r="H33" i="728" s="1"/>
  <c r="B35" i="728" s="1"/>
  <c r="H24" i="643"/>
  <c r="H20" i="643"/>
  <c r="H36" i="470" l="1"/>
  <c r="H36" i="635" l="1"/>
  <c r="S52" i="450"/>
  <c r="S45" i="450"/>
  <c r="F35" i="727" l="1"/>
  <c r="B37" i="727" s="1"/>
  <c r="B41" i="437" l="1"/>
  <c r="H35" i="726" l="1"/>
  <c r="B37" i="726" s="1"/>
  <c r="H34" i="725"/>
  <c r="B36" i="725" s="1"/>
  <c r="H36" i="724"/>
  <c r="B38" i="724" s="1"/>
  <c r="H20" i="723" l="1"/>
  <c r="H33" i="723" s="1"/>
  <c r="B35" i="723" s="1"/>
  <c r="H33" i="722"/>
  <c r="B35" i="722" s="1"/>
  <c r="F37" i="385"/>
  <c r="B39" i="385" s="1"/>
  <c r="G26" i="721" l="1"/>
  <c r="G35" i="721" s="1"/>
  <c r="B37" i="721" s="1"/>
  <c r="H38" i="693"/>
  <c r="H37" i="632" l="1"/>
  <c r="H19" i="720"/>
  <c r="H33" i="720" s="1"/>
  <c r="B35" i="720" s="1"/>
  <c r="B39" i="719" l="1"/>
  <c r="F20" i="718" l="1"/>
  <c r="F35" i="718" l="1"/>
  <c r="B37" i="718" s="1"/>
  <c r="H33" i="717" l="1"/>
  <c r="B35" i="717" s="1"/>
  <c r="R20" i="43"/>
  <c r="N15" i="313" l="1"/>
  <c r="H36" i="716"/>
  <c r="B38" i="716" s="1"/>
  <c r="H21" i="715" l="1"/>
  <c r="H35" i="715" s="1"/>
  <c r="B37" i="715" s="1"/>
  <c r="F21" i="714" l="1"/>
  <c r="F34" i="714" s="1"/>
  <c r="B36" i="714" s="1"/>
  <c r="B36" i="249"/>
  <c r="H37" i="713" l="1"/>
  <c r="B39" i="713" s="1"/>
  <c r="H20" i="712" l="1"/>
  <c r="H35" i="712" s="1"/>
  <c r="B37" i="712" s="1"/>
  <c r="N33" i="313" l="1"/>
  <c r="N32" i="313"/>
  <c r="N31" i="313"/>
  <c r="B38" i="711"/>
  <c r="H21" i="710" l="1"/>
  <c r="H32" i="710" s="1"/>
  <c r="B34" i="710" s="1"/>
  <c r="H21" i="709" l="1"/>
  <c r="H33" i="709" s="1"/>
  <c r="B35" i="709" s="1"/>
  <c r="B36" i="708" l="1"/>
  <c r="H22" i="471"/>
  <c r="F26" i="473" l="1"/>
  <c r="F21" i="473"/>
  <c r="F20" i="473"/>
  <c r="H20" i="707" l="1"/>
  <c r="H36" i="707" s="1"/>
  <c r="B38" i="707" s="1"/>
  <c r="H34" i="706" l="1"/>
  <c r="B36" i="706" s="1"/>
  <c r="F33" i="324" l="1"/>
  <c r="B35" i="324" s="1"/>
  <c r="H37" i="705" l="1"/>
  <c r="B39" i="705" s="1"/>
  <c r="F35" i="704"/>
  <c r="B37" i="704" s="1"/>
  <c r="F34" i="703" l="1"/>
  <c r="B36" i="703" s="1"/>
  <c r="F33" i="702" l="1"/>
  <c r="B35" i="702" s="1"/>
  <c r="H36" i="700" l="1"/>
  <c r="B38" i="700" s="1"/>
  <c r="H33" i="701" l="1"/>
  <c r="B35" i="701" s="1"/>
  <c r="B35" i="699" l="1"/>
  <c r="F33" i="698" l="1"/>
  <c r="B35" i="698" s="1"/>
  <c r="H35" i="697" l="1"/>
  <c r="B37" i="697" s="1"/>
  <c r="H36" i="696" l="1"/>
  <c r="B38" i="696" l="1"/>
  <c r="H21" i="695" l="1"/>
  <c r="H18" i="692"/>
  <c r="H33" i="421" l="1"/>
  <c r="B37" i="694" l="1"/>
  <c r="H34" i="692" l="1"/>
  <c r="B36" i="692" s="1"/>
  <c r="B40" i="693" l="1"/>
  <c r="B40" i="691"/>
  <c r="F35" i="690" l="1"/>
  <c r="B37" i="690" s="1"/>
  <c r="H35" i="66"/>
  <c r="H20" i="683"/>
  <c r="H20" i="689" l="1"/>
  <c r="H36" i="689" s="1"/>
  <c r="B38" i="689" s="1"/>
  <c r="F37" i="688" l="1"/>
  <c r="F21" i="592"/>
  <c r="H22" i="687"/>
  <c r="H35" i="687" s="1"/>
  <c r="B37" i="687" s="1"/>
  <c r="B39" i="688" l="1"/>
  <c r="B38" i="686" l="1"/>
  <c r="H34" i="685" l="1"/>
  <c r="B36" i="685" s="1"/>
  <c r="F21" i="684"/>
  <c r="F38" i="684" s="1"/>
  <c r="B40" i="684" s="1"/>
  <c r="H21" i="683"/>
  <c r="H35" i="683" l="1"/>
  <c r="B37" i="683" s="1"/>
  <c r="F20" i="670" l="1"/>
  <c r="F36" i="377" l="1"/>
  <c r="B36" i="682"/>
  <c r="B39" i="681" l="1"/>
  <c r="F37" i="578"/>
  <c r="H36" i="680"/>
  <c r="B38" i="680" s="1"/>
  <c r="H20" i="667" l="1"/>
  <c r="H35" i="679" l="1"/>
  <c r="B37" i="679" s="1"/>
  <c r="H35" i="678"/>
  <c r="B37" i="678" s="1"/>
  <c r="H20" i="677" l="1"/>
  <c r="H25" i="677" s="1"/>
  <c r="H26" i="677" s="1"/>
  <c r="B39" i="483"/>
  <c r="H36" i="677" l="1"/>
  <c r="B38" i="677" s="1"/>
  <c r="F21" i="259" l="1"/>
  <c r="F33" i="318" l="1"/>
  <c r="B35" i="318" s="1"/>
  <c r="F34" i="439" l="1"/>
  <c r="F38" i="342"/>
  <c r="B40" i="342" s="1"/>
  <c r="F33" i="676"/>
  <c r="B35" i="676" s="1"/>
  <c r="F26" i="621" l="1"/>
  <c r="F21" i="621"/>
  <c r="F26" i="606"/>
  <c r="F21" i="606"/>
  <c r="F34" i="675"/>
  <c r="B36" i="675" s="1"/>
  <c r="F36" i="338" l="1"/>
  <c r="B38" i="338" s="1"/>
  <c r="F25" i="674" l="1"/>
  <c r="F20" i="674"/>
  <c r="F20" i="644"/>
  <c r="F43" i="674" l="1"/>
  <c r="B45" i="674" s="1"/>
  <c r="F20" i="673"/>
  <c r="F32" i="673" s="1"/>
  <c r="F34" i="672" l="1"/>
  <c r="F21" i="671" l="1"/>
  <c r="F36" i="671" s="1"/>
  <c r="B38" i="671" s="1"/>
  <c r="F34" i="670" l="1"/>
  <c r="B36" i="670" s="1"/>
  <c r="F35" i="669" l="1"/>
  <c r="B37" i="669" s="1"/>
  <c r="G34" i="668" l="1"/>
  <c r="B36" i="668" s="1"/>
  <c r="F34" i="364"/>
  <c r="B36" i="364" s="1"/>
  <c r="H25" i="667" l="1"/>
  <c r="H35" i="667" s="1"/>
  <c r="B37" i="667" s="1"/>
  <c r="F33" i="666" l="1"/>
  <c r="B35" i="666" s="1"/>
  <c r="F36" i="664" l="1"/>
  <c r="B38" i="664" s="1"/>
  <c r="F35" i="663"/>
  <c r="B37" i="663" s="1"/>
  <c r="H21" i="521" l="1"/>
  <c r="F36" i="662" l="1"/>
  <c r="B38" i="662" s="1"/>
  <c r="B36" i="207"/>
  <c r="H33" i="508" l="1"/>
  <c r="B35" i="508" s="1"/>
  <c r="F20" i="443" l="1"/>
  <c r="H34" i="661"/>
  <c r="B36" i="661" s="1"/>
  <c r="N19" i="313"/>
  <c r="N18" i="313"/>
  <c r="N17" i="313"/>
  <c r="N16" i="313"/>
  <c r="H33" i="308" l="1"/>
  <c r="B35" i="308" s="1"/>
  <c r="B39" i="660" l="1"/>
  <c r="F20" i="658" l="1"/>
  <c r="F27" i="658"/>
  <c r="F26" i="658"/>
  <c r="F25" i="658"/>
  <c r="F24" i="658"/>
  <c r="F23" i="658"/>
  <c r="F22" i="658"/>
  <c r="F21" i="658"/>
  <c r="F26" i="659"/>
  <c r="F24" i="659"/>
  <c r="F28" i="658" l="1"/>
  <c r="F34" i="658" s="1"/>
  <c r="B36" i="658" s="1"/>
  <c r="F34" i="659"/>
  <c r="B36" i="659" s="1"/>
  <c r="H35" i="657" l="1"/>
  <c r="B37" i="657" s="1"/>
  <c r="B36" i="362" l="1"/>
  <c r="F34" i="656" l="1"/>
  <c r="B36" i="656" s="1"/>
  <c r="F35" i="353" l="1"/>
  <c r="B37" i="353" s="1"/>
  <c r="H36" i="461" l="1"/>
  <c r="F29" i="655" l="1"/>
  <c r="F25" i="655"/>
  <c r="F23" i="655"/>
  <c r="F20" i="655"/>
  <c r="F35" i="655" l="1"/>
  <c r="B37" i="655" s="1"/>
  <c r="F21" i="648"/>
  <c r="F34" i="599" l="1"/>
  <c r="N18" i="653" l="1"/>
  <c r="N19" i="653"/>
  <c r="N23" i="653"/>
  <c r="N24" i="653"/>
  <c r="F21" i="654"/>
  <c r="F20" i="654"/>
  <c r="F34" i="654" l="1"/>
  <c r="B36" i="654" s="1"/>
  <c r="F34" i="653"/>
  <c r="B36" i="653" s="1"/>
  <c r="P24" i="399"/>
  <c r="P23" i="399"/>
  <c r="F34" i="652" l="1"/>
  <c r="B36" i="652" s="1"/>
  <c r="F23" i="546" l="1"/>
  <c r="F36" i="651"/>
  <c r="B38" i="651" s="1"/>
  <c r="F22" i="650"/>
  <c r="F35" i="648"/>
  <c r="B37" i="648" s="1"/>
  <c r="F36" i="650" l="1"/>
  <c r="B38" i="650" s="1"/>
  <c r="F21" i="647"/>
  <c r="F34" i="647" s="1"/>
  <c r="B36" i="647" s="1"/>
  <c r="B49" i="646"/>
  <c r="F34" i="645"/>
  <c r="B36" i="645" s="1"/>
  <c r="F26" i="644" l="1"/>
  <c r="F43" i="644" s="1"/>
  <c r="B45" i="644" s="1"/>
  <c r="H33" i="643" l="1"/>
  <c r="B35" i="643" l="1"/>
  <c r="H34" i="642"/>
  <c r="B36" i="642" s="1"/>
  <c r="F20" i="277"/>
  <c r="F23" i="277"/>
  <c r="F22" i="277"/>
  <c r="F21" i="277"/>
  <c r="F23" i="641" l="1"/>
  <c r="F34" i="641" s="1"/>
  <c r="B36" i="641" s="1"/>
  <c r="F22" i="395" l="1"/>
  <c r="F19" i="640"/>
  <c r="F33" i="640" s="1"/>
  <c r="B35" i="640" s="1"/>
  <c r="F27" i="639" l="1"/>
  <c r="F28" i="639" s="1"/>
  <c r="F21" i="639"/>
  <c r="F23" i="639" s="1"/>
  <c r="F25" i="639"/>
  <c r="F33" i="606"/>
  <c r="F35" i="639" l="1"/>
  <c r="B37" i="639" s="1"/>
  <c r="F33" i="638" l="1"/>
  <c r="B35" i="638" s="1"/>
  <c r="F33" i="637"/>
  <c r="B35" i="637" s="1"/>
  <c r="O21" i="606" l="1"/>
  <c r="F35" i="636" l="1"/>
  <c r="B37" i="636" s="1"/>
  <c r="B38" i="635" l="1"/>
  <c r="B37" i="43" l="1"/>
  <c r="F33" i="634"/>
  <c r="B35" i="634" s="1"/>
  <c r="F21" i="633" l="1"/>
  <c r="F34" i="633" s="1"/>
  <c r="B36" i="633" s="1"/>
  <c r="B39" i="632"/>
  <c r="F36" i="609"/>
  <c r="F34" i="631" l="1"/>
  <c r="B36" i="631" s="1"/>
  <c r="F24" i="630" l="1"/>
  <c r="F20" i="630"/>
  <c r="F34" i="630" l="1"/>
  <c r="B36" i="630" s="1"/>
  <c r="B36" i="396"/>
  <c r="B37" i="391" l="1"/>
  <c r="F22" i="569"/>
  <c r="F20" i="629" l="1"/>
  <c r="F26" i="629"/>
  <c r="F35" i="629" l="1"/>
  <c r="B37" i="629" s="1"/>
  <c r="F35" i="628" l="1"/>
  <c r="B37" i="628" l="1"/>
  <c r="F35" i="397"/>
  <c r="B37" i="397" s="1"/>
  <c r="H35" i="59"/>
  <c r="B37" i="59" s="1"/>
  <c r="F25" i="627" l="1"/>
  <c r="F20" i="627"/>
  <c r="F33" i="627" l="1"/>
  <c r="B35" i="627" s="1"/>
  <c r="H22" i="317"/>
  <c r="H35" i="317" s="1"/>
  <c r="H33" i="626" l="1"/>
  <c r="B35" i="626" s="1"/>
  <c r="F33" i="625" l="1"/>
  <c r="B35" i="625" s="1"/>
  <c r="F23" i="624" l="1"/>
  <c r="F20" i="624"/>
  <c r="F28" i="624"/>
  <c r="B38" i="470"/>
  <c r="F34" i="624" l="1"/>
  <c r="B36" i="624" s="1"/>
  <c r="F20" i="426" l="1"/>
  <c r="F34" i="426" s="1"/>
  <c r="H34" i="623" l="1"/>
  <c r="B36" i="623" s="1"/>
  <c r="B44" i="369" l="1"/>
  <c r="F34" i="259"/>
  <c r="B36" i="259" s="1"/>
  <c r="F34" i="622" l="1"/>
  <c r="B36" i="622" s="1"/>
  <c r="F33" i="621" l="1"/>
  <c r="B35" i="621" s="1"/>
  <c r="F36" i="280"/>
  <c r="F20" i="619" l="1"/>
  <c r="F36" i="619" s="1"/>
  <c r="B38" i="619" s="1"/>
  <c r="F33" i="312"/>
  <c r="F35" i="443"/>
  <c r="F36" i="618" l="1"/>
  <c r="B38" i="618" s="1"/>
  <c r="F35" i="316"/>
  <c r="B37" i="316" s="1"/>
  <c r="F33" i="417"/>
  <c r="B35" i="417" s="1"/>
  <c r="N30" i="313" l="1"/>
  <c r="N29" i="313"/>
  <c r="N28" i="313"/>
  <c r="N27" i="313"/>
  <c r="N26" i="313"/>
  <c r="N24" i="313"/>
  <c r="N23" i="313"/>
  <c r="N21" i="313"/>
  <c r="H36" i="306"/>
  <c r="B38" i="306" s="1"/>
  <c r="F33" i="617" l="1"/>
  <c r="B35" i="617" s="1"/>
  <c r="F18" i="440" l="1"/>
  <c r="B51" i="616"/>
  <c r="F35" i="615" l="1"/>
  <c r="B37" i="615" s="1"/>
  <c r="F35" i="614"/>
  <c r="B37" i="614" s="1"/>
  <c r="F35" i="613"/>
  <c r="B37" i="613" s="1"/>
  <c r="F35" i="612"/>
  <c r="B37" i="612" s="1"/>
  <c r="H35" i="611"/>
  <c r="B37" i="611" s="1"/>
  <c r="F23" i="290" l="1"/>
  <c r="F34" i="290" s="1"/>
  <c r="F35" i="610" l="1"/>
  <c r="B37" i="610" s="1"/>
  <c r="H35" i="432"/>
  <c r="B37" i="432" s="1"/>
  <c r="B38" i="609"/>
  <c r="F36" i="368" l="1"/>
  <c r="F35" i="608" l="1"/>
  <c r="B37" i="608" s="1"/>
  <c r="H35" i="607"/>
  <c r="B37" i="607" s="1"/>
  <c r="B35" i="606" l="1"/>
  <c r="F33" i="605"/>
  <c r="B35" i="605" s="1"/>
  <c r="F33" i="604"/>
  <c r="B35" i="604" s="1"/>
  <c r="F20" i="281"/>
  <c r="H35" i="603" l="1"/>
  <c r="B37" i="603" s="1"/>
  <c r="F19" i="596"/>
  <c r="F22" i="602"/>
  <c r="F35" i="602" s="1"/>
  <c r="B37" i="602" s="1"/>
  <c r="F22" i="555"/>
  <c r="F34" i="601" l="1"/>
  <c r="B36" i="601" s="1"/>
  <c r="F34" i="600" l="1"/>
  <c r="B36" i="600" s="1"/>
  <c r="F34" i="221"/>
  <c r="B36" i="221" s="1"/>
  <c r="B36" i="599"/>
  <c r="B38" i="377" l="1"/>
  <c r="B47" i="34"/>
  <c r="F35" i="592"/>
  <c r="B38" i="368"/>
  <c r="H35" i="598" l="1"/>
  <c r="B37" i="598" s="1"/>
  <c r="H35" i="597"/>
  <c r="B37" i="597" s="1"/>
  <c r="B36" i="389" l="1"/>
  <c r="H35" i="365" l="1"/>
  <c r="F35" i="596" l="1"/>
  <c r="B37" i="596" s="1"/>
  <c r="H36" i="595"/>
  <c r="B38" i="595" s="1"/>
  <c r="B38" i="594" l="1"/>
  <c r="F33" i="593"/>
  <c r="B35" i="593" s="1"/>
  <c r="H33" i="463" l="1"/>
  <c r="B37" i="592" l="1"/>
  <c r="H35" i="591" l="1"/>
  <c r="B37" i="591" s="1"/>
  <c r="F21" i="571" l="1"/>
  <c r="F22" i="571" l="1"/>
  <c r="F22" i="557"/>
  <c r="F20" i="557"/>
  <c r="F35" i="590" l="1"/>
  <c r="B37" i="590" s="1"/>
  <c r="F33" i="589" l="1"/>
  <c r="B35" i="589" s="1"/>
  <c r="B37" i="365" l="1"/>
  <c r="F35" i="496" l="1"/>
  <c r="F35" i="588" l="1"/>
  <c r="B37" i="588" s="1"/>
  <c r="F33" i="587" l="1"/>
  <c r="B35" i="587" l="1"/>
  <c r="F33" i="586"/>
  <c r="B35" i="586" s="1"/>
  <c r="F35" i="585"/>
  <c r="B37" i="585" s="1"/>
  <c r="B37" i="226" l="1"/>
  <c r="F35" i="367"/>
  <c r="B37" i="367" s="1"/>
  <c r="B36" i="415"/>
  <c r="F33" i="584"/>
  <c r="B35" i="584" s="1"/>
  <c r="F33" i="583"/>
  <c r="B35" i="583" s="1"/>
  <c r="F20" i="581"/>
  <c r="F33" i="581" s="1"/>
  <c r="B35" i="581" s="1"/>
  <c r="H39" i="471"/>
  <c r="B41" i="471" s="1"/>
  <c r="F20" i="580"/>
  <c r="F33" i="580" s="1"/>
  <c r="B35" i="580" s="1"/>
  <c r="F34" i="579"/>
  <c r="B36" i="579" s="1"/>
  <c r="B39" i="578"/>
  <c r="F34" i="577"/>
  <c r="B36" i="577" s="1"/>
  <c r="F34" i="576"/>
  <c r="B36" i="576" s="1"/>
  <c r="B38" i="461"/>
  <c r="B37" i="496"/>
  <c r="B36" i="575"/>
  <c r="F33" i="574"/>
  <c r="B35" i="574" s="1"/>
  <c r="F34" i="401"/>
  <c r="B36" i="401" s="1"/>
  <c r="F33" i="455"/>
  <c r="B35" i="455" s="1"/>
  <c r="B36" i="313"/>
  <c r="F33" i="573"/>
  <c r="B35" i="573" s="1"/>
  <c r="H35" i="45"/>
  <c r="B37" i="45" s="1"/>
  <c r="B35" i="572"/>
  <c r="F35" i="571"/>
  <c r="B37" i="571" s="1"/>
  <c r="F20" i="570"/>
  <c r="F35" i="570" s="1"/>
  <c r="B37" i="570" s="1"/>
  <c r="H35" i="540"/>
  <c r="B37" i="540" s="1"/>
  <c r="B41" i="450"/>
  <c r="F34" i="569"/>
  <c r="B36" i="569" s="1"/>
  <c r="F33" i="568"/>
  <c r="B35" i="568" s="1"/>
  <c r="F34" i="567"/>
  <c r="B36" i="567" s="1"/>
  <c r="F35" i="416"/>
  <c r="B37" i="416" s="1"/>
  <c r="B37" i="66"/>
  <c r="B38" i="287"/>
  <c r="H36" i="345"/>
  <c r="B38" i="345" s="1"/>
  <c r="F33" i="393"/>
  <c r="B35" i="393" s="1"/>
  <c r="B38" i="280"/>
  <c r="F35" i="565"/>
  <c r="B37" i="565" s="1"/>
  <c r="H33" i="564"/>
  <c r="B35" i="564" s="1"/>
  <c r="F20" i="563"/>
  <c r="F19" i="563"/>
  <c r="F35" i="562"/>
  <c r="B37" i="562" s="1"/>
  <c r="B38" i="561"/>
  <c r="H35" i="516"/>
  <c r="B37" i="516" s="1"/>
  <c r="B36" i="28"/>
  <c r="F33" i="560"/>
  <c r="B35" i="560" s="1"/>
  <c r="F34" i="559"/>
  <c r="B36" i="559" s="1"/>
  <c r="F33" i="526"/>
  <c r="B35" i="526" s="1"/>
  <c r="H34" i="558"/>
  <c r="B36" i="558" s="1"/>
  <c r="F35" i="475"/>
  <c r="B37" i="475" s="1"/>
  <c r="F33" i="344"/>
  <c r="B35" i="344" s="1"/>
  <c r="F35" i="557"/>
  <c r="B37" i="557" s="1"/>
  <c r="H35" i="556"/>
  <c r="B37" i="556" s="1"/>
  <c r="F35" i="555"/>
  <c r="B37" i="555" s="1"/>
  <c r="F34" i="554"/>
  <c r="B36" i="554" s="1"/>
  <c r="F34" i="553"/>
  <c r="B36" i="553" s="1"/>
  <c r="H33" i="552"/>
  <c r="B35" i="552" s="1"/>
  <c r="B35" i="551"/>
  <c r="F35" i="550"/>
  <c r="B37" i="550" s="1"/>
  <c r="F34" i="27"/>
  <c r="B36" i="27" s="1"/>
  <c r="F33" i="476"/>
  <c r="B35" i="476" s="1"/>
  <c r="F20" i="549"/>
  <c r="B39" i="549"/>
  <c r="H33" i="366"/>
  <c r="B35" i="366" s="1"/>
  <c r="F35" i="548"/>
  <c r="B37" i="548" s="1"/>
  <c r="B36" i="256"/>
  <c r="B37" i="443"/>
  <c r="F20" i="547"/>
  <c r="F34" i="547" s="1"/>
  <c r="B36" i="547" s="1"/>
  <c r="F35" i="527"/>
  <c r="B37" i="527" s="1"/>
  <c r="F34" i="400"/>
  <c r="B36" i="400" s="1"/>
  <c r="F28" i="12"/>
  <c r="F27" i="12"/>
  <c r="F26" i="12"/>
  <c r="F25" i="12"/>
  <c r="F23" i="12"/>
  <c r="F22" i="12"/>
  <c r="F34" i="546"/>
  <c r="B36" i="546" s="1"/>
  <c r="F34" i="281"/>
  <c r="B36" i="281" s="1"/>
  <c r="F20" i="465"/>
  <c r="F35" i="465" s="1"/>
  <c r="B37" i="465" s="1"/>
  <c r="B38" i="545"/>
  <c r="F26" i="544"/>
  <c r="F24" i="544"/>
  <c r="F22" i="544"/>
  <c r="F20" i="544"/>
  <c r="B39" i="544"/>
  <c r="F22" i="543"/>
  <c r="F20" i="543"/>
  <c r="F20" i="542"/>
  <c r="F35" i="542" s="1"/>
  <c r="B37" i="542" s="1"/>
  <c r="B35" i="325"/>
  <c r="F35" i="541"/>
  <c r="B37" i="541" s="1"/>
  <c r="F35" i="539"/>
  <c r="B37" i="539" s="1"/>
  <c r="F18" i="296"/>
  <c r="F35" i="296" s="1"/>
  <c r="B37" i="296" s="1"/>
  <c r="F24" i="410"/>
  <c r="F22" i="410"/>
  <c r="F20" i="410"/>
  <c r="F35" i="538"/>
  <c r="B37" i="538" s="1"/>
  <c r="F35" i="537"/>
  <c r="B37" i="537" s="1"/>
  <c r="B35" i="399"/>
  <c r="B39" i="536"/>
  <c r="B36" i="350"/>
  <c r="F35" i="384"/>
  <c r="B37" i="384" s="1"/>
  <c r="B35" i="421"/>
  <c r="H34" i="485"/>
  <c r="B36" i="485" s="1"/>
  <c r="B36" i="535"/>
  <c r="B37" i="477"/>
  <c r="F34" i="534"/>
  <c r="B36" i="534" s="1"/>
  <c r="F34" i="533"/>
  <c r="B36" i="533" s="1"/>
  <c r="B39" i="12"/>
  <c r="B37" i="439"/>
  <c r="F34" i="462"/>
  <c r="B36" i="462" s="1"/>
  <c r="F34" i="490"/>
  <c r="F34" i="310"/>
  <c r="F34" i="530"/>
  <c r="F34" i="489"/>
  <c r="B36" i="489" s="1"/>
  <c r="F34" i="35"/>
  <c r="F34" i="277"/>
  <c r="F34" i="452"/>
  <c r="B36" i="452" s="1"/>
  <c r="F34" i="486"/>
  <c r="B36" i="486" s="1"/>
  <c r="F34" i="488"/>
  <c r="B36" i="488" s="1"/>
  <c r="F33" i="434"/>
  <c r="B35" i="474"/>
  <c r="F29" i="532"/>
  <c r="F32" i="529"/>
  <c r="F33" i="528"/>
  <c r="F32" i="525"/>
  <c r="F21" i="524"/>
  <c r="F32" i="524" s="1"/>
  <c r="B35" i="523"/>
  <c r="F35" i="522"/>
  <c r="H35" i="521"/>
  <c r="B37" i="521" s="1"/>
  <c r="F32" i="520"/>
  <c r="F20" i="472"/>
  <c r="F32" i="472" s="1"/>
  <c r="F20" i="519"/>
  <c r="F32" i="519" s="1"/>
  <c r="F32" i="518"/>
  <c r="F31" i="517"/>
  <c r="F32" i="515"/>
  <c r="F32" i="514"/>
  <c r="H34" i="274"/>
  <c r="B36" i="274" s="1"/>
  <c r="F31" i="513"/>
  <c r="F28" i="512"/>
  <c r="F27" i="512"/>
  <c r="F26" i="512"/>
  <c r="F20" i="512"/>
  <c r="F20" i="511"/>
  <c r="F34" i="511" s="1"/>
  <c r="F32" i="510"/>
  <c r="F20" i="406"/>
  <c r="F29" i="406" s="1"/>
  <c r="F33" i="509"/>
  <c r="B35" i="509" s="1"/>
  <c r="F31" i="507"/>
  <c r="F20" i="467"/>
  <c r="F31" i="467" s="1"/>
  <c r="E32" i="506"/>
  <c r="F33" i="505"/>
  <c r="F20" i="504"/>
  <c r="F29" i="504" s="1"/>
  <c r="F32" i="502"/>
  <c r="F35" i="501"/>
  <c r="F20" i="456"/>
  <c r="F31" i="456" s="1"/>
  <c r="F32" i="500"/>
  <c r="F20" i="499"/>
  <c r="F32" i="499" s="1"/>
  <c r="F20" i="405"/>
  <c r="F30" i="405" s="1"/>
  <c r="F31" i="498"/>
  <c r="F35" i="497"/>
  <c r="F21" i="375"/>
  <c r="F32" i="375" s="1"/>
  <c r="F32" i="494"/>
  <c r="E32" i="493"/>
  <c r="F32" i="492"/>
  <c r="F32" i="491"/>
  <c r="F20" i="453"/>
  <c r="F34" i="453" s="1"/>
  <c r="B36" i="453" s="1"/>
  <c r="F22" i="487"/>
  <c r="F20" i="487"/>
  <c r="F26" i="482"/>
  <c r="F22" i="482"/>
  <c r="F20" i="482"/>
  <c r="F29" i="459"/>
  <c r="F32" i="481"/>
  <c r="H32" i="480"/>
  <c r="B34" i="480" s="1"/>
  <c r="F29" i="479"/>
  <c r="F32" i="479" s="1"/>
  <c r="H33" i="478"/>
  <c r="B35" i="478" s="1"/>
  <c r="E33" i="474"/>
  <c r="F32" i="473"/>
  <c r="F29" i="469"/>
  <c r="F31" i="468"/>
  <c r="B36" i="426"/>
  <c r="F31" i="466"/>
  <c r="F34" i="464"/>
  <c r="B36" i="464" s="1"/>
  <c r="B35" i="463"/>
  <c r="F22" i="218"/>
  <c r="F32" i="218" s="1"/>
  <c r="F18" i="460"/>
  <c r="F29" i="460" s="1"/>
  <c r="F31" i="457"/>
  <c r="F19" i="244"/>
  <c r="F33" i="244" s="1"/>
  <c r="F32" i="454"/>
  <c r="F33" i="451"/>
  <c r="B35" i="451" s="1"/>
  <c r="F31" i="449"/>
  <c r="F31" i="448"/>
  <c r="F21" i="447"/>
  <c r="F29" i="447" s="1"/>
  <c r="F29" i="446"/>
  <c r="F28" i="442"/>
  <c r="F20" i="442"/>
  <c r="F32" i="445"/>
  <c r="F35" i="301"/>
  <c r="B37" i="301" s="1"/>
  <c r="F23" i="354"/>
  <c r="F20" i="354"/>
  <c r="F37" i="388"/>
  <c r="H33" i="444"/>
  <c r="B35" i="444" s="1"/>
  <c r="F29" i="351"/>
  <c r="F20" i="441"/>
  <c r="F33" i="441" s="1"/>
  <c r="F33" i="440"/>
  <c r="B35" i="440" s="1"/>
  <c r="F24" i="438"/>
  <c r="F22" i="438"/>
  <c r="F20" i="438"/>
  <c r="F33" i="436"/>
  <c r="F31" i="435"/>
  <c r="F32" i="433"/>
  <c r="F29" i="431"/>
  <c r="F21" i="430"/>
  <c r="F30" i="430" s="1"/>
  <c r="F22" i="348"/>
  <c r="F25" i="348" s="1"/>
  <c r="F31" i="348" s="1"/>
  <c r="F20" i="295"/>
  <c r="F29" i="295" s="1"/>
  <c r="B41" i="429"/>
  <c r="F36" i="428"/>
  <c r="B38" i="428" s="1"/>
  <c r="F32" i="427"/>
  <c r="B34" i="427" s="1"/>
  <c r="F21" i="292"/>
  <c r="F32" i="292" s="1"/>
  <c r="F29" i="425"/>
  <c r="F28" i="423"/>
  <c r="F26" i="423"/>
  <c r="F23" i="423"/>
  <c r="F21" i="423"/>
  <c r="F31" i="422"/>
  <c r="F34" i="420"/>
  <c r="B36" i="420" s="1"/>
  <c r="F32" i="419"/>
  <c r="F33" i="418"/>
  <c r="F33" i="414"/>
  <c r="F33" i="413"/>
  <c r="F35" i="412"/>
  <c r="F32" i="411"/>
  <c r="F20" i="409"/>
  <c r="F35" i="409" s="1"/>
  <c r="F32" i="408"/>
  <c r="F31" i="407"/>
  <c r="F30" i="404"/>
  <c r="F31" i="403"/>
  <c r="F35" i="402"/>
  <c r="F33" i="395"/>
  <c r="B35" i="395" s="1"/>
  <c r="F35" i="394"/>
  <c r="F32" i="392"/>
  <c r="F32" i="390"/>
  <c r="H32" i="20"/>
  <c r="B34" i="20" s="1"/>
  <c r="F32" i="289"/>
  <c r="F32" i="387"/>
  <c r="B35" i="312"/>
  <c r="F23" i="374"/>
  <c r="F32" i="374" s="1"/>
  <c r="F32" i="386"/>
  <c r="F23" i="355"/>
  <c r="F18" i="355"/>
  <c r="F22" i="383"/>
  <c r="F25" i="383"/>
  <c r="F20" i="383"/>
  <c r="F31" i="381"/>
  <c r="F31" i="380"/>
  <c r="F33" i="379"/>
  <c r="F33" i="378"/>
  <c r="F35" i="376"/>
  <c r="F22" i="373"/>
  <c r="F32" i="373" s="1"/>
  <c r="F21" i="371"/>
  <c r="F31" i="371" s="1"/>
  <c r="H35" i="370"/>
  <c r="B37" i="370" s="1"/>
  <c r="F21" i="80"/>
  <c r="F32" i="80" s="1"/>
  <c r="F20" i="41"/>
  <c r="F32" i="41" s="1"/>
  <c r="F32" i="363"/>
  <c r="F23" i="361"/>
  <c r="F33" i="361" s="1"/>
  <c r="B35" i="361" s="1"/>
  <c r="F23" i="360"/>
  <c r="F29" i="360" s="1"/>
  <c r="F29" i="359"/>
  <c r="F31" i="358"/>
  <c r="F31" i="357"/>
  <c r="F32" i="356"/>
  <c r="F27" i="267"/>
  <c r="F22" i="267"/>
  <c r="F20" i="267"/>
  <c r="F32" i="352"/>
  <c r="F23" i="336"/>
  <c r="F31" i="336" s="1"/>
  <c r="F30" i="349"/>
  <c r="F32" i="347"/>
  <c r="F32" i="346"/>
  <c r="F33" i="343"/>
  <c r="F21" i="341"/>
  <c r="F18" i="341"/>
  <c r="F27" i="341"/>
  <c r="F32" i="340"/>
  <c r="F32" i="339"/>
  <c r="F32" i="337"/>
  <c r="F20" i="335"/>
  <c r="F31" i="335" s="1"/>
  <c r="F29" i="334"/>
  <c r="F29" i="333"/>
  <c r="F26" i="332"/>
  <c r="F32" i="332" s="1"/>
  <c r="F20" i="331"/>
  <c r="F32" i="331" s="1"/>
  <c r="F37" i="329"/>
  <c r="F31" i="330"/>
  <c r="F20" i="227"/>
  <c r="F31" i="227" s="1"/>
  <c r="F20" i="328"/>
  <c r="F31" i="328" s="1"/>
  <c r="F23" i="82"/>
  <c r="F32" i="82" s="1"/>
  <c r="F29" i="327"/>
  <c r="F21" i="326"/>
  <c r="F29" i="326" s="1"/>
  <c r="F32" i="323"/>
  <c r="F32" i="322"/>
  <c r="F32" i="321"/>
  <c r="F19" i="319"/>
  <c r="F29" i="320"/>
  <c r="F22" i="319"/>
  <c r="B37" i="317"/>
  <c r="E32" i="315"/>
  <c r="F29" i="314"/>
  <c r="F32" i="309"/>
  <c r="F32" i="305"/>
  <c r="F26" i="304"/>
  <c r="F24" i="304"/>
  <c r="F22" i="304"/>
  <c r="F20" i="304"/>
  <c r="F29" i="303"/>
  <c r="F23" i="87"/>
  <c r="F21" i="87"/>
  <c r="F19" i="87"/>
  <c r="F29" i="302"/>
  <c r="F32" i="300"/>
  <c r="F30" i="298"/>
  <c r="F22" i="297"/>
  <c r="F20" i="297"/>
  <c r="H34" i="294"/>
  <c r="B36" i="294" s="1"/>
  <c r="F35" i="293"/>
  <c r="B37" i="293" s="1"/>
  <c r="F29" i="291"/>
  <c r="F30" i="284"/>
  <c r="E32" i="11"/>
  <c r="F23" i="286"/>
  <c r="F32" i="286" s="1"/>
  <c r="F30" i="285"/>
  <c r="F32" i="283"/>
  <c r="F31" i="282"/>
  <c r="E33" i="279"/>
  <c r="E32" i="54"/>
  <c r="F32" i="278"/>
  <c r="F32" i="276"/>
  <c r="F32" i="275"/>
  <c r="F33" i="273"/>
  <c r="F31" i="272"/>
  <c r="F32" i="271"/>
  <c r="F33" i="270"/>
  <c r="F31" i="269"/>
  <c r="F33" i="268"/>
  <c r="F33" i="266"/>
  <c r="F33" i="265"/>
  <c r="F32" i="264"/>
  <c r="F31" i="263"/>
  <c r="F32" i="262"/>
  <c r="F32" i="261"/>
  <c r="F33" i="260"/>
  <c r="F33" i="258"/>
  <c r="F33" i="257"/>
  <c r="F30" i="255"/>
  <c r="F33" i="254"/>
  <c r="F31" i="253"/>
  <c r="F33" i="252"/>
  <c r="F32" i="251"/>
  <c r="F30" i="250"/>
  <c r="F30" i="248"/>
  <c r="F31" i="247"/>
  <c r="F31" i="246"/>
  <c r="F30" i="245"/>
  <c r="F31" i="243"/>
  <c r="F33" i="242"/>
  <c r="F33" i="241"/>
  <c r="E33" i="239"/>
  <c r="F33" i="238"/>
  <c r="F33" i="237"/>
  <c r="F33" i="236"/>
  <c r="F33" i="235"/>
  <c r="F30" i="234"/>
  <c r="F30" i="233"/>
  <c r="F30" i="232"/>
  <c r="F31" i="231"/>
  <c r="F32" i="230"/>
  <c r="F31" i="229"/>
  <c r="F32" i="228"/>
  <c r="F31" i="225"/>
  <c r="F30" i="224"/>
  <c r="F33" i="223"/>
  <c r="F32" i="222"/>
  <c r="F31" i="220"/>
  <c r="F35" i="219"/>
  <c r="F32" i="217"/>
  <c r="F31" i="216"/>
  <c r="F32" i="215"/>
  <c r="F32" i="214"/>
  <c r="F32" i="213"/>
  <c r="F32" i="212"/>
  <c r="F32" i="211"/>
  <c r="F32" i="210"/>
  <c r="F32" i="209"/>
  <c r="F32" i="208"/>
  <c r="F31" i="206"/>
  <c r="F32" i="195"/>
  <c r="B57" i="185"/>
  <c r="D3" i="185" s="1"/>
  <c r="G4" i="185"/>
  <c r="G5" i="185" s="1"/>
  <c r="F32" i="155"/>
  <c r="F32" i="154"/>
  <c r="F32" i="152"/>
  <c r="F32" i="151"/>
  <c r="F32" i="150"/>
  <c r="F29" i="89"/>
  <c r="F32" i="88"/>
  <c r="F32" i="86"/>
  <c r="F32" i="85"/>
  <c r="F32" i="84"/>
  <c r="F32" i="83"/>
  <c r="F32" i="78"/>
  <c r="F32" i="76"/>
  <c r="F32" i="75"/>
  <c r="F32" i="74"/>
  <c r="F32" i="73"/>
  <c r="F32" i="72"/>
  <c r="F32" i="68"/>
  <c r="F32" i="67"/>
  <c r="F32" i="65"/>
  <c r="F32" i="64"/>
  <c r="F32" i="63"/>
  <c r="F32" i="62"/>
  <c r="F32" i="61"/>
  <c r="F32" i="60"/>
  <c r="F32" i="58"/>
  <c r="F32" i="57"/>
  <c r="F32" i="53"/>
  <c r="F31" i="52"/>
  <c r="F31" i="51"/>
  <c r="F31" i="50"/>
  <c r="F32" i="47"/>
  <c r="F31" i="46"/>
  <c r="F32" i="44"/>
  <c r="B37" i="42"/>
  <c r="F32" i="39"/>
  <c r="F27" i="38"/>
  <c r="F32" i="37"/>
  <c r="F32" i="36"/>
  <c r="F32" i="33"/>
  <c r="F31" i="32"/>
  <c r="F32" i="31"/>
  <c r="F30" i="30"/>
  <c r="F32" i="26"/>
  <c r="F32" i="25"/>
  <c r="F32" i="24"/>
  <c r="F32" i="22"/>
  <c r="F32" i="21"/>
  <c r="F33" i="19"/>
  <c r="F32" i="18"/>
  <c r="F32" i="17"/>
  <c r="F32" i="15"/>
  <c r="F32" i="13"/>
  <c r="F32" i="10"/>
  <c r="F32" i="9"/>
  <c r="F32" i="7"/>
  <c r="F32" i="6"/>
  <c r="F32" i="5"/>
  <c r="F32" i="4"/>
  <c r="F32" i="3"/>
  <c r="F32" i="2"/>
  <c r="F32" i="1"/>
  <c r="F29" i="354" l="1"/>
  <c r="F34" i="512"/>
  <c r="F29" i="319"/>
  <c r="F30" i="383"/>
  <c r="F29" i="297"/>
  <c r="F31" i="438"/>
  <c r="F34" i="487"/>
  <c r="B36" i="487" s="1"/>
  <c r="F29" i="341"/>
  <c r="F32" i="423"/>
  <c r="F33" i="563"/>
  <c r="B35" i="563" s="1"/>
  <c r="F32" i="304"/>
  <c r="F32" i="87"/>
  <c r="F29" i="482"/>
  <c r="F35" i="410"/>
  <c r="B37" i="410" s="1"/>
  <c r="F31" i="267"/>
  <c r="F33" i="355"/>
  <c r="F32" i="442"/>
  <c r="F35" i="543"/>
  <c r="B37" i="543" s="1"/>
  <c r="B34" i="673"/>
  <c r="B37" i="79" l="1"/>
  <c r="H34" i="695" l="1"/>
  <c r="B36" i="695" s="1"/>
</calcChain>
</file>

<file path=xl/sharedStrings.xml><?xml version="1.0" encoding="utf-8"?>
<sst xmlns="http://schemas.openxmlformats.org/spreadsheetml/2006/main" count="32990" uniqueCount="9001">
  <si>
    <t>Thank you.</t>
  </si>
  <si>
    <t>Kindly acknowledge receipt.</t>
  </si>
  <si>
    <t>Date:</t>
  </si>
  <si>
    <t>I/C No:</t>
  </si>
  <si>
    <t xml:space="preserve">  Director</t>
  </si>
  <si>
    <t>_____________________</t>
  </si>
  <si>
    <t xml:space="preserve">     ______________________</t>
  </si>
  <si>
    <t>Received by:</t>
  </si>
  <si>
    <t>Approved by:</t>
  </si>
  <si>
    <t xml:space="preserve">      ______________________</t>
  </si>
  <si>
    <t>Prepared by:</t>
  </si>
  <si>
    <t/>
  </si>
  <si>
    <t>TOTAL:  RINGGIT One Thousand Eight Hundred and Ninety only.</t>
  </si>
  <si>
    <t>Meal Allowance (Per diem) - RM270 x 7 days</t>
  </si>
  <si>
    <t>1</t>
  </si>
  <si>
    <t>Advance taken for:</t>
  </si>
  <si>
    <t>Berlin, Germany from March 10 - 14, 2010</t>
  </si>
  <si>
    <t>Internationale Tourismus Borse (ITB)</t>
  </si>
  <si>
    <t>AMOUNT (RM)</t>
  </si>
  <si>
    <t xml:space="preserve">     PARTICULARS</t>
  </si>
  <si>
    <t>INVOICE DATE     INVOICE NO</t>
  </si>
  <si>
    <t xml:space="preserve">  :    915185</t>
  </si>
  <si>
    <t xml:space="preserve">Cheque No.     </t>
  </si>
  <si>
    <t xml:space="preserve">  :    CIMB</t>
  </si>
  <si>
    <t xml:space="preserve">Bank               </t>
  </si>
  <si>
    <t xml:space="preserve">      Managing Director</t>
  </si>
  <si>
    <t xml:space="preserve">  :   25 February 2010</t>
  </si>
  <si>
    <t xml:space="preserve">Date                </t>
  </si>
  <si>
    <t xml:space="preserve">      Ms Ooi Geok Ling</t>
  </si>
  <si>
    <t xml:space="preserve">  :   V140/2010</t>
  </si>
  <si>
    <t xml:space="preserve">Voucher No.    </t>
  </si>
  <si>
    <t>PAYMENT VOUCHER</t>
  </si>
  <si>
    <t>To:</t>
  </si>
  <si>
    <t>(formerly known as DCT Consultancy Services Sdn Bhd)</t>
  </si>
  <si>
    <t>Penang Global Tourism Sdn Bhd (Co. No. 50689-X)</t>
  </si>
  <si>
    <t>Managing Director</t>
  </si>
  <si>
    <t>TOTAL:  RINGGIT Two Thousand Ninety Six and Sen Thirty One only.</t>
  </si>
  <si>
    <t>Draw in MATKA 2010</t>
  </si>
  <si>
    <t xml:space="preserve">Charges on Air Asia flight tickets used as Lucky </t>
  </si>
  <si>
    <t>3.</t>
  </si>
  <si>
    <t>Purchase of Stationery for office use</t>
  </si>
  <si>
    <t>2.</t>
  </si>
  <si>
    <t>Hawker's food for British reporter (25/2)</t>
  </si>
  <si>
    <t>1.</t>
  </si>
  <si>
    <t>Add: Reimbursement of claims</t>
  </si>
  <si>
    <t>Net Salary for March 2010</t>
  </si>
  <si>
    <t xml:space="preserve">  :    915226</t>
  </si>
  <si>
    <t xml:space="preserve">      Media Liaison Officer</t>
  </si>
  <si>
    <t xml:space="preserve">  :   30 March 2010</t>
  </si>
  <si>
    <t xml:space="preserve">      Ms Chew Chee Ling</t>
  </si>
  <si>
    <t>Director</t>
  </si>
  <si>
    <t>TOTAL:  RINGGIT Tweny Nine Thousand Three Hundred Twenty and Sen Fifty Four only.</t>
  </si>
  <si>
    <t>Bank Charges</t>
  </si>
  <si>
    <t>as per schedule attached</t>
  </si>
  <si>
    <t>Net Salary for the month of July 2010</t>
  </si>
  <si>
    <t xml:space="preserve">      11950 Bayan Lepas, Penang</t>
  </si>
  <si>
    <t xml:space="preserve">  :    Debit  Advice</t>
  </si>
  <si>
    <t xml:space="preserve">      Jalan Mahsuri</t>
  </si>
  <si>
    <t xml:space="preserve">      Bayan Baru Branch</t>
  </si>
  <si>
    <t xml:space="preserve">  :   28 July 2010</t>
  </si>
  <si>
    <t xml:space="preserve">      CIMB Bank Berhad</t>
  </si>
  <si>
    <t xml:space="preserve">  :   V437/2010</t>
  </si>
  <si>
    <t>TOTAL:  RINGGIT Six Thousand and Thirty Nine only.</t>
  </si>
  <si>
    <t xml:space="preserve">  - Employee's portion</t>
  </si>
  <si>
    <t xml:space="preserve">  - Employer's portion</t>
  </si>
  <si>
    <t>for July 2010</t>
  </si>
  <si>
    <t>Payment for EPF Contribution for the salary</t>
  </si>
  <si>
    <t xml:space="preserve">  :    011933</t>
  </si>
  <si>
    <t xml:space="preserve">      Kumpulan Wang Simpanan Pekerja</t>
  </si>
  <si>
    <t xml:space="preserve">  :   V439/2010</t>
  </si>
  <si>
    <t>TOTAL:  RINGGIT Two Thousand Six Hundred Forty Two and Sen Five only.</t>
  </si>
  <si>
    <t>Photograph for India visa</t>
  </si>
  <si>
    <t>4.</t>
  </si>
  <si>
    <t>Handphone claims (26.01.10 - 25.02.10)</t>
  </si>
  <si>
    <t>Taxi claims in KL (Sales Mission Mtg on 19/2)</t>
  </si>
  <si>
    <t>Mileage claims &amp; parking fee for Feb 2010</t>
  </si>
  <si>
    <t xml:space="preserve">  :    915224</t>
  </si>
  <si>
    <t xml:space="preserve">      Assistant Manager</t>
  </si>
  <si>
    <t xml:space="preserve">      Ms Gan Fei Wei</t>
  </si>
  <si>
    <t xml:space="preserve">  :   V177/2010</t>
  </si>
  <si>
    <t>TOTAL:  RINGGIT One Thousand Four Hundred Forty Six and Sen Twenty Seven only.</t>
  </si>
  <si>
    <t>Petrol claim for office car (27/3 &amp; 28/3)</t>
  </si>
  <si>
    <t xml:space="preserve">  :    915227</t>
  </si>
  <si>
    <t xml:space="preserve">      Encik Mohammad Izwan bin Maleck</t>
  </si>
  <si>
    <t xml:space="preserve">  :   V180/2010</t>
  </si>
  <si>
    <t>TOTAL:  RINGGIT One Thousand Seven Hundred Ninety Seven and Sen One only.</t>
  </si>
  <si>
    <t>-</t>
  </si>
  <si>
    <t>Net Salary for March 17 - 31, 2010</t>
  </si>
  <si>
    <t xml:space="preserve">  :    954566</t>
  </si>
  <si>
    <t xml:space="preserve">      Communications Manager</t>
  </si>
  <si>
    <t xml:space="preserve">      Julie Shih binti Mohammad Yusof</t>
  </si>
  <si>
    <t xml:space="preserve">  :   V216/2010</t>
  </si>
  <si>
    <t>TOTAL:  RINGGIT Four Thousand One Hundred and Fifty only.</t>
  </si>
  <si>
    <t>Contingency</t>
  </si>
  <si>
    <t>Local Transportation</t>
  </si>
  <si>
    <t>Meal Allowance (Per diem) - RM215 x 10 days</t>
  </si>
  <si>
    <t>in Shanghai, China from May 21 - 31, 2010</t>
  </si>
  <si>
    <t>Expo 2010 Shanghai China</t>
  </si>
  <si>
    <t xml:space="preserve">  :    954638</t>
  </si>
  <si>
    <t xml:space="preserve">      I/C: 830227-10-5126</t>
  </si>
  <si>
    <t xml:space="preserve">  :   14 May 2010</t>
  </si>
  <si>
    <t xml:space="preserve">      Gan Fei Wei</t>
  </si>
  <si>
    <t xml:space="preserve">  :   V290/2010</t>
  </si>
  <si>
    <t>TOTAL:  RINGGIT One Thousand Four Hundred Fifty Four and Sen Thirty Eight only.</t>
  </si>
  <si>
    <t>Stationery - blank CDs &amp; cable</t>
  </si>
  <si>
    <t>5</t>
  </si>
  <si>
    <t>Mileage, bridge toll &amp; parking</t>
  </si>
  <si>
    <t>4</t>
  </si>
  <si>
    <t>Local transportation in Spain</t>
  </si>
  <si>
    <t>3</t>
  </si>
  <si>
    <t>Tips &amp; porterage &amp; loss in forex</t>
  </si>
  <si>
    <t>2</t>
  </si>
  <si>
    <t>Meal Allowance (Per diem) - RM215 x 4 days</t>
  </si>
  <si>
    <t>Reimbursement of claims:</t>
  </si>
  <si>
    <t>December 1 - 3, 2009</t>
  </si>
  <si>
    <t>Exhibition 2009 in Barcelona</t>
  </si>
  <si>
    <t xml:space="preserve">The Global Meetings &amp; Incentives </t>
  </si>
  <si>
    <t xml:space="preserve">  :    867508</t>
  </si>
  <si>
    <t xml:space="preserve">  :   28 December 2009</t>
  </si>
  <si>
    <t xml:space="preserve">  :   V311/2009</t>
  </si>
  <si>
    <t xml:space="preserve">   </t>
  </si>
  <si>
    <t xml:space="preserve">  </t>
  </si>
  <si>
    <t>TOTAL:  RINGGIT</t>
  </si>
  <si>
    <t>Pulau Pinang</t>
  </si>
  <si>
    <t>11010 Balik Pulau</t>
  </si>
  <si>
    <t>202-A, MK3, Sungai Pinang</t>
  </si>
  <si>
    <t>Ghee Hup Enterprise</t>
  </si>
  <si>
    <t xml:space="preserve"> - Transportation</t>
  </si>
  <si>
    <t>INVOICE NO</t>
  </si>
  <si>
    <t xml:space="preserve">INVOICE DATE   </t>
  </si>
  <si>
    <t>(I/C : 830816-07-5201)</t>
  </si>
  <si>
    <t xml:space="preserve">  :   04 March 2011</t>
  </si>
  <si>
    <t>Foo Yu Keong</t>
  </si>
  <si>
    <t xml:space="preserve">  Managing Director</t>
  </si>
  <si>
    <t>TOTAL:  RINGGIT Nine Hundred and Forty only.</t>
  </si>
  <si>
    <t>Local transportation</t>
  </si>
  <si>
    <t xml:space="preserve">Meal Allowance </t>
  </si>
  <si>
    <t>Kuala Lumpur May 14 - 16, 2010</t>
  </si>
  <si>
    <t>Malaysian Domestic Tourism Fair (MDTF) 2010</t>
  </si>
  <si>
    <t xml:space="preserve">  :    954635</t>
  </si>
  <si>
    <t xml:space="preserve">  :   12 May 2010</t>
  </si>
  <si>
    <t xml:space="preserve">  :   V287/2010</t>
  </si>
  <si>
    <t>TOTAL:  RINGGIT Two Thousand Six Hundred and Seventy Five only.</t>
  </si>
  <si>
    <t>Meal Allowance (Per diem) - RM235 x 5 days</t>
  </si>
  <si>
    <t>Singapore from May 14 - 16, 2010</t>
  </si>
  <si>
    <t>Fascinating Malaysia Travel Fair 2010</t>
  </si>
  <si>
    <t xml:space="preserve">  :    954634</t>
  </si>
  <si>
    <t xml:space="preserve">       Marketing &amp; Communications Manager</t>
  </si>
  <si>
    <t xml:space="preserve">  :   V286/2010</t>
  </si>
  <si>
    <t>TOTAL:  RINGGIT Eighty and Sen Sixty Five only.</t>
  </si>
  <si>
    <t>Allowance for period 11 Mar 2010 - 20 Mar 2010</t>
  </si>
  <si>
    <t xml:space="preserve"> Memo dated 27.01.2010</t>
  </si>
  <si>
    <t>for period from 11 January 2010 - 20 March 2010</t>
  </si>
  <si>
    <t>Practical Training Placement</t>
  </si>
  <si>
    <t xml:space="preserve">  :    915218</t>
  </si>
  <si>
    <t xml:space="preserve">      Trainee</t>
  </si>
  <si>
    <t xml:space="preserve">  :   15 March 2010</t>
  </si>
  <si>
    <t xml:space="preserve">      Chung Kheng Wei</t>
  </si>
  <si>
    <t xml:space="preserve">  :   V172/2010</t>
  </si>
  <si>
    <t>TOTAL:  RINGGIT Two Hundred and Fifty only.</t>
  </si>
  <si>
    <t>Allowance for period 4 Mar 2010 - 2 Apr 2010</t>
  </si>
  <si>
    <t xml:space="preserve"> Memo dated 23.02.2010</t>
  </si>
  <si>
    <t>at State Tourism Office</t>
  </si>
  <si>
    <t>for period from 4 January 2010 - 2 April 2010</t>
  </si>
  <si>
    <t xml:space="preserve">  :    915236</t>
  </si>
  <si>
    <t xml:space="preserve">      Janice Tham Yu Yuin</t>
  </si>
  <si>
    <t xml:space="preserve">  :   V188/2010</t>
  </si>
  <si>
    <t>TOTAL:  RINGGIT Twenty Six Thousand Forty and Sen Fifty Five only.</t>
  </si>
  <si>
    <t xml:space="preserve">participation of 30 hawkers </t>
  </si>
  <si>
    <t xml:space="preserve">Sponsorship for airfare at 50% reduction for the </t>
  </si>
  <si>
    <t>in Macau on 10.11.2009 &amp; 1.12.2009</t>
  </si>
  <si>
    <t>Macau Food Festival 2009</t>
  </si>
  <si>
    <t xml:space="preserve">  :    915137</t>
  </si>
  <si>
    <t xml:space="preserve">  :   11 February 2010</t>
  </si>
  <si>
    <t xml:space="preserve">      Cik Chin Lei Chen</t>
  </si>
  <si>
    <t xml:space="preserve">  :   V093/2010</t>
  </si>
  <si>
    <t>TOTAL:  RINGGIT Eighteen Thousand Seven Hundred and Thirty only.</t>
  </si>
  <si>
    <t>Peruntukkan untuk penganjuran program</t>
  </si>
  <si>
    <t xml:space="preserve"> 05.08.2009            </t>
  </si>
  <si>
    <t>Awards Ceremony"</t>
  </si>
  <si>
    <t xml:space="preserve">"Penang Postcard Competition 2009 </t>
  </si>
  <si>
    <t xml:space="preserve">  :    845840</t>
  </si>
  <si>
    <t xml:space="preserve">       10400 Penang</t>
  </si>
  <si>
    <t xml:space="preserve">       32 Jalan Anson</t>
  </si>
  <si>
    <t xml:space="preserve">  :   15 October 2009</t>
  </si>
  <si>
    <t xml:space="preserve">       KDU College Sdn Bhd</t>
  </si>
  <si>
    <t xml:space="preserve">  :   V198/2009</t>
  </si>
  <si>
    <t>TOTAL:  RINGGIT One Thousand Seven Hundred and Seventy Two only.</t>
  </si>
  <si>
    <t>Airfare for Gan Fei Wei</t>
  </si>
  <si>
    <t xml:space="preserve">  :    954639</t>
  </si>
  <si>
    <t xml:space="preserve">      China Southern Airlines</t>
  </si>
  <si>
    <t xml:space="preserve">  :   V291/2010</t>
  </si>
  <si>
    <t>TOTAL:  RINGGIT Eighteen Thousand and Two Hundred only.</t>
  </si>
  <si>
    <t>Additional Furniture - Chairs &amp; Tables</t>
  </si>
  <si>
    <t xml:space="preserve"> 12.05.2010             2024</t>
  </si>
  <si>
    <t>Booth Rental  (2 units)</t>
  </si>
  <si>
    <t xml:space="preserve"> 03.05.2010             2018</t>
  </si>
  <si>
    <t xml:space="preserve">      47301 Petaling Jaya, Selangor</t>
  </si>
  <si>
    <t xml:space="preserve">  :    954674</t>
  </si>
  <si>
    <t xml:space="preserve">      No. 11-A (1st Floor) Jalan SS 5A/11</t>
  </si>
  <si>
    <t xml:space="preserve">      Bangunan Asiatravex</t>
  </si>
  <si>
    <t xml:space="preserve">  :   9 June 2010</t>
  </si>
  <si>
    <t xml:space="preserve">      Asiatravex Exhibition Organisers Sdn Bhd</t>
  </si>
  <si>
    <t xml:space="preserve">  :   V329/2010</t>
  </si>
  <si>
    <t>TOTAL:  RINGGIT One Hundred and Twenty only.</t>
  </si>
  <si>
    <t>Full gospel businessmen &amp; SUK Kedah</t>
  </si>
  <si>
    <t xml:space="preserve">Tau Sah biscuits for </t>
  </si>
  <si>
    <t xml:space="preserve"> 21.07.2010                07648</t>
  </si>
  <si>
    <t xml:space="preserve">  :    011928</t>
  </si>
  <si>
    <t xml:space="preserve">      10150 Penang</t>
  </si>
  <si>
    <t xml:space="preserve">      134, 136 &amp; 138 Dato Kramat Road</t>
  </si>
  <si>
    <t xml:space="preserve">  :   23 July 2010</t>
  </si>
  <si>
    <t xml:space="preserve">      Kedai Biscuit Seng Heang</t>
  </si>
  <si>
    <t xml:space="preserve">  :   V433/2010</t>
  </si>
  <si>
    <t>TOTAL:  RINGGIT Ten Thousand only.</t>
  </si>
  <si>
    <t>Peruntukkan untuk Pasar Ramadhan</t>
  </si>
  <si>
    <t xml:space="preserve"> 26.08.2009                  1673                 </t>
  </si>
  <si>
    <t xml:space="preserve">  Pasar Ramadhan 2009"</t>
  </si>
  <si>
    <t>"Perasmian dan Publisiti/Promosi</t>
  </si>
  <si>
    <t xml:space="preserve">       10300 Penang</t>
  </si>
  <si>
    <t xml:space="preserve">  :    845842</t>
  </si>
  <si>
    <t xml:space="preserve">       No. 1 Lebuh Pantai</t>
  </si>
  <si>
    <t xml:space="preserve">       Tingkat 12, Bangunan Dewan Perniagaan Melayu</t>
  </si>
  <si>
    <t xml:space="preserve">       Dewan Perniagann Melayu Malaysia Pulau Pinang</t>
  </si>
  <si>
    <t xml:space="preserve">  :   V200/2009</t>
  </si>
  <si>
    <t>TOTAL:  RINGGIT Five Thousand only.</t>
  </si>
  <si>
    <t>Sponsorship</t>
  </si>
  <si>
    <t xml:space="preserve">  :   31 May 2010</t>
  </si>
  <si>
    <t>TOTAL:  RINGGIT Two Thousand Three Hundred Sixty-Two and Sen Fifty only.</t>
  </si>
  <si>
    <t>5% Service Tax</t>
  </si>
  <si>
    <t>for the month of June 2010</t>
  </si>
  <si>
    <t>Cost of advertisment in 'Let's Travel' magazine</t>
  </si>
  <si>
    <t xml:space="preserve"> 01.07.2010      PJ201007036544</t>
  </si>
  <si>
    <t xml:space="preserve">     46793 Petaling Jaya, Selangor</t>
  </si>
  <si>
    <t xml:space="preserve">      PO Box 8565, </t>
  </si>
  <si>
    <t xml:space="preserve">  :    011965</t>
  </si>
  <si>
    <t xml:space="preserve">      No. 1 Jalan SS7/2</t>
  </si>
  <si>
    <t xml:space="preserve">     2nd Floor, Nanyang Siang Pau Building</t>
  </si>
  <si>
    <t xml:space="preserve">  :   16 August 2010</t>
  </si>
  <si>
    <t xml:space="preserve">      Life Publishers Bhd</t>
  </si>
  <si>
    <t xml:space="preserve">  :   V470/2010</t>
  </si>
  <si>
    <t>TOTAL:  RINGGIT Eighteen Thousand and Nine Hundred only.</t>
  </si>
  <si>
    <t>in Chinese version (10,000 copies)</t>
  </si>
  <si>
    <t>Printing of brochures "Visit Penang 2010 - 2012"</t>
  </si>
  <si>
    <t xml:space="preserve"> 07.04.2010      PJ201004034150</t>
  </si>
  <si>
    <t>pelancongan Pulau Pinang dalam bahasa Cina</t>
  </si>
  <si>
    <t>Peruntukkan untuk penerbitan majalah</t>
  </si>
  <si>
    <t xml:space="preserve"> 11.08.2009      PJ200908027362</t>
  </si>
  <si>
    <t xml:space="preserve">  :    845845</t>
  </si>
  <si>
    <t xml:space="preserve">  :   V203/2009</t>
  </si>
  <si>
    <t>TOTAL:  RINGGIT Seven Thousand One Hundred Eighty Four and Sen Fifty only.</t>
  </si>
  <si>
    <t>Advertisement cost</t>
  </si>
  <si>
    <t xml:space="preserve"> 05.04.2010                  1002</t>
  </si>
  <si>
    <t>(Japanese Travel Publication)</t>
  </si>
  <si>
    <t>Travel &amp; Pamper Yourself In Malaysia 2010</t>
  </si>
  <si>
    <t xml:space="preserve">     47100 Puchong, Selangor</t>
  </si>
  <si>
    <t xml:space="preserve">      Bandar Puteri</t>
  </si>
  <si>
    <t xml:space="preserve">  :    996984</t>
  </si>
  <si>
    <t xml:space="preserve">      No. 10, Pesiaran Puteri 1, </t>
  </si>
  <si>
    <t xml:space="preserve">     Suite #112, MBE Puchong</t>
  </si>
  <si>
    <t xml:space="preserve">  :   08 July 2010</t>
  </si>
  <si>
    <t xml:space="preserve">      Linxmas Sdn Bhd</t>
  </si>
  <si>
    <t xml:space="preserve">  :   V388/2010</t>
  </si>
  <si>
    <t>TOTAL:  RINGGIT Three Hundred and Eighty Six only.</t>
  </si>
  <si>
    <t>Sewaan Bot</t>
  </si>
  <si>
    <t>Makan malam</t>
  </si>
  <si>
    <t>destinasi tarikan pelancongan baru</t>
  </si>
  <si>
    <t>pada 18 Mei 2009 bagi menjadikan satu</t>
  </si>
  <si>
    <t>ke Sungai Kerian untuk melihat kelip-kelip</t>
  </si>
  <si>
    <t>Pegawai-pegawai Kanan Kerajaan Negeri</t>
  </si>
  <si>
    <t>Lawatan YB Exco Pelancongan dan</t>
  </si>
  <si>
    <t xml:space="preserve">      14200 Sungai Jawi, Pulau Pinang</t>
  </si>
  <si>
    <t xml:space="preserve">  :    822763</t>
  </si>
  <si>
    <t xml:space="preserve">      D/A Pejabat Daerah dan Tanah, SPS</t>
  </si>
  <si>
    <t xml:space="preserve">      Perai Selatan</t>
  </si>
  <si>
    <t xml:space="preserve">  :   17 August 2009</t>
  </si>
  <si>
    <t xml:space="preserve">      J/K Penyelaras JKKK Daerah Seberang</t>
  </si>
  <si>
    <t xml:space="preserve">  :   V113/2009</t>
  </si>
  <si>
    <t xml:space="preserve">      10050 Penang</t>
  </si>
  <si>
    <t xml:space="preserve">      Jalan Sultan Ahmad Shah</t>
  </si>
  <si>
    <t xml:space="preserve">  :   14 June 2010</t>
  </si>
  <si>
    <t>TOTAL:  RINGGIT Sixteen Thousand only.</t>
  </si>
  <si>
    <t>Printing of brochures 20,000 pcs x RM0.80</t>
  </si>
  <si>
    <t>Calendar of Events 2010 (English version)</t>
  </si>
  <si>
    <t xml:space="preserve"> 17.02.2010             4430</t>
  </si>
  <si>
    <t xml:space="preserve">  :    915175</t>
  </si>
  <si>
    <t xml:space="preserve">      10250 Penang</t>
  </si>
  <si>
    <t xml:space="preserve">      No. 75-D, Gurney Drive</t>
  </si>
  <si>
    <t xml:space="preserve">      Broncos Worldwide Sdn Bhd</t>
  </si>
  <si>
    <t xml:space="preserve">  :   V131/2010</t>
  </si>
  <si>
    <t>TOTAL:  RINGGIT Eight Thousand and Six Hundred only.</t>
  </si>
  <si>
    <t>Backdrop - Malam Kebudayaan</t>
  </si>
  <si>
    <t>Permit Sticker fee by MPPP</t>
  </si>
  <si>
    <t>Streamer - 200 units</t>
  </si>
  <si>
    <t>Billboard - 1 unit</t>
  </si>
  <si>
    <t>Billboard - Design &amp; Artwork</t>
  </si>
  <si>
    <t xml:space="preserve"> 23.09.2009                  4395</t>
  </si>
  <si>
    <t xml:space="preserve"> - 3 October 2009</t>
  </si>
  <si>
    <t>at Esplanade</t>
  </si>
  <si>
    <t>Lantern Festival</t>
  </si>
  <si>
    <t xml:space="preserve">  :    867496</t>
  </si>
  <si>
    <t>TOTAL:  RINGGIT One Thousand Nine Hundred and Twenty only.</t>
  </si>
  <si>
    <t>A2  size (40 x RM48)</t>
  </si>
  <si>
    <t>Photos &amp; Laminate &amp; Foam Cone</t>
  </si>
  <si>
    <t xml:space="preserve"> 17.03.2010              20374</t>
  </si>
  <si>
    <t>"Photo of Penang Postcard"</t>
  </si>
  <si>
    <t xml:space="preserve">  :    954651</t>
  </si>
  <si>
    <t xml:space="preserve">      10400 Penang</t>
  </si>
  <si>
    <t xml:space="preserve">      No. 44 Kinta Lane</t>
  </si>
  <si>
    <t xml:space="preserve">  :   26 May 2010</t>
  </si>
  <si>
    <t xml:space="preserve">      Jeffs Art Deco</t>
  </si>
  <si>
    <t xml:space="preserve">  :   V304/2010</t>
  </si>
  <si>
    <t>TOTAL:  RINGGIT One Thousand Seven Hundred Thirty-Two and Sen Fifty Only.</t>
  </si>
  <si>
    <t>on 1 June till 31 July 2010</t>
  </si>
  <si>
    <t>Pesta " Durian and Food "</t>
  </si>
  <si>
    <t xml:space="preserve">  07.07.2010           000206</t>
  </si>
  <si>
    <t>ADVERTISEMENT ON MAJALAH FOODSION</t>
  </si>
  <si>
    <t xml:space="preserve">  :    011963</t>
  </si>
  <si>
    <t xml:space="preserve">      Tel : 604-2635133</t>
  </si>
  <si>
    <t xml:space="preserve">      10300 Penang</t>
  </si>
  <si>
    <t xml:space="preserve">      Unit No 3A -7-3, Pengkalan Weld</t>
  </si>
  <si>
    <t xml:space="preserve">  :   V468/2010</t>
  </si>
  <si>
    <t xml:space="preserve">      Kerson Media Global Sdn Bhd</t>
  </si>
  <si>
    <t>TOTAL:  RINGGIT One Hundred  and Fifty Three only.</t>
  </si>
  <si>
    <t xml:space="preserve"> Folding chairs</t>
  </si>
  <si>
    <t xml:space="preserve"> Round table</t>
  </si>
  <si>
    <t xml:space="preserve"> Reception table</t>
  </si>
  <si>
    <t>Rental of :</t>
  </si>
  <si>
    <t xml:space="preserve"> 02.07.2009               MF 09/02</t>
  </si>
  <si>
    <t>Matta Fair, Johor July 17 - 19, 2009</t>
  </si>
  <si>
    <t xml:space="preserve">  :    822719</t>
  </si>
  <si>
    <t xml:space="preserve">      56000 Kuala Lumpur</t>
  </si>
  <si>
    <t xml:space="preserve">      No. 7 Jalan 1/118C, Desa Tun Razak</t>
  </si>
  <si>
    <t xml:space="preserve">  :   10 July 2009</t>
  </si>
  <si>
    <t xml:space="preserve">      ES Exhibition Services Sdn Bhd</t>
  </si>
  <si>
    <t xml:space="preserve">  :   V069/2009</t>
  </si>
  <si>
    <t xml:space="preserve">TOTAL:  RINGGIT </t>
  </si>
  <si>
    <t>Penang Heritage Walk " Discover Balik Pulau"</t>
  </si>
  <si>
    <t>Tel &amp;  : 04-263 3471</t>
  </si>
  <si>
    <t xml:space="preserve">10200 Georgetown </t>
  </si>
  <si>
    <t>19, Cannon Street</t>
  </si>
  <si>
    <t>Persatuan Pendidikan Seni Pulau Pinang (ARTS-ED)</t>
  </si>
  <si>
    <t xml:space="preserve">      11900 Penang</t>
  </si>
  <si>
    <t xml:space="preserve">      11200 Penang</t>
  </si>
  <si>
    <t xml:space="preserve">  :   2 June 2010</t>
  </si>
  <si>
    <t>TOTAL:  RINGGIT Two Hundred and Ten only.</t>
  </si>
  <si>
    <t>July 1 - 4, 2009</t>
  </si>
  <si>
    <t>in conjunction with Jetstar inaugural flight from S'pore</t>
  </si>
  <si>
    <t>for media familiarisation trip</t>
  </si>
  <si>
    <t>Hotel Accommodation for 3 rooms (RM70 x 3)</t>
  </si>
  <si>
    <t xml:space="preserve"> 1.7.09          H1926/227/0701/09</t>
  </si>
  <si>
    <t xml:space="preserve">  :    822725</t>
  </si>
  <si>
    <t xml:space="preserve">      227 Jalan Burma</t>
  </si>
  <si>
    <t xml:space="preserve">      (1926 Heritage Hotel)</t>
  </si>
  <si>
    <t xml:space="preserve">  :   13 July 2009</t>
  </si>
  <si>
    <t xml:space="preserve">      Fajar Seloka Sdn Bhd</t>
  </si>
  <si>
    <t xml:space="preserve">  :   V075/2009</t>
  </si>
  <si>
    <t>Penajaan untuk Penganjuran Kejohanan Catur</t>
  </si>
  <si>
    <t xml:space="preserve">Chess Open" </t>
  </si>
  <si>
    <t xml:space="preserve">"Penang Heritage City  International </t>
  </si>
  <si>
    <t xml:space="preserve">      11950 Pulau Pinang</t>
  </si>
  <si>
    <t xml:space="preserve">  :    822761</t>
  </si>
  <si>
    <t xml:space="preserve">      Bandar Bayan Baru</t>
  </si>
  <si>
    <t xml:space="preserve">      1-J, Jalan Nibong</t>
  </si>
  <si>
    <t xml:space="preserve">      Persatuan Catur Pulau Pinang</t>
  </si>
  <si>
    <t xml:space="preserve">  :   V111/2009</t>
  </si>
  <si>
    <t xml:space="preserve">     10200 Penang</t>
  </si>
  <si>
    <t>TOTAL:  RINGGIT Sixty only.</t>
  </si>
  <si>
    <t>Bedak Sejuk</t>
  </si>
  <si>
    <t xml:space="preserve"> 22.03.2010                2136</t>
  </si>
  <si>
    <t xml:space="preserve">      Balik Pulau</t>
  </si>
  <si>
    <t xml:space="preserve">  :    954670</t>
  </si>
  <si>
    <t xml:space="preserve">      160 MK D Kuala Jalan Bahru</t>
  </si>
  <si>
    <t xml:space="preserve">      (Lean Seng Company)</t>
  </si>
  <si>
    <t xml:space="preserve">      Yeoh Keng Beng</t>
  </si>
  <si>
    <t xml:space="preserve">  :   V325/2010</t>
  </si>
  <si>
    <t>TOTAL:  RINGGIT Three Hundred and Seventy Six only.</t>
  </si>
  <si>
    <t>Backdrop - poster size 3 meter x 2.5 meter</t>
  </si>
  <si>
    <t xml:space="preserve"> 02.07.2010             0253/10</t>
  </si>
  <si>
    <t>Matta Fair Penang 2010</t>
  </si>
  <si>
    <t xml:space="preserve">  :    011919</t>
  </si>
  <si>
    <t xml:space="preserve">      12200 Butterworth, Penang</t>
  </si>
  <si>
    <t xml:space="preserve">      2602 Lorong Kubur, Jalan Telaga Air</t>
  </si>
  <si>
    <t xml:space="preserve">      DC Press Enterprise</t>
  </si>
  <si>
    <t xml:space="preserve">  :   V424/2010</t>
  </si>
  <si>
    <t>TOTAL:  RINGGIT Seven Hundred and Sixty only.</t>
  </si>
  <si>
    <t>for Tan Kuan Heng &amp; Mohd Rizal Mohd Rodzi</t>
  </si>
  <si>
    <t>(RM190 x 4 nights)</t>
  </si>
  <si>
    <t>Hotel Accommodation from 16 - 20 July 2009</t>
  </si>
  <si>
    <t>from 17 - 19, July 2009</t>
  </si>
  <si>
    <t>MATTA Fair Johor</t>
  </si>
  <si>
    <t xml:space="preserve">  :    822734</t>
  </si>
  <si>
    <t xml:space="preserve">      Johor Bahru</t>
  </si>
  <si>
    <t xml:space="preserve">      (Zon Regency Hotel)</t>
  </si>
  <si>
    <t xml:space="preserve">  :   14 July 2009</t>
  </si>
  <si>
    <t xml:space="preserve">      Kelana Megah Sdn Bhd</t>
  </si>
  <si>
    <t xml:space="preserve">  :   V084/2009</t>
  </si>
  <si>
    <t>TOTAL:  RINGGIT Four Hundred and Ninety Six only.</t>
  </si>
  <si>
    <t>2. Ms Ng Paik Kheng</t>
  </si>
  <si>
    <t xml:space="preserve">1. Mr Ong Thiam Hiong/Mr Tan Kuan Heng  </t>
  </si>
  <si>
    <t>Room Accommodation for :</t>
  </si>
  <si>
    <t xml:space="preserve"> 19.05.2009             106851</t>
  </si>
  <si>
    <t>in Pulau Langkawi on 18 May 2009</t>
  </si>
  <si>
    <t>Participation in 'Travel Mart for China Agents 2009'</t>
  </si>
  <si>
    <t xml:space="preserve">      07000 Langkawi, Kedah</t>
  </si>
  <si>
    <t xml:space="preserve">  :    776678</t>
  </si>
  <si>
    <t xml:space="preserve">      Karong Berkunci 200, Burau Bay</t>
  </si>
  <si>
    <t xml:space="preserve">      c/o Berjaya Langkawi Beach &amp; Spa Resort</t>
  </si>
  <si>
    <t xml:space="preserve">  :   8 June 2009</t>
  </si>
  <si>
    <t xml:space="preserve">      Berjaya Langkawi Beach Resort Sdn Bhd</t>
  </si>
  <si>
    <t xml:space="preserve">  :   V028/2009</t>
  </si>
  <si>
    <t>TOTAL:  RINGGIT Three Thousand Three Hundred and Fifty only.</t>
  </si>
  <si>
    <t>Sewaan Gong</t>
  </si>
  <si>
    <t xml:space="preserve">  14.9.2009    PSUKPP/09/0911/1</t>
  </si>
  <si>
    <t xml:space="preserve">Bayaran baki 50% </t>
  </si>
  <si>
    <t>Persembahan Kumpulan Seni Mutiara</t>
  </si>
  <si>
    <t>from Sept 9 - 11, 2009</t>
  </si>
  <si>
    <t>Penang Showcase in Singapore</t>
  </si>
  <si>
    <t xml:space="preserve">  :    845834</t>
  </si>
  <si>
    <t xml:space="preserve">  :   7 October 2009</t>
  </si>
  <si>
    <t xml:space="preserve">        Helmi bin Su'ut</t>
  </si>
  <si>
    <t xml:space="preserve">  :   V192/2009</t>
  </si>
  <si>
    <t>TOTAL:  RINGGIT Eight Hundred only.</t>
  </si>
  <si>
    <t xml:space="preserve"> - Baltic FAM Trip (8.9.09)</t>
  </si>
  <si>
    <t>Penang Homestay Day Trip Program</t>
  </si>
  <si>
    <t>09.09.2009            KTT/0015/09</t>
  </si>
  <si>
    <t xml:space="preserve">  :    845835</t>
  </si>
  <si>
    <t xml:space="preserve">       10200 Georgetown, Penang</t>
  </si>
  <si>
    <t xml:space="preserve">        No. 6 Jalan Kampung Kaka</t>
  </si>
  <si>
    <t xml:space="preserve">        Kopel Travel &amp; Tours Sdn Bhd</t>
  </si>
  <si>
    <t xml:space="preserve">  :   V193/2009</t>
  </si>
  <si>
    <t>TT charges</t>
  </si>
  <si>
    <t>(50 boxes x RM1.20)</t>
  </si>
  <si>
    <t>Purchase of Nutmeg</t>
  </si>
  <si>
    <t>23.02.2010               00035402</t>
  </si>
  <si>
    <t xml:space="preserve">        11900 Bayan Lepas, Penang</t>
  </si>
  <si>
    <t xml:space="preserve">  :    011925</t>
  </si>
  <si>
    <t xml:space="preserve">        Bayan Lepas Industrial Park IV</t>
  </si>
  <si>
    <t xml:space="preserve">        Plot 63, Lintang Bayan Lepas I</t>
  </si>
  <si>
    <t xml:space="preserve">        C.K.C Food Industries Sdn Bhd</t>
  </si>
  <si>
    <t xml:space="preserve">  :   V430/2010</t>
  </si>
  <si>
    <t>TOTAL:  RINGGIT One Hundred and Forty only.</t>
  </si>
  <si>
    <t>(200 boxes x RM0.70)</t>
  </si>
  <si>
    <t>Purchase of giftbox Tau Sa Pneah</t>
  </si>
  <si>
    <t>06.07.2010                   3057</t>
  </si>
  <si>
    <t xml:space="preserve">  :    011926</t>
  </si>
  <si>
    <t xml:space="preserve">        10350 Penang</t>
  </si>
  <si>
    <t xml:space="preserve">        3-A, Jalan Gottlieb</t>
  </si>
  <si>
    <t xml:space="preserve">        Lim Wah Thai Local Food Marketing Sdn Bhd</t>
  </si>
  <si>
    <t xml:space="preserve">  :   V431/2010</t>
  </si>
  <si>
    <t>TOTAL:  RINGGIT Two Thousand Four Hundred and Eighty Four only.</t>
  </si>
  <si>
    <t>10% Service charge</t>
  </si>
  <si>
    <t>5% govt  tax</t>
  </si>
  <si>
    <t>20% surcharge</t>
  </si>
  <si>
    <t>Rental of DVD player</t>
  </si>
  <si>
    <t>Rental of Plasma 42" TV</t>
  </si>
  <si>
    <t>08.10.2009               116399</t>
  </si>
  <si>
    <t>from Oct 17 - 18, 2009</t>
  </si>
  <si>
    <t>The Expat Eco Expo 2009</t>
  </si>
  <si>
    <t xml:space="preserve">        50088 Kuala Lumpur</t>
  </si>
  <si>
    <t xml:space="preserve">  :    845837</t>
  </si>
  <si>
    <t xml:space="preserve">        Kuala Lumpur City Centre, </t>
  </si>
  <si>
    <t xml:space="preserve">        Kuala Lumpur Convention Centre, </t>
  </si>
  <si>
    <t xml:space="preserve">  :   12 October 2009</t>
  </si>
  <si>
    <t xml:space="preserve">        Convex Malaysia Sdn Bhd</t>
  </si>
  <si>
    <t xml:space="preserve">  :   V195/2009</t>
  </si>
  <si>
    <t>Contribution</t>
  </si>
  <si>
    <t>Printing of ATAP Brochures/Flyers</t>
  </si>
  <si>
    <t xml:space="preserve">  :    996992</t>
  </si>
  <si>
    <t xml:space="preserve">      99-B, Lorong Selamat</t>
  </si>
  <si>
    <t xml:space="preserve">      Association of Tourism Attractions Penang</t>
  </si>
  <si>
    <t xml:space="preserve">  :   V396/2010</t>
  </si>
  <si>
    <t>TOTAL:  RINGGIT Three Hundred only.</t>
  </si>
  <si>
    <t>Emcee service</t>
  </si>
  <si>
    <t xml:space="preserve"> 9.06.10  100609/0156EXCO0001</t>
  </si>
  <si>
    <t>on 4 June 2010 at E &amp; O Hotel, Penang</t>
  </si>
  <si>
    <t xml:space="preserve">Jewel of Muscat Gala dinner </t>
  </si>
  <si>
    <t xml:space="preserve">  :    996994</t>
  </si>
  <si>
    <t xml:space="preserve">      16 Medan Fettes</t>
  </si>
  <si>
    <t xml:space="preserve">      Dreamz Productions</t>
  </si>
  <si>
    <t xml:space="preserve">  :   V398/2010</t>
  </si>
  <si>
    <t>TOTAL:  RINGGIT Six Thousand and Thirty only.</t>
  </si>
  <si>
    <t>Sponsorship  for 1,000 copies</t>
  </si>
  <si>
    <t xml:space="preserve"> 22.01.2010                  10/15133</t>
  </si>
  <si>
    <t>Book - A Guide to the Penang Botanic Gardens</t>
  </si>
  <si>
    <t xml:space="preserve">  :    954610</t>
  </si>
  <si>
    <t xml:space="preserve">       11600 Penang</t>
  </si>
  <si>
    <t xml:space="preserve">       2 Solok Sungai Pinang 3</t>
  </si>
  <si>
    <t xml:space="preserve">  :   30 April 2010</t>
  </si>
  <si>
    <t xml:space="preserve">      Jutaprint</t>
  </si>
  <si>
    <t xml:space="preserve">  :   V262/2010</t>
  </si>
  <si>
    <t>TOTAL:  RINGGIT Five Thousand Eight Hundred and Sixty Five only.</t>
  </si>
  <si>
    <t>for crew members</t>
  </si>
  <si>
    <t>Accommodation - 30 rooms on 29.05.2010</t>
  </si>
  <si>
    <t xml:space="preserve"> 21.06.2010    Acct No. PE0056</t>
  </si>
  <si>
    <t xml:space="preserve">Jewel of Muscat </t>
  </si>
  <si>
    <t xml:space="preserve">  :    011918</t>
  </si>
  <si>
    <t xml:space="preserve">     25-A Farquhar Street</t>
  </si>
  <si>
    <t xml:space="preserve">     Bayview Hotel Georgetown Penang</t>
  </si>
  <si>
    <t xml:space="preserve">  :   V423/2010</t>
  </si>
  <si>
    <t>TOTAL:  RINGGIT One Thousand and One Hundred only.</t>
  </si>
  <si>
    <t>(1,000 pieces x RM1.10)</t>
  </si>
  <si>
    <t>di Dubai from 5 - 8, May,2009</t>
  </si>
  <si>
    <t>Non-woven recycle bags for Arab Travel Mart</t>
  </si>
  <si>
    <t xml:space="preserve"> 20.05.2009          DN2009-05-001</t>
  </si>
  <si>
    <t xml:space="preserve">     11100 Pulau Pinang</t>
  </si>
  <si>
    <t xml:space="preserve">  :    776695</t>
  </si>
  <si>
    <t xml:space="preserve">      Batu Feringghi</t>
  </si>
  <si>
    <t xml:space="preserve">      Hard Rock Hotel Penang</t>
  </si>
  <si>
    <t xml:space="preserve">  :   26 June 2009</t>
  </si>
  <si>
    <t xml:space="preserve">      Palmco Hotels Sdn Bhd</t>
  </si>
  <si>
    <t xml:space="preserve">  :   V045/2009</t>
  </si>
  <si>
    <t xml:space="preserve">  :   4 August 2009</t>
  </si>
  <si>
    <t>1st month allowance</t>
  </si>
  <si>
    <t>for period from 10 May 2010 - 30 July 2010</t>
  </si>
  <si>
    <t xml:space="preserve">  :    954676</t>
  </si>
  <si>
    <t xml:space="preserve">      Gooi Zi Sen</t>
  </si>
  <si>
    <t xml:space="preserve">  :   V331/2010</t>
  </si>
  <si>
    <t>TOTAL:  RINGGIT One Hundred and Fifty Two only.</t>
  </si>
  <si>
    <t>Rubber stamps</t>
  </si>
  <si>
    <t xml:space="preserve">   17.8.2009                  013025</t>
  </si>
  <si>
    <t>Purchase of Stationery</t>
  </si>
  <si>
    <t xml:space="preserve">   11.8.2009                  01302 </t>
  </si>
  <si>
    <t xml:space="preserve">  :    822784</t>
  </si>
  <si>
    <t xml:space="preserve">      10200 Penang</t>
  </si>
  <si>
    <t xml:space="preserve">      46, Lebuh Ah Quee</t>
  </si>
  <si>
    <t xml:space="preserve">  :   26 August 2009</t>
  </si>
  <si>
    <t xml:space="preserve">      Syarikat Jasmin</t>
  </si>
  <si>
    <t xml:space="preserve">  :   V135/2009</t>
  </si>
  <si>
    <t>Selection Group Exhibition".</t>
  </si>
  <si>
    <t>"Malaysia &amp; Singapore Contemporary Artists</t>
  </si>
  <si>
    <t xml:space="preserve">book - Stretch your Imagination - </t>
  </si>
  <si>
    <t xml:space="preserve">Sponsorship for programme and publishing of </t>
  </si>
  <si>
    <t xml:space="preserve">   2.6.2009                  80000</t>
  </si>
  <si>
    <t xml:space="preserve">     14000 Bukit Mertajam, Penang</t>
  </si>
  <si>
    <t xml:space="preserve">  :    822756</t>
  </si>
  <si>
    <t xml:space="preserve">      Pusat Perniagaan Alma</t>
  </si>
  <si>
    <t xml:space="preserve">      94, 1st Floor, Jalan Perniagaan</t>
  </si>
  <si>
    <t xml:space="preserve">      Impression Arts Center</t>
  </si>
  <si>
    <t xml:space="preserve">  :   V106/2009</t>
  </si>
  <si>
    <t>TOTAL:  RINGGIT One Hundred Thirteen and Sen Twenty Eight only.</t>
  </si>
  <si>
    <t>Courier service - MDTF KL 2010</t>
  </si>
  <si>
    <t xml:space="preserve"> 31.05.10        CTIPEN000148026</t>
  </si>
  <si>
    <t>Account No. 00108397</t>
  </si>
  <si>
    <t xml:space="preserve">  :    011917</t>
  </si>
  <si>
    <t xml:space="preserve">      No. 401 Jalan Perak</t>
  </si>
  <si>
    <t xml:space="preserve">      City-Link Express (M) Sdn Bhd</t>
  </si>
  <si>
    <t xml:space="preserve">  :   V422/2010</t>
  </si>
  <si>
    <t xml:space="preserve">      10000 Penang</t>
  </si>
  <si>
    <t>TOTAL:  RINGGIT Four Thousand Two Hundred Fifty Two and Sen Fifty only.</t>
  </si>
  <si>
    <t>5% govt tax</t>
  </si>
  <si>
    <t>for the July 2010 publication</t>
  </si>
  <si>
    <t>Advertisement in "The Expat" magazine</t>
  </si>
  <si>
    <t xml:space="preserve"> 10.06.2010                13499</t>
  </si>
  <si>
    <t xml:space="preserve">      59100 Kuala Lumpur</t>
  </si>
  <si>
    <t xml:space="preserve">      Jalan Kapas, Bangsar</t>
  </si>
  <si>
    <t xml:space="preserve">  :    996951</t>
  </si>
  <si>
    <t xml:space="preserve">      Syed Kechik Foundation Building</t>
  </si>
  <si>
    <t xml:space="preserve">      7th Floor, Tower Block</t>
  </si>
  <si>
    <t xml:space="preserve">  :   18 June 2010</t>
  </si>
  <si>
    <t xml:space="preserve">      Borneo Vision Sdn Bhd</t>
  </si>
  <si>
    <t xml:space="preserve">  :   V356/2010</t>
  </si>
  <si>
    <t>Out-of-pocket expenses</t>
  </si>
  <si>
    <t xml:space="preserve">      Ernst &amp; Young Tax Consultants Sdn Bhd</t>
  </si>
  <si>
    <t>TOTAL:  RINGGIT Six Hundred and Forty only.</t>
  </si>
  <si>
    <t>Ladies - (RM100 x 4 person)</t>
  </si>
  <si>
    <t>Men - (RM80 x 3 person)</t>
  </si>
  <si>
    <t>Staff Uniform</t>
  </si>
  <si>
    <t xml:space="preserve">  :    822783</t>
  </si>
  <si>
    <t xml:space="preserve">      CII3-23 Komtar </t>
  </si>
  <si>
    <t xml:space="preserve">      Chales Jordan Fashion Design</t>
  </si>
  <si>
    <t xml:space="preserve">  :   V134/2009</t>
  </si>
  <si>
    <t>TOTAL:  RINGGIT Sixteen Thousand Five Hundred Eighty-Five and Sen Twenty-Nine only.</t>
  </si>
  <si>
    <t>USD5,381.34 x 3.0820</t>
  </si>
  <si>
    <t>Tambang Penerbangan Media dari China</t>
  </si>
  <si>
    <t>China Travel Agent Awards and Media</t>
  </si>
  <si>
    <t xml:space="preserve">  :    by TT</t>
  </si>
  <si>
    <t xml:space="preserve">  :   23 Feb 2011</t>
  </si>
  <si>
    <t xml:space="preserve">      Guangzhou Meiying Commerce &amp; Travel Service Co., Ltd</t>
  </si>
  <si>
    <t xml:space="preserve">  :   V2011/115</t>
  </si>
  <si>
    <t>TOTAL:  RINGGIT Eight Thousand Five Hundred Sixteen and Sen Thirty Three only.</t>
  </si>
  <si>
    <t>US$2,452.86 x 3.4720</t>
  </si>
  <si>
    <t xml:space="preserve"> - Malaysian Medical Care special advertising section</t>
  </si>
  <si>
    <t>(Bahasa Indonesia, Indonesia edition)</t>
  </si>
  <si>
    <t>Advertisement in Reader's Digest Oct 2009</t>
  </si>
  <si>
    <t xml:space="preserve">          A/c No. 004-041-262106-838)</t>
  </si>
  <si>
    <t xml:space="preserve">  :    Telegraphic Transfer</t>
  </si>
  <si>
    <t xml:space="preserve">      (Payable to HSBC, Hong Kong</t>
  </si>
  <si>
    <t xml:space="preserve">      Level 30, Bank of China Tower, Hong Kong</t>
  </si>
  <si>
    <t xml:space="preserve">  :   30 December 2009</t>
  </si>
  <si>
    <t xml:space="preserve">      2020 Media Limited</t>
  </si>
  <si>
    <t xml:space="preserve">  :   V336/2009</t>
  </si>
  <si>
    <t>TOTAL:  RINGGIT Nine Hundred Thirty and Sen Thirty Nine only.</t>
  </si>
  <si>
    <t>SGD374.50  x 2.4710</t>
  </si>
  <si>
    <t xml:space="preserve"> - Transmission cost</t>
  </si>
  <si>
    <t>Advertisement in S'pore newspapers</t>
  </si>
  <si>
    <t xml:space="preserve"> 29.09.2009            09090112M</t>
  </si>
  <si>
    <t>from 9 - 11 September 2009</t>
  </si>
  <si>
    <t>"Penang Showcase" in Singapore</t>
  </si>
  <si>
    <t xml:space="preserve">  :    Bank Draft No 579394</t>
  </si>
  <si>
    <t xml:space="preserve">       152 Beach Road #36-05 Gateway East</t>
  </si>
  <si>
    <t xml:space="preserve">  :   20 November 2009</t>
  </si>
  <si>
    <t xml:space="preserve">       Carat Media Services Singapore Pte Ltd</t>
  </si>
  <si>
    <t xml:space="preserve">  :   V259/2009</t>
  </si>
  <si>
    <t>TOTAL:  RINGGIT One Thousand Seven Hundred and Eighty Five only.</t>
  </si>
  <si>
    <t>Meal Allowance (Per diem) - RM255 x 7 days</t>
  </si>
  <si>
    <t>Dubai from May 4 - 7, 2010</t>
  </si>
  <si>
    <t>Arabian Travel Market (ATM)</t>
  </si>
  <si>
    <t xml:space="preserve">  :    954606</t>
  </si>
  <si>
    <t xml:space="preserve">  :   29 April 2010</t>
  </si>
  <si>
    <t xml:space="preserve">      Lydiawati Oon bt Khairil H.E. Oon</t>
  </si>
  <si>
    <t xml:space="preserve">  :   V258/2010</t>
  </si>
  <si>
    <t>TOTAL:  RINGGIT Five Hundred Seventeen and Sen Forty only.</t>
  </si>
  <si>
    <t>(Seminar on Arab tourist)</t>
  </si>
  <si>
    <t xml:space="preserve">Travel claims to KL on 29.6.10 </t>
  </si>
  <si>
    <t xml:space="preserve">  :    011936</t>
  </si>
  <si>
    <t xml:space="preserve">  :   V442/2010</t>
  </si>
  <si>
    <t>TOTAL:  RINGGIT Nine Thousand and One Hundred only.</t>
  </si>
  <si>
    <t>Registration Fee</t>
  </si>
  <si>
    <t>Cost of Booth - 2 units</t>
  </si>
  <si>
    <t xml:space="preserve"> 18.02.2010        MITF/IN004143</t>
  </si>
  <si>
    <t>MATTA Fair KL from March 12 - 14,  2010</t>
  </si>
  <si>
    <t xml:space="preserve">      55100 Kuala Lumpur</t>
  </si>
  <si>
    <t xml:space="preserve">  :    915188</t>
  </si>
  <si>
    <t xml:space="preserve">      Desa Pandan</t>
  </si>
  <si>
    <t xml:space="preserve">      Wisma MATTA, No. 11 Jalan 1/76</t>
  </si>
  <si>
    <t xml:space="preserve">      Micem Sdn Bhd</t>
  </si>
  <si>
    <t xml:space="preserve">  :   V143/2010</t>
  </si>
  <si>
    <t>10503 Pulau Pinang</t>
  </si>
  <si>
    <t>Paras 49, Kompleks Tun Abdul Razak</t>
  </si>
  <si>
    <t>Majlis Kebudayaan Negeri Pulau Pinang</t>
  </si>
  <si>
    <t xml:space="preserve">      10470 Penang</t>
  </si>
  <si>
    <t>TOTAL:  RINGGIT Three Thousand Four Hundred and Eighty only.</t>
  </si>
  <si>
    <t xml:space="preserve">   sony li-ion battery and Tripod</t>
  </si>
  <si>
    <t xml:space="preserve"> - Sony HDR-XR100E with camera bag,</t>
  </si>
  <si>
    <t xml:space="preserve">  dated 30 June 2009</t>
  </si>
  <si>
    <t xml:space="preserve">Purchase of Video Camera </t>
  </si>
  <si>
    <t xml:space="preserve">  Quotation No. PGT0001 </t>
  </si>
  <si>
    <t xml:space="preserve">  :    822707</t>
  </si>
  <si>
    <t xml:space="preserve">      396 Penang Road</t>
  </si>
  <si>
    <t xml:space="preserve">  :   08 July 2009</t>
  </si>
  <si>
    <t xml:space="preserve">      Mega Star Photo</t>
  </si>
  <si>
    <t xml:space="preserve">  :   V057/2009</t>
  </si>
  <si>
    <t>TOTAL:  RINGGIT Two Thousand and Seven Hundred only.</t>
  </si>
  <si>
    <t>Registration fee</t>
  </si>
  <si>
    <t>on 17 - 19 July, 2009</t>
  </si>
  <si>
    <t>Cost of Booth for MATTA Fair Johor</t>
  </si>
  <si>
    <t xml:space="preserve"> 14.05.2009                 0296</t>
  </si>
  <si>
    <t xml:space="preserve">      80300 Johor Bahru</t>
  </si>
  <si>
    <t xml:space="preserve">  :    776698</t>
  </si>
  <si>
    <t xml:space="preserve">      No 15 Jalan Dato' Abdullah Tahir</t>
  </si>
  <si>
    <t xml:space="preserve">      17-3D &amp; 17-3E, 17th Floor, Manara MAA Johor Bahru</t>
  </si>
  <si>
    <t xml:space="preserve">  :   01 July 2009</t>
  </si>
  <si>
    <t xml:space="preserve">      MATTA Johor Chapter</t>
  </si>
  <si>
    <t xml:space="preserve">  :   V048/2009</t>
  </si>
  <si>
    <t>TOTAL:  RINGGIT Six Thousand Four Hundred and Fifty only.</t>
  </si>
  <si>
    <t>Standard Booth - 2 units x RM3,000</t>
  </si>
  <si>
    <t xml:space="preserve"> 22.04.2010    MDTF/10/022</t>
  </si>
  <si>
    <t xml:space="preserve"> </t>
  </si>
  <si>
    <t>at PWTC, KL from May 14 - 16, 2010</t>
  </si>
  <si>
    <t>Malaysian Domestic Tourism Fair 2010</t>
  </si>
  <si>
    <t xml:space="preserve">      50764 Kuala Lumpur</t>
  </si>
  <si>
    <t xml:space="preserve">  :    954626</t>
  </si>
  <si>
    <t xml:space="preserve">      GPO Box 12012</t>
  </si>
  <si>
    <t xml:space="preserve">      c/o KL Tourism Association</t>
  </si>
  <si>
    <t xml:space="preserve">  :   10 May 2010</t>
  </si>
  <si>
    <t xml:space="preserve">      Malaysian Domestic Tourism Fair 2010</t>
  </si>
  <si>
    <t xml:space="preserve">  :   V278/2010</t>
  </si>
  <si>
    <t>TOTAL:  RINGGIT Five Hundred and Forty only.</t>
  </si>
  <si>
    <t>Hotel Accommodation (3 nights)</t>
  </si>
  <si>
    <t xml:space="preserve">  :    954636</t>
  </si>
  <si>
    <t xml:space="preserve">      Kuala Lumpur</t>
  </si>
  <si>
    <t xml:space="preserve">      (The Legend Hotel)</t>
  </si>
  <si>
    <t xml:space="preserve">      Metroplex Holdings Sdn Bhd</t>
  </si>
  <si>
    <t xml:space="preserve">  :   V288/2010</t>
  </si>
  <si>
    <t>TOTAL:  RINGGIT Six Thousand One Hundred and Eighty Five only.</t>
  </si>
  <si>
    <t xml:space="preserve">  :    954607</t>
  </si>
  <si>
    <t xml:space="preserve">      Tourist Affairs Officer</t>
  </si>
  <si>
    <t xml:space="preserve">      See Kok Wen, Marco</t>
  </si>
  <si>
    <t xml:space="preserve">  :   V259/2010</t>
  </si>
  <si>
    <t>TOTAL:  RINGGIT One Thousand One Hundred Fifty and Sen Eighty One only.</t>
  </si>
  <si>
    <t xml:space="preserve">  :    954567</t>
  </si>
  <si>
    <t xml:space="preserve">  :   V217/2010</t>
  </si>
  <si>
    <t>TOTAL:  RINGGIT One Thousand One Hundred and Seventy Five only.</t>
  </si>
  <si>
    <t>Per diem for food allowance (RM235 x 5 days)</t>
  </si>
  <si>
    <t>Advance taken for:-</t>
  </si>
  <si>
    <t>from 9 - 11, September 2009</t>
  </si>
  <si>
    <t>"Penang showcase" in Singapore</t>
  </si>
  <si>
    <t xml:space="preserve">  :    845802</t>
  </si>
  <si>
    <t xml:space="preserve">  :   2 September 2009</t>
  </si>
  <si>
    <t xml:space="preserve">      Moganeswary a/p K. Thangaveloo</t>
  </si>
  <si>
    <t xml:space="preserve">  :   V154/2009</t>
  </si>
  <si>
    <t>TOTAL:  RINGGIT Two Hundred and Eighty Four only.</t>
  </si>
  <si>
    <t xml:space="preserve">Mileage claims &amp; parking fee for October 2009 </t>
  </si>
  <si>
    <t>Reimbursement for claims:</t>
  </si>
  <si>
    <t xml:space="preserve">  :    845893</t>
  </si>
  <si>
    <t xml:space="preserve">  :   19 November 2009</t>
  </si>
  <si>
    <t xml:space="preserve">      Tan Kuan Heng, Michael</t>
  </si>
  <si>
    <t xml:space="preserve">  :   V251/2009</t>
  </si>
  <si>
    <t>TOTAL:  RINGGIT Two Hundred and Fifty Only</t>
  </si>
  <si>
    <t>Tel : 03-2166 6650 (Russell)</t>
  </si>
  <si>
    <t>50450 Kuala Lumpur</t>
  </si>
  <si>
    <t>No.8, Jalan Yap Kwang Seng</t>
  </si>
  <si>
    <t>33.04, Level 33, Menara Ambank</t>
  </si>
  <si>
    <t>Mongoose Publishing Sdn Bhd</t>
  </si>
  <si>
    <t>TOTAL:  RINGGIT Two Hundred and Seventy Five only.</t>
  </si>
  <si>
    <t>Parveena - Matta Fair, KL from Mar 12-14, 2010</t>
  </si>
  <si>
    <t>AirAsia fare - PG/KL/PG on 11.03.10</t>
  </si>
  <si>
    <t xml:space="preserve"> 25.02.2010          ND10/0058</t>
  </si>
  <si>
    <t xml:space="preserve">  :    915216</t>
  </si>
  <si>
    <t xml:space="preserve">     P.O. Box 680</t>
  </si>
  <si>
    <t xml:space="preserve">     No. 1 Lebuh Buckingham</t>
  </si>
  <si>
    <t xml:space="preserve">     MIVS Travel and Aircargo Agencies Sdn Bhd</t>
  </si>
  <si>
    <t xml:space="preserve">  :   V170/2010</t>
  </si>
  <si>
    <t xml:space="preserve">  :   27 October 2009</t>
  </si>
  <si>
    <t>TOTAL:  RINGGIT Six Thousand Three Hundred and Seventy Eight only.</t>
  </si>
  <si>
    <t>Trishaw No 1170</t>
  </si>
  <si>
    <t xml:space="preserve">  28.12.2009                 11800</t>
  </si>
  <si>
    <t>Trishaw No 1931</t>
  </si>
  <si>
    <t xml:space="preserve">  28.12.2009                 11799</t>
  </si>
  <si>
    <t>Trishaw No 912</t>
  </si>
  <si>
    <t xml:space="preserve">  28.12.2009                 11798</t>
  </si>
  <si>
    <t>Trishaw No 2552</t>
  </si>
  <si>
    <t xml:space="preserve">  28.12.2009                 11797</t>
  </si>
  <si>
    <t>Trishaw No 312</t>
  </si>
  <si>
    <t xml:space="preserve">  28.12.2009                 11796</t>
  </si>
  <si>
    <t>Trishaw No 193</t>
  </si>
  <si>
    <t xml:space="preserve">  28.12.2009                 11795</t>
  </si>
  <si>
    <t>Trishaw No 333</t>
  </si>
  <si>
    <t xml:space="preserve">  28.12.2009                 11794</t>
  </si>
  <si>
    <t>Trishaw No 1793</t>
  </si>
  <si>
    <t xml:space="preserve">  28.12.2009                 11793</t>
  </si>
  <si>
    <t>Trishaw No 1426</t>
  </si>
  <si>
    <t xml:space="preserve">  28.12.2009                 11792</t>
  </si>
  <si>
    <t>Trishaw No 1248</t>
  </si>
  <si>
    <t xml:space="preserve">  28.12.2009                 11791</t>
  </si>
  <si>
    <t xml:space="preserve">Repairing Cost for additional 10 Trishaws </t>
  </si>
  <si>
    <t xml:space="preserve">  :    915134</t>
  </si>
  <si>
    <t xml:space="preserve">      Kedai Membaiki Basikal Hup Huat</t>
  </si>
  <si>
    <t xml:space="preserve">      Choo Yew Choon</t>
  </si>
  <si>
    <t xml:space="preserve">  :   V090/2010</t>
  </si>
  <si>
    <t>(821129-07-5141)</t>
  </si>
  <si>
    <t>Leandro Francis Lopez</t>
  </si>
  <si>
    <t>TOTAL:  RINGGIT Two Hundred Forty Eight and Sen Fifty One only.</t>
  </si>
  <si>
    <t>Meals in Singapore</t>
  </si>
  <si>
    <t>Transport charges in Singapore</t>
  </si>
  <si>
    <t xml:space="preserve">Mileage claims in Penang </t>
  </si>
  <si>
    <t xml:space="preserve">  :    845874</t>
  </si>
  <si>
    <t xml:space="preserve">      Speaker</t>
  </si>
  <si>
    <t xml:space="preserve">      Liyana Pillai bt Abdullah</t>
  </si>
  <si>
    <t xml:space="preserve">  :   V232/2009</t>
  </si>
  <si>
    <t>TOTAL:  RINGGIT Thirty Two and Sen Eighteen only.</t>
  </si>
  <si>
    <t xml:space="preserve"> -  SGD11 x 2.4710</t>
  </si>
  <si>
    <t>and Admin fee for Open exit</t>
  </si>
  <si>
    <t>Toll charges in Singapore for Coach No. PCT7777</t>
  </si>
  <si>
    <t xml:space="preserve">  :    Bank Draft No 579395</t>
  </si>
  <si>
    <t xml:space="preserve">      Singapore 575701</t>
  </si>
  <si>
    <t xml:space="preserve">      10 Sin Kung Drive</t>
  </si>
  <si>
    <t xml:space="preserve">       Land Trasport Authority</t>
  </si>
  <si>
    <t xml:space="preserve">  :   V260/2009</t>
  </si>
  <si>
    <t>TOTAL:  RINGGIT Nine and Sen Ninety Four only.</t>
  </si>
  <si>
    <t xml:space="preserve"> - SGD2.00 x 2.4710</t>
  </si>
  <si>
    <t>ERP charges in Singapore for Coach No. PCT7777</t>
  </si>
  <si>
    <t xml:space="preserve">  :    Bank Draft No 579396</t>
  </si>
  <si>
    <t xml:space="preserve">  :   V261/2009</t>
  </si>
  <si>
    <t>954634-636</t>
  </si>
  <si>
    <t>954626-633</t>
  </si>
  <si>
    <t>954614-625</t>
  </si>
  <si>
    <t>954608-613</t>
  </si>
  <si>
    <t>Dr Adv</t>
  </si>
  <si>
    <t>TT</t>
  </si>
  <si>
    <t>Bal</t>
  </si>
  <si>
    <t>TOTAL:  RINGGIT One Thousand and Three Hundred only.</t>
  </si>
  <si>
    <t>Traditional Welcome Troupe</t>
  </si>
  <si>
    <t>at Tanjung City Marina on 28 Nov 2009</t>
  </si>
  <si>
    <t xml:space="preserve">Cruise Ship to Penang </t>
  </si>
  <si>
    <t xml:space="preserve">      10460 Pulau Pinang.</t>
  </si>
  <si>
    <t xml:space="preserve">  :    867540</t>
  </si>
  <si>
    <t xml:space="preserve">     Lot no. 2180, Lintang P. Ramlee</t>
  </si>
  <si>
    <t xml:space="preserve">      d/a Jab Kebudayaan dan Kesenian Negara</t>
  </si>
  <si>
    <t xml:space="preserve">  :   31 December 2009</t>
  </si>
  <si>
    <t xml:space="preserve">      Abd Razak bin Abd Malek</t>
  </si>
  <si>
    <t xml:space="preserve">  :   V345/2009</t>
  </si>
  <si>
    <t>TOTAL:  RINGGIT Thirty Thousand only.</t>
  </si>
  <si>
    <t>Peruntukkan untuk acara di atas</t>
  </si>
  <si>
    <t>Kejohanan Angkat Berat Komanwel 2009</t>
  </si>
  <si>
    <t xml:space="preserve">  :    867586</t>
  </si>
  <si>
    <t xml:space="preserve">  :   18 January 2010</t>
  </si>
  <si>
    <t xml:space="preserve">      Persatuan Angkat Berat Pulau Pinang</t>
  </si>
  <si>
    <t xml:space="preserve">  :   V040/2010</t>
  </si>
  <si>
    <t>TOTAL:  RINGGIT Two Thousand and Five Hundred only.</t>
  </si>
  <si>
    <t>Gamelan performance at Royal Hotel</t>
  </si>
  <si>
    <t xml:space="preserve"> 09.07.2010             SO/0144/2010</t>
  </si>
  <si>
    <t>on 9 July 2010</t>
  </si>
  <si>
    <t>Penang Heritage Buffet Lunch</t>
  </si>
  <si>
    <t>by children under 12.</t>
  </si>
  <si>
    <t>Gamelan performance with traditional dance</t>
  </si>
  <si>
    <t xml:space="preserve"> 05.07.2010             AB/1015/10</t>
  </si>
  <si>
    <t>Esplanade on 3 July 2010</t>
  </si>
  <si>
    <t>Celcom Futsal 2010</t>
  </si>
  <si>
    <t xml:space="preserve">  :    011922</t>
  </si>
  <si>
    <t xml:space="preserve">      34 Lorong Bagan Jermal</t>
  </si>
  <si>
    <t xml:space="preserve">      Anjung Budaya Resources</t>
  </si>
  <si>
    <t xml:space="preserve">  :   V427/2010</t>
  </si>
  <si>
    <t>TOTAL:  RINGGIT Two Thousand Five Hundred and Seventy Five only.</t>
  </si>
  <si>
    <t>Suffolk House &amp; Heritage Houses in Penang</t>
  </si>
  <si>
    <t>The Chinese in Penang, Anna &amp; The King,</t>
  </si>
  <si>
    <t>Penang Trams, Nyonya Flavours,</t>
  </si>
  <si>
    <t>Road to Dawn, More than Merchant,</t>
  </si>
  <si>
    <t>Purchase of various books:</t>
  </si>
  <si>
    <t xml:space="preserve"> 14.04.2010               AB 010/2010</t>
  </si>
  <si>
    <t>Penang Through Gilded Doors (RM60 x 10)</t>
  </si>
  <si>
    <t>Streets of Georgetown Penang (RM25 x 50)</t>
  </si>
  <si>
    <t xml:space="preserve"> 27.03.2010               AB 009/2010</t>
  </si>
  <si>
    <t xml:space="preserve">      120 Armenian Street</t>
  </si>
  <si>
    <t xml:space="preserve">      Areca Books</t>
  </si>
  <si>
    <t>TOTAL:  RINGGIT Three Thousand and One Hundred only.</t>
  </si>
  <si>
    <t>Emcee - English</t>
  </si>
  <si>
    <t>PA System</t>
  </si>
  <si>
    <t>&amp; Hanna hand painting</t>
  </si>
  <si>
    <t>Chinese Art painting, Clay figurine maker,</t>
  </si>
  <si>
    <t>Art &amp; Craft for Fortune Teller, Caligrapher,</t>
  </si>
  <si>
    <t xml:space="preserve"> 17.12.2009             171209/E</t>
  </si>
  <si>
    <t>at Suffolk House</t>
  </si>
  <si>
    <t>Inaugural flight Finnair on 17 December 2009</t>
  </si>
  <si>
    <t xml:space="preserve">  :    867546</t>
  </si>
  <si>
    <t xml:space="preserve">      144-E, Jalan Burma</t>
  </si>
  <si>
    <t xml:space="preserve">      Alpha Event Planner</t>
  </si>
  <si>
    <t xml:space="preserve">  :   V351/2009</t>
  </si>
  <si>
    <t>TOTAL:  RINGGIT Three Hundred and Forty Five only.</t>
  </si>
  <si>
    <t>Prof fee for submitting Form CP 204 for Y/A 2010</t>
  </si>
  <si>
    <t xml:space="preserve"> 25.11.2009         MY00200059771    </t>
  </si>
  <si>
    <t xml:space="preserve">  :    915105</t>
  </si>
  <si>
    <t xml:space="preserve">      No. 8 Lebuh Farquhar</t>
  </si>
  <si>
    <t xml:space="preserve">      16th Floor, MWE Plaza</t>
  </si>
  <si>
    <t xml:space="preserve">  :   25 January 2010</t>
  </si>
  <si>
    <t xml:space="preserve">  :   V059/2010</t>
  </si>
  <si>
    <t xml:space="preserve">      10350 Penang</t>
  </si>
  <si>
    <t>TOTAL:  RINGGIT Four Hundred only.</t>
  </si>
  <si>
    <t>Performance by young gymnast</t>
  </si>
  <si>
    <t>Esplanade</t>
  </si>
  <si>
    <t>Mooncake Festival</t>
  </si>
  <si>
    <t xml:space="preserve">  :    915210</t>
  </si>
  <si>
    <t xml:space="preserve">      Tanjung Bungah</t>
  </si>
  <si>
    <t xml:space="preserve">      c/o 28 Medan Lembah Permai</t>
  </si>
  <si>
    <t xml:space="preserve">      Majlis Jinastik Amatur Pulau Pinang</t>
  </si>
  <si>
    <t xml:space="preserve">  :   V164/2010</t>
  </si>
  <si>
    <t xml:space="preserve"> - Install in 5 locations at Batu Feringghi</t>
  </si>
  <si>
    <t xml:space="preserve">Labour charges </t>
  </si>
  <si>
    <t>5 Signboards - Beware of Jelly Fish</t>
  </si>
  <si>
    <t xml:space="preserve"> 30.04.2010                  20050394</t>
  </si>
  <si>
    <t xml:space="preserve">  :    954659</t>
  </si>
  <si>
    <t xml:space="preserve">      66, Kuantan Road</t>
  </si>
  <si>
    <t xml:space="preserve">      Deco Metal Engineering</t>
  </si>
  <si>
    <t xml:space="preserve">  :   V312/2010</t>
  </si>
  <si>
    <t>TOTAL:  RINGGIT Seven Thousand only.</t>
  </si>
  <si>
    <t>pada 28.02.2010</t>
  </si>
  <si>
    <t>Celebration (Chap Goh Mei) di Esplanade</t>
  </si>
  <si>
    <t>My Penang Chinese New Year Reunion Dinner</t>
  </si>
  <si>
    <t>28.02.2010</t>
  </si>
  <si>
    <t>di Kampong Valdor, Sg Bakap pada 26.02.2010</t>
  </si>
  <si>
    <t>MP Batu Kawan &amp; ADUN Bukit Tambun</t>
  </si>
  <si>
    <t>26.02.2010</t>
  </si>
  <si>
    <t>On Stilts) seperti berikut:-</t>
  </si>
  <si>
    <t>Persembahan Tarian Singa (Lion Dance</t>
  </si>
  <si>
    <t xml:space="preserve">     11910 Bayan Lepas, Penang</t>
  </si>
  <si>
    <t xml:space="preserve">  :    954552</t>
  </si>
  <si>
    <t xml:space="preserve">      No. 320 MK 8 Gertak Sanggul</t>
  </si>
  <si>
    <t xml:space="preserve">      Choo Kar Chong Kar Kuan</t>
  </si>
  <si>
    <t xml:space="preserve">      Persatuan Kebudayaan &amp; Sukan </t>
  </si>
  <si>
    <t xml:space="preserve">  :   V202/2010</t>
  </si>
  <si>
    <t>Performance - 6 chinese drummers</t>
  </si>
  <si>
    <t xml:space="preserve"> 04.02.2010               </t>
  </si>
  <si>
    <t>at Penang Port</t>
  </si>
  <si>
    <t>Welcoming reception on 4 Feb 2010</t>
  </si>
  <si>
    <t xml:space="preserve">      11500 Air Itam, Penang</t>
  </si>
  <si>
    <t xml:space="preserve">  :    996974</t>
  </si>
  <si>
    <t xml:space="preserve">      Bandar Air itam (Farlim)</t>
  </si>
  <si>
    <t xml:space="preserve">      No 3-Q Jalan Semarak Api</t>
  </si>
  <si>
    <t xml:space="preserve">  :   29 June 2010</t>
  </si>
  <si>
    <t xml:space="preserve">      Ching Xing Sports Cultural Centre</t>
  </si>
  <si>
    <t xml:space="preserve">  :   V378/2010</t>
  </si>
  <si>
    <t xml:space="preserve">  14.11.2009     </t>
  </si>
  <si>
    <t>I-Dance Campaign 2009</t>
  </si>
  <si>
    <t xml:space="preserve">  :    915141</t>
  </si>
  <si>
    <t xml:space="preserve">      102 Jalan Burma</t>
  </si>
  <si>
    <t xml:space="preserve">      New world Park Lot E-6, 1st Floor</t>
  </si>
  <si>
    <t xml:space="preserve">      Danzity Dance House</t>
  </si>
  <si>
    <t xml:space="preserve">  :   V097/2010</t>
  </si>
  <si>
    <t>TOTAL:  RINGGIT Eighteen Thousand Eight  Hundred and Ninety Four only.</t>
  </si>
  <si>
    <t>AUD6,000 x 3.1440</t>
  </si>
  <si>
    <t>for January 2010</t>
  </si>
  <si>
    <t>Full page advertisement in miceAsia.net</t>
  </si>
  <si>
    <t xml:space="preserve">      (Payable to Westpac, A/C 266 861)</t>
  </si>
  <si>
    <t xml:space="preserve">      Royal Exchange NSW 1225 Australia</t>
  </si>
  <si>
    <t xml:space="preserve">      PO Box R147</t>
  </si>
  <si>
    <t xml:space="preserve">  :   6 January 2010</t>
  </si>
  <si>
    <t xml:space="preserve">      Business &amp; Tourism Publishing</t>
  </si>
  <si>
    <t xml:space="preserve">  :   V001/2010</t>
  </si>
  <si>
    <t>TOTAL:  RINGGIT One Thousand only.</t>
  </si>
  <si>
    <t>at Suffolk House on 17 Dec 2009</t>
  </si>
  <si>
    <t>PSO String Quartet performance</t>
  </si>
  <si>
    <t xml:space="preserve"> 17.12.2009                0359</t>
  </si>
  <si>
    <t xml:space="preserve">  :    867543</t>
  </si>
  <si>
    <t xml:space="preserve">      10030 Penang</t>
  </si>
  <si>
    <t xml:space="preserve">      44, Chow Thye Road</t>
  </si>
  <si>
    <t xml:space="preserve">      Dorian Music Agency</t>
  </si>
  <si>
    <t xml:space="preserve">  :   V348/2009</t>
  </si>
  <si>
    <t>Sponsorship for the above event</t>
  </si>
  <si>
    <t>on 17 April 2009</t>
  </si>
  <si>
    <t>and Cultural Events in Penang</t>
  </si>
  <si>
    <t>Mazu birthday Float Procession</t>
  </si>
  <si>
    <t xml:space="preserve">  :    867550</t>
  </si>
  <si>
    <t xml:space="preserve">      93 Lebuh Muntri</t>
  </si>
  <si>
    <t xml:space="preserve">  :   12 January 2010</t>
  </si>
  <si>
    <t xml:space="preserve">      Penang Hainan Association</t>
  </si>
  <si>
    <t xml:space="preserve">  :   V004/2010</t>
  </si>
  <si>
    <t>TOTAL:  RINGGIT Three Hundred and Twenty only.</t>
  </si>
  <si>
    <t>for journalist from UK</t>
  </si>
  <si>
    <t>Boat trip for 8 pax &amp; dinner</t>
  </si>
  <si>
    <t xml:space="preserve"> 27.07.2010             348240</t>
  </si>
  <si>
    <t xml:space="preserve">  :    954587</t>
  </si>
  <si>
    <t xml:space="preserve">  :   15 April 2010</t>
  </si>
  <si>
    <t xml:space="preserve">      Chew Siew Pheng</t>
  </si>
  <si>
    <t xml:space="preserve">  :   V236/2010</t>
  </si>
  <si>
    <t>TOTAL:  RINGGIT One Thousand and Eight Hundred only.</t>
  </si>
  <si>
    <t>Visit Penang 2010-2012 - 7 articles</t>
  </si>
  <si>
    <t>28.09.2009</t>
  </si>
  <si>
    <t>Tourism Photo Gallery</t>
  </si>
  <si>
    <t>Accommodation, Hotel Directory &amp;</t>
  </si>
  <si>
    <t xml:space="preserve">Medical Tourism, chew Jetty, Budget </t>
  </si>
  <si>
    <t>26.08.2009</t>
  </si>
  <si>
    <t>Article Writing for:</t>
  </si>
  <si>
    <t xml:space="preserve">  :    867495</t>
  </si>
  <si>
    <t xml:space="preserve">      Lebuhraya Berjaya</t>
  </si>
  <si>
    <t xml:space="preserve">      20-5-3, Kondo Berjaya</t>
  </si>
  <si>
    <t xml:space="preserve">      Lam Chooi Kheng</t>
  </si>
  <si>
    <t xml:space="preserve">  :   V298/2009</t>
  </si>
  <si>
    <t>TOTAL:  RINGGIT Four Hundred and Fifty only.</t>
  </si>
  <si>
    <t xml:space="preserve"> 7 pax  x RM75.00 less disc</t>
  </si>
  <si>
    <t>for Silkair media group on 30.0.3.2010</t>
  </si>
  <si>
    <t>Half day nature tour to Penang National Park</t>
  </si>
  <si>
    <t xml:space="preserve"> 29.03.2010             1001024</t>
  </si>
  <si>
    <t xml:space="preserve">  :    954586</t>
  </si>
  <si>
    <t xml:space="preserve">      56-X, Jalan Choong Lye Hock</t>
  </si>
  <si>
    <t xml:space="preserve">      Freedom Gateway Adventures</t>
  </si>
  <si>
    <t xml:space="preserve">  :   V235/2010</t>
  </si>
  <si>
    <t>Cost of 1 set (12 posters)</t>
  </si>
  <si>
    <t>- 12 pieces</t>
  </si>
  <si>
    <t>Re-print of original historical posters</t>
  </si>
  <si>
    <t xml:space="preserve">  :    954617</t>
  </si>
  <si>
    <t xml:space="preserve">    </t>
  </si>
  <si>
    <t xml:space="preserve">  :   5 May 2010</t>
  </si>
  <si>
    <t xml:space="preserve">      Folia Malaysiana Sdn Bhd</t>
  </si>
  <si>
    <t xml:space="preserve">  :   V269/2010</t>
  </si>
  <si>
    <t>on 15 June 2010</t>
  </si>
  <si>
    <t>from E &amp; O hotel to Cheong Fatt Tze Mansion</t>
  </si>
  <si>
    <t>Vintage and Classic cars drive</t>
  </si>
  <si>
    <t>Russian MICE  Agents FAM Trip</t>
  </si>
  <si>
    <t xml:space="preserve">  :    996954</t>
  </si>
  <si>
    <t xml:space="preserve">      10450 Penang</t>
  </si>
  <si>
    <t xml:space="preserve">      48-E, Taman Jesselton</t>
  </si>
  <si>
    <t xml:space="preserve">      Malaysia and Singapore Vintage Car Register</t>
  </si>
  <si>
    <t xml:space="preserve">  :   V359/2010</t>
  </si>
  <si>
    <t>Charity Hunt 2010</t>
  </si>
  <si>
    <t>Mount Miriam Cancer Hospital</t>
  </si>
  <si>
    <t xml:space="preserve">  :    954697</t>
  </si>
  <si>
    <t xml:space="preserve">     11200 Tanjung Bungah, Penang</t>
  </si>
  <si>
    <t xml:space="preserve">     23 Jalan Bulan , Fettes Park</t>
  </si>
  <si>
    <t xml:space="preserve">      Mount Miriam Cancer Hospital</t>
  </si>
  <si>
    <t xml:space="preserve">  :   V352/2010</t>
  </si>
  <si>
    <t>TOTAL:  RINGGIT One Thousand Six Hundred and Thirty Five only.</t>
  </si>
  <si>
    <t>at Esplande</t>
  </si>
  <si>
    <t>Allowance for 1st Aiders on standby duty</t>
  </si>
  <si>
    <t xml:space="preserve"> - Go-Kart Event from March 12 - 14, 2010</t>
  </si>
  <si>
    <t>GO Penang International 2010</t>
  </si>
  <si>
    <t xml:space="preserve">  :    954581</t>
  </si>
  <si>
    <t xml:space="preserve">      11400 Penang</t>
  </si>
  <si>
    <t xml:space="preserve">      26 Jalan Grove</t>
  </si>
  <si>
    <t xml:space="preserve">      MRCS, Island Chapter</t>
  </si>
  <si>
    <t xml:space="preserve">  :   V230/2010</t>
  </si>
  <si>
    <t>from March 11 - 14, 2010</t>
  </si>
  <si>
    <t>for Parveena Devi</t>
  </si>
  <si>
    <t xml:space="preserve">Hotel Accommodation for 4 nights </t>
  </si>
  <si>
    <t xml:space="preserve"> Ref No. TLH/TA/240210</t>
  </si>
  <si>
    <t>MATTA Fair KL from March 12 - 14, 2010</t>
  </si>
  <si>
    <t xml:space="preserve">  :    915192</t>
  </si>
  <si>
    <t xml:space="preserve">       Kuala Lumpur</t>
  </si>
  <si>
    <t xml:space="preserve">      The Legend</t>
  </si>
  <si>
    <t xml:space="preserve">  :   V147/2010</t>
  </si>
  <si>
    <t>TOTAL:  RINGGIT Eight Thousand Three  Hundred Eighty Six and Sen Ninety Five only.</t>
  </si>
  <si>
    <t>Hotel Accommodation for Yuszarudin Yusop</t>
  </si>
  <si>
    <t xml:space="preserve"> 03.11.2009                  3563(A)</t>
  </si>
  <si>
    <t>Hotel Accommodation for Lydiawati Oon</t>
  </si>
  <si>
    <t>Hotel Accommodation for Ooi Geok Ling</t>
  </si>
  <si>
    <t xml:space="preserve"> 03.11.2009                  3563</t>
  </si>
  <si>
    <t>London from 9 -12 November 2009</t>
  </si>
  <si>
    <t>World Travel Market 2009</t>
  </si>
  <si>
    <t xml:space="preserve">      50744 Kuala Lumpur</t>
  </si>
  <si>
    <t xml:space="preserve">      PO Box 11369</t>
  </si>
  <si>
    <t xml:space="preserve">  :    867529</t>
  </si>
  <si>
    <t xml:space="preserve">      12, Jalan Yap Kwan Seng</t>
  </si>
  <si>
    <t xml:space="preserve">      B-16-8, Megan Avenue II</t>
  </si>
  <si>
    <t xml:space="preserve">      Antara Holiday Villas Sdn Bhd</t>
  </si>
  <si>
    <t xml:space="preserve">  :   V332/2009</t>
  </si>
  <si>
    <t>TOTAL:  RINGGIT Eight Thousand only.</t>
  </si>
  <si>
    <t>(to include 100 free copies)</t>
  </si>
  <si>
    <t xml:space="preserve">Sponsorship </t>
  </si>
  <si>
    <t>by Helen Ong</t>
  </si>
  <si>
    <t>Great Dining in Penang 2010</t>
  </si>
  <si>
    <t xml:space="preserve">  :    954641</t>
  </si>
  <si>
    <t xml:space="preserve">      11100 Batu Ferringhi, Penang</t>
  </si>
  <si>
    <t xml:space="preserve">      No. 5 Tingkat Pantai Miami</t>
  </si>
  <si>
    <t xml:space="preserve">      Helen Ong Saw Huei </t>
  </si>
  <si>
    <t xml:space="preserve">  :   V293/2010</t>
  </si>
  <si>
    <t>10300 Penang</t>
  </si>
  <si>
    <t>3-A, Pengkalan Weld</t>
  </si>
  <si>
    <t xml:space="preserve"> Suite 1-04, Wisma Sri Weld</t>
  </si>
  <si>
    <t>TOTAL:  RINGGIT One Thousand And Two Hundred Only</t>
  </si>
  <si>
    <t>Design &amp; Finish Artwork Charges</t>
  </si>
  <si>
    <t>PGT - Backdrop</t>
  </si>
  <si>
    <t>004577</t>
  </si>
  <si>
    <t xml:space="preserve">  :    092159</t>
  </si>
  <si>
    <t>Hekty Corporation Sdn Bhd</t>
  </si>
  <si>
    <t xml:space="preserve">  :   V2011/135</t>
  </si>
  <si>
    <t>TOTAL:  RINGGIT Three Thousand Nine Hundred and Sixty only.</t>
  </si>
  <si>
    <t>on 27.03.2010</t>
  </si>
  <si>
    <t xml:space="preserve">Package dinner for 80 pax </t>
  </si>
  <si>
    <t xml:space="preserve"> 29.03.2010      01/03/2010</t>
  </si>
  <si>
    <t>Memorial Hall, Taipei</t>
  </si>
  <si>
    <t>Delegation from National Dr Sun Yat Sen</t>
  </si>
  <si>
    <t xml:space="preserve">  :    915248</t>
  </si>
  <si>
    <t xml:space="preserve">      Hainan Town Restaurant Penang</t>
  </si>
  <si>
    <t xml:space="preserve">      Bok Jee Seem</t>
  </si>
  <si>
    <t xml:space="preserve">  :   V198/2010</t>
  </si>
  <si>
    <t xml:space="preserve"> - RM0.20 x 40,000</t>
  </si>
  <si>
    <t>on Penang Sculpture Trail Project</t>
  </si>
  <si>
    <t>Postcards (4 Designs)</t>
  </si>
  <si>
    <t xml:space="preserve"> 11.06.2010                      08962</t>
  </si>
  <si>
    <t xml:space="preserve">  :    954700</t>
  </si>
  <si>
    <t xml:space="preserve">      Lebuh Light</t>
  </si>
  <si>
    <t xml:space="preserve">      Paras Bawah, Dewan Sri Pinang</t>
  </si>
  <si>
    <t xml:space="preserve">      Kelab Kakitangan Muzium Negeri Pulau Pinang</t>
  </si>
  <si>
    <t xml:space="preserve">  :   V355/2010</t>
  </si>
  <si>
    <t>TOTAL:  RINGGIT One Thousand and Three  Hundred only.</t>
  </si>
  <si>
    <t xml:space="preserve"> 25.12.2009         PDC/02353/09</t>
  </si>
  <si>
    <t>on 1 January 2010</t>
  </si>
  <si>
    <t>'Discovery' Cruise Ship from US</t>
  </si>
  <si>
    <t xml:space="preserve">  :    867574</t>
  </si>
  <si>
    <t xml:space="preserve">      11050 Penang</t>
  </si>
  <si>
    <t xml:space="preserve">      No. 332, MK 2 Jalan Penang Mutiara Hotel</t>
  </si>
  <si>
    <t xml:space="preserve">  :   14 January 2010</t>
  </si>
  <si>
    <t xml:space="preserve">      Kreatif Arts Production</t>
  </si>
  <si>
    <t xml:space="preserve">  :   V028/2010</t>
  </si>
  <si>
    <t>TOTAL:  RINGGIT Twenty Two Thousand Seven Hundred and Seventy only.</t>
  </si>
  <si>
    <t xml:space="preserve">  01.06.2010      Debit Note KM112</t>
  </si>
  <si>
    <t>Book - "Penang Temples"</t>
  </si>
  <si>
    <t>Rental of LED</t>
  </si>
  <si>
    <t xml:space="preserve">  31.05.2010      Debit Note KM111</t>
  </si>
  <si>
    <t>Participant fee</t>
  </si>
  <si>
    <t xml:space="preserve">  29.04.2010      KM400/2010     </t>
  </si>
  <si>
    <t xml:space="preserve">  29.04.2010      KM399/2010     </t>
  </si>
  <si>
    <t>Cultural Industries Fair on 14-17 May 2010</t>
  </si>
  <si>
    <t>6th China (Shenzhen) International</t>
  </si>
  <si>
    <t xml:space="preserve">  :    996981</t>
  </si>
  <si>
    <t xml:space="preserve">      19 Lebuh Presgrave</t>
  </si>
  <si>
    <t xml:space="preserve">      Kwong Wah Marketing Sdn Bhd</t>
  </si>
  <si>
    <t xml:space="preserve">  :   V385/2010</t>
  </si>
  <si>
    <t>TOTAL:  RINGGIT Fifty Five Thousand  and Two Hundred only.</t>
  </si>
  <si>
    <t>Balance payment</t>
  </si>
  <si>
    <t xml:space="preserve">  :    954580</t>
  </si>
  <si>
    <t xml:space="preserve">      05050 Alor Setar</t>
  </si>
  <si>
    <t xml:space="preserve">      399 Tmn Sri Ampang</t>
  </si>
  <si>
    <t xml:space="preserve">      Ken Karting Event Management</t>
  </si>
  <si>
    <t xml:space="preserve">  :   V229/2010</t>
  </si>
  <si>
    <t>TOTAL:  RINGGIT Two Thousand One Hundred only.</t>
  </si>
  <si>
    <t>TOTAL:  RINGGIT Twenty Nine Thousand and Seventy One only.</t>
  </si>
  <si>
    <t>Cost of Publicity - PGT's share of cost</t>
  </si>
  <si>
    <t>from July 1 - 31, 2010</t>
  </si>
  <si>
    <t>George Town Festival 2010</t>
  </si>
  <si>
    <t xml:space="preserve">  :    011938</t>
  </si>
  <si>
    <t xml:space="preserve">     116 &amp; 118 Lebuh Acheh</t>
  </si>
  <si>
    <t xml:space="preserve">  :   30 July 2010</t>
  </si>
  <si>
    <t xml:space="preserve">     George Town World Heritage Incorporated</t>
  </si>
  <si>
    <t xml:space="preserve">  :   V444/2010</t>
  </si>
  <si>
    <t>TOTAL:  RINGGIT Two Hundred and Eighty only.</t>
  </si>
  <si>
    <t>a director of Penang Global Tourism on his demise</t>
  </si>
  <si>
    <t>Floral wreath to the family of Mr Eddy Low,</t>
  </si>
  <si>
    <t xml:space="preserve">      11950 Bayan Baru, Penang.</t>
  </si>
  <si>
    <t xml:space="preserve">  :    867523</t>
  </si>
  <si>
    <t xml:space="preserve">      (Hospital Pantai Mutiara)</t>
  </si>
  <si>
    <t xml:space="preserve">      82, Jalan Tengah </t>
  </si>
  <si>
    <t xml:space="preserve">      Glory Florist</t>
  </si>
  <si>
    <t xml:space="preserve">  :   V326/2009</t>
  </si>
  <si>
    <t>TOTAL:  RINGGIT Two Thousand Six Hundred and Ninety Three only.</t>
  </si>
  <si>
    <t>PG/KL/Shanghai/KL/PG</t>
  </si>
  <si>
    <t>Airfare for Ooi Geok Ling</t>
  </si>
  <si>
    <t xml:space="preserve"> 03.06.2010        CBPIN04490</t>
  </si>
  <si>
    <t>on 10 June 2010</t>
  </si>
  <si>
    <t>Shanghai World Expo - Malaysian Pavillion</t>
  </si>
  <si>
    <t xml:space="preserve">  :    996958</t>
  </si>
  <si>
    <t xml:space="preserve">      51-7-F1 Menara BHL Bank</t>
  </si>
  <si>
    <t xml:space="preserve">      Chan Brothers (PK) Travel Agency Sdn Bhd</t>
  </si>
  <si>
    <t xml:space="preserve">  :   V363/2010</t>
  </si>
  <si>
    <t>TOTAL:  RINGGIT Eleven Thousand and Three Hundred only.</t>
  </si>
  <si>
    <t xml:space="preserve"> (Georgetown Festival - July 2010)</t>
  </si>
  <si>
    <t>Advertisment in A Magazine  for June - Vol 22</t>
  </si>
  <si>
    <t xml:space="preserve"> 26.05.2010   60510/PGT01RV/LL</t>
  </si>
  <si>
    <t xml:space="preserve">  :    954692</t>
  </si>
  <si>
    <t xml:space="preserve">      51200 Kuala Lumpur</t>
  </si>
  <si>
    <t xml:space="preserve">      372-A, (3rd Floor) Batu 2 1/2, Jalan Ipoh</t>
  </si>
  <si>
    <t xml:space="preserve">      Creativision D.C. Sdn Bhd</t>
  </si>
  <si>
    <t xml:space="preserve">  :   V347/2010</t>
  </si>
  <si>
    <t>Cost of durians</t>
  </si>
  <si>
    <t xml:space="preserve"> 20.06.2010       238502</t>
  </si>
  <si>
    <t>Association</t>
  </si>
  <si>
    <t>Durian feast for Penang Tourist Guides</t>
  </si>
  <si>
    <t xml:space="preserve">     10470 Penang</t>
  </si>
  <si>
    <t xml:space="preserve">  :    996995</t>
  </si>
  <si>
    <t xml:space="preserve">     Jalan Tanjong Tokong</t>
  </si>
  <si>
    <t xml:space="preserve">     Blk 31-B-15-06, Grandview</t>
  </si>
  <si>
    <t xml:space="preserve">     Chin Poh Chin</t>
  </si>
  <si>
    <t xml:space="preserve">  :   V399/2010</t>
  </si>
  <si>
    <t>TOTAL:  RINGGIT Twenty Thousand only.</t>
  </si>
  <si>
    <t xml:space="preserve"> 11.01.2010               </t>
  </si>
  <si>
    <t xml:space="preserve"> 4 - 6 December 2009</t>
  </si>
  <si>
    <t>Penang Island Jazz Festival 2009</t>
  </si>
  <si>
    <t xml:space="preserve">     50490 Kuala Lumpur</t>
  </si>
  <si>
    <t xml:space="preserve">  :    915123</t>
  </si>
  <si>
    <t xml:space="preserve">      Damansara Heights</t>
  </si>
  <si>
    <t xml:space="preserve">      No. 25-1 Lorong Setiabistari 2</t>
  </si>
  <si>
    <t xml:space="preserve">  :   9 February 2010</t>
  </si>
  <si>
    <t xml:space="preserve">      The Capricorn Connection</t>
  </si>
  <si>
    <t xml:space="preserve">  :   V077/2010</t>
  </si>
  <si>
    <t>TOTAL:  RINGGIT Fourteen Thousand only.</t>
  </si>
  <si>
    <t>(RM28,000 x 50%)</t>
  </si>
  <si>
    <t>1st 50% payment</t>
  </si>
  <si>
    <t xml:space="preserve"> 08.06.2010           #3333002</t>
  </si>
  <si>
    <t>for Penang Tourism</t>
  </si>
  <si>
    <t>Development of Penang Mobile Application</t>
  </si>
  <si>
    <t xml:space="preserve">      47400 Petaling Jaya, Selangor</t>
  </si>
  <si>
    <t xml:space="preserve">  :    954694</t>
  </si>
  <si>
    <t xml:space="preserve">      No. 1 Jalan SS20/27</t>
  </si>
  <si>
    <t xml:space="preserve">      Block @, Suite 825, Damansara Intan</t>
  </si>
  <si>
    <t xml:space="preserve">      Convep Mobilogy Sdn Bhd</t>
  </si>
  <si>
    <t xml:space="preserve">  :   V349/2010</t>
  </si>
  <si>
    <t>TOTAL:  RINGGIT One Hundred and Eighty Two only.</t>
  </si>
  <si>
    <t>Model:TN -2025</t>
  </si>
  <si>
    <t>dated 9.7.2010</t>
  </si>
  <si>
    <t>Brother Toner Cartridge for fax machine</t>
  </si>
  <si>
    <t>Quotation No. 07069-10QT</t>
  </si>
  <si>
    <t xml:space="preserve">  :    011908</t>
  </si>
  <si>
    <t xml:space="preserve">  :   14 July 2010</t>
  </si>
  <si>
    <t xml:space="preserve">      DSOP Office System &amp; Supplies Sdn Bhd</t>
  </si>
  <si>
    <t xml:space="preserve">  :   V412/2010</t>
  </si>
  <si>
    <t>Rental charges</t>
  </si>
  <si>
    <t xml:space="preserve">Dinner </t>
  </si>
  <si>
    <t>Tour at Cheong Fatt Tze Mansion</t>
  </si>
  <si>
    <t xml:space="preserve"> 15.06.2010            00174/6/10</t>
  </si>
  <si>
    <t xml:space="preserve">  :    996955</t>
  </si>
  <si>
    <t xml:space="preserve">      14 Leith Street</t>
  </si>
  <si>
    <t xml:space="preserve">      (Cheong Fatt Tze Mansion)</t>
  </si>
  <si>
    <t xml:space="preserve">      Straits Indigo Sdn Bhd</t>
  </si>
  <si>
    <t xml:space="preserve">  :   V360/2010</t>
  </si>
  <si>
    <t>TOTAL:  RINGGIT Nine Hundred and Sixty Six only.</t>
  </si>
  <si>
    <t>Hotel Accommodation</t>
  </si>
  <si>
    <t xml:space="preserve"> 17.06.2010                  3756</t>
  </si>
  <si>
    <t>Travel Agents and Media from Guangzhou, China</t>
  </si>
  <si>
    <t xml:space="preserve">      11900 Bayan Lepas, Penang</t>
  </si>
  <si>
    <t xml:space="preserve">  :    996998</t>
  </si>
  <si>
    <t xml:space="preserve">      Queensbay</t>
  </si>
  <si>
    <t xml:space="preserve">      1, Solok Bayan Indah</t>
  </si>
  <si>
    <t xml:space="preserve">      Eastin Hotel Penang</t>
  </si>
  <si>
    <t xml:space="preserve">  :   V402/2010</t>
  </si>
  <si>
    <t>TOTAL:  RINGGIT One Hundred and Forty Four only.</t>
  </si>
  <si>
    <t>Servicing of Office car - PJP 1311</t>
  </si>
  <si>
    <t xml:space="preserve">  14.06.2010           9004156598</t>
  </si>
  <si>
    <t xml:space="preserve">  :    954699</t>
  </si>
  <si>
    <t xml:space="preserve">          10150 Penang</t>
  </si>
  <si>
    <t xml:space="preserve">          1A Jalan Makloom</t>
  </si>
  <si>
    <t xml:space="preserve">          Edaran Otomobil Nasional Berhad</t>
  </si>
  <si>
    <t xml:space="preserve">  :   V354/2010</t>
  </si>
  <si>
    <t>TOTAL:  RINGGIT Nine Hundred Ninety Three and Sen Sixty only.</t>
  </si>
  <si>
    <t xml:space="preserve"> 14.06.2010                  64404</t>
  </si>
  <si>
    <t xml:space="preserve">  :    996997</t>
  </si>
  <si>
    <t xml:space="preserve">      1, Jalan Bukit Jambul</t>
  </si>
  <si>
    <t xml:space="preserve">      Bukit Jambul Hotel Development Sdn Bhd</t>
  </si>
  <si>
    <t xml:space="preserve">  :   V401/2010</t>
  </si>
  <si>
    <t>TOTAL:  RINGGIT One Thousand Seven Hundred Thirty Two and Sen Fifty only.</t>
  </si>
  <si>
    <t>in May 2010 issue</t>
  </si>
  <si>
    <t>Advertisement in Penang Tourism magazine</t>
  </si>
  <si>
    <t xml:space="preserve">  01.05.2010          ADV000034</t>
  </si>
  <si>
    <t xml:space="preserve">  :    996990</t>
  </si>
  <si>
    <t xml:space="preserve">      Unit No. 3A-7-3 Pengkalan Weld</t>
  </si>
  <si>
    <t xml:space="preserve">      InZone Media Sdn Bhd</t>
  </si>
  <si>
    <t xml:space="preserve">  :   V394/2010</t>
  </si>
  <si>
    <t>TOTAL:  RINGGIT One Thousand Two Hundred Twenty Five and Sen Ninety Five only.</t>
  </si>
  <si>
    <t xml:space="preserve"> - printing of 400 flyers</t>
  </si>
  <si>
    <t xml:space="preserve"> - media release in Sunday Times</t>
  </si>
  <si>
    <t>Advertisement cost  - AUD399.85 x 2.9910</t>
  </si>
  <si>
    <t xml:space="preserve">  13.04.2010</t>
  </si>
  <si>
    <t>Penang and Kuala Lumpur</t>
  </si>
  <si>
    <t>Mega-Sale, Tri-shaw and Spices Tour</t>
  </si>
  <si>
    <t xml:space="preserve">     Perth, Australia</t>
  </si>
  <si>
    <t xml:space="preserve">     Subiaco W.A. 6008</t>
  </si>
  <si>
    <t xml:space="preserve">      Unit 4, 234, Churchill Avenue</t>
  </si>
  <si>
    <t xml:space="preserve">      Intergrated Toursirm Services Pty Ltd</t>
  </si>
  <si>
    <t xml:space="preserve">  :   V256/2010</t>
  </si>
  <si>
    <t>TOTAL:  RINGGIT Two Thousand Nine Hundred and Seventy only.</t>
  </si>
  <si>
    <t>MPPP Stickers</t>
  </si>
  <si>
    <t>Banner - 5 pcs</t>
  </si>
  <si>
    <t>Streamers - 100 pcs</t>
  </si>
  <si>
    <t xml:space="preserve"> 01.06.2010                   18932</t>
  </si>
  <si>
    <t>from 12 - 13 June 2010</t>
  </si>
  <si>
    <t>Peringkat Antarabangsa Malaysia Pertama</t>
  </si>
  <si>
    <t>Pertandingan Amal Guppy dan Betta</t>
  </si>
  <si>
    <t xml:space="preserve">  :    996996</t>
  </si>
  <si>
    <t xml:space="preserve">      288 Gat Lebuh Macallum</t>
  </si>
  <si>
    <t xml:space="preserve">      Syarikat Percetakan Irisan Sdn Bhd</t>
  </si>
  <si>
    <t xml:space="preserve">  :   V400/2010</t>
  </si>
  <si>
    <t>CIMB</t>
  </si>
  <si>
    <t xml:space="preserve">Voucher No. :   </t>
  </si>
  <si>
    <t>Date                :</t>
  </si>
  <si>
    <t>Bank               :</t>
  </si>
  <si>
    <t>Cheque No. :</t>
  </si>
  <si>
    <t>TOTAL RINGGIT</t>
  </si>
  <si>
    <t>INVOICE DATE</t>
  </si>
  <si>
    <t>Goh Chen Yee (I/C : 910219-07-5668)</t>
  </si>
  <si>
    <t>Trainee</t>
  </si>
  <si>
    <t>Han Chiang College</t>
  </si>
  <si>
    <t xml:space="preserve">Pratical Training Placement for the </t>
  </si>
  <si>
    <t>period from 10 Jan 2011 - 19 Mar 2011</t>
  </si>
  <si>
    <t>(10 weeks)</t>
  </si>
  <si>
    <t>Memo dated 27.01.2011</t>
  </si>
  <si>
    <t>3rd payment of allowanece</t>
  </si>
  <si>
    <t>for March 2011 (3 weeks)</t>
  </si>
  <si>
    <t xml:space="preserve"> Three Hundred Only</t>
  </si>
  <si>
    <t>V2011/154</t>
  </si>
  <si>
    <t>092179</t>
  </si>
  <si>
    <t>Khoo Hoay Ching (I/C : 910307-07-5254)</t>
  </si>
  <si>
    <t>V2011/155</t>
  </si>
  <si>
    <t>092180</t>
  </si>
  <si>
    <t>Avion Holidays Sdn Bhd</t>
  </si>
  <si>
    <t>Mezzanine Floor</t>
  </si>
  <si>
    <t>5, Macalister Road</t>
  </si>
  <si>
    <t>10400 Penang</t>
  </si>
  <si>
    <t>Tel : 04-229 3820   Fax : 04-229 6070</t>
  </si>
  <si>
    <t xml:space="preserve">INVOICE DATE     </t>
  </si>
  <si>
    <t>TOTAL :RINGGIT</t>
  </si>
  <si>
    <t>A Tu Z Wedding House Sdn Bhd</t>
  </si>
  <si>
    <t>2531 &amp; 2532, Jalan Jelawat</t>
  </si>
  <si>
    <t>Kawasan Perindustrian Seberang Jaya</t>
  </si>
  <si>
    <t>13700 Perai, Butterworth</t>
  </si>
  <si>
    <t>Tel : 1300-22-2222  Fax : 04-398 8897</t>
  </si>
  <si>
    <t>092185</t>
  </si>
  <si>
    <t>000110</t>
  </si>
  <si>
    <t>Welcome Performance (Queen Elizaberth II)</t>
  </si>
  <si>
    <t>Candy</t>
  </si>
  <si>
    <t>Workmanship</t>
  </si>
  <si>
    <t>One Thousand Four Hundred and Seventy Only</t>
  </si>
  <si>
    <t>HT. Bunga Telur 2100pcs</t>
  </si>
  <si>
    <t xml:space="preserve">INVOICE DATE    </t>
  </si>
  <si>
    <t xml:space="preserve"> INVOICE NO</t>
  </si>
  <si>
    <t>KTM Distribution Sdn Bhd</t>
  </si>
  <si>
    <t>1st Floor Bangunan Stesen Keretapi</t>
  </si>
  <si>
    <t>Jalan Sultan Hishamuddin</t>
  </si>
  <si>
    <t>50050 Kuala Lumpur</t>
  </si>
  <si>
    <t xml:space="preserve">Voucher No. :    </t>
  </si>
  <si>
    <t xml:space="preserve">Cheque No. :     </t>
  </si>
  <si>
    <t>Badan Warisan HS Sdn Bhd</t>
  </si>
  <si>
    <t xml:space="preserve"> 250 Jalan Air itam</t>
  </si>
  <si>
    <t>10460 Penang</t>
  </si>
  <si>
    <t>Tel : 04-228 1109</t>
  </si>
  <si>
    <t>092187</t>
  </si>
  <si>
    <t>V2011/160</t>
  </si>
  <si>
    <t xml:space="preserve">Guide Tour For World Chinese Press </t>
  </si>
  <si>
    <t>Conference at Suffolk House on 22/12/2010</t>
  </si>
  <si>
    <t>Suffolk House Guide Tour @ RM5/person</t>
  </si>
  <si>
    <t>for 40 pax</t>
  </si>
  <si>
    <t>TOTAL:  RINGGIT Two Hundred Only</t>
  </si>
  <si>
    <t>BWM/SH/PGT/0910</t>
  </si>
  <si>
    <t>/PF-01</t>
  </si>
  <si>
    <t>L. A. Design</t>
  </si>
  <si>
    <t>215, Hutton Lane</t>
  </si>
  <si>
    <t>10050 Penang</t>
  </si>
  <si>
    <t>Tel : 04228 0188</t>
  </si>
  <si>
    <t>V2011/165</t>
  </si>
  <si>
    <t>092192</t>
  </si>
  <si>
    <t>22 March 2011</t>
  </si>
  <si>
    <t>Medan Fair 2010</t>
  </si>
  <si>
    <t>17/06/2010</t>
  </si>
  <si>
    <t>a03108</t>
  </si>
  <si>
    <t>Paneling  Wall Fabrication</t>
  </si>
  <si>
    <t xml:space="preserve"> - 2 sets of 7'x9' on hi res inkjet </t>
  </si>
  <si>
    <t xml:space="preserve"> - 1 set 7'x6' non reflective material</t>
  </si>
  <si>
    <t xml:space="preserve"> - Installation fees</t>
  </si>
  <si>
    <t>One Thousand And Two Hundred Only</t>
  </si>
  <si>
    <t>Magicprint Solutions</t>
  </si>
  <si>
    <t>Georgetown</t>
  </si>
  <si>
    <t>Tel: 04-229 6551</t>
  </si>
  <si>
    <t xml:space="preserve">Voucher No.:  </t>
  </si>
  <si>
    <t>98-2-9B, Prima Tanjung, Jalan Fettes</t>
  </si>
  <si>
    <t>11200 Tanjung Tokong, Penang</t>
  </si>
  <si>
    <t xml:space="preserve">INVOICE DATE </t>
  </si>
  <si>
    <t>Lim Wah Thai Local Food Marketing Sdn Bhd</t>
  </si>
  <si>
    <t>3A, Jalan Gottlieb</t>
  </si>
  <si>
    <t>10350 Penang</t>
  </si>
  <si>
    <t>Tel : 604-2281063/4</t>
  </si>
  <si>
    <t xml:space="preserve">Cheque No. :    </t>
  </si>
  <si>
    <t>Lee Video Productions Sdn Bhd</t>
  </si>
  <si>
    <t>140, Lebuh Melaka</t>
  </si>
  <si>
    <t>Tel : 04-229 8020</t>
  </si>
  <si>
    <t>Kim Fashion &amp; Trading</t>
  </si>
  <si>
    <t>170-4-77 Gurney Plaza</t>
  </si>
  <si>
    <t>Penang</t>
  </si>
  <si>
    <t>Tel : 04-226 6110</t>
  </si>
  <si>
    <t xml:space="preserve">Cheque No. : </t>
  </si>
  <si>
    <t>Voucher No. :</t>
  </si>
  <si>
    <t>V2011/191</t>
  </si>
  <si>
    <t>7th April 2011</t>
  </si>
  <si>
    <t>092221</t>
  </si>
  <si>
    <t>07/02/11</t>
  </si>
  <si>
    <t>11560</t>
  </si>
  <si>
    <t>Kebaya for Tourism Malaysia BIT 2011</t>
  </si>
  <si>
    <t>International Tourism Exchange in Milan</t>
  </si>
  <si>
    <t>Kebaya</t>
  </si>
  <si>
    <t>Six Hundred Only</t>
  </si>
  <si>
    <t xml:space="preserve">Date            :  </t>
  </si>
  <si>
    <t xml:space="preserve">Bank           :  </t>
  </si>
  <si>
    <t xml:space="preserve">Date            : </t>
  </si>
  <si>
    <t>Bank           :</t>
  </si>
  <si>
    <t xml:space="preserve">Cheque No.  : </t>
  </si>
  <si>
    <t>Brand-New Bannershop Sdn Bhd</t>
  </si>
  <si>
    <t xml:space="preserve">Bank            :  </t>
  </si>
  <si>
    <t>Voucher No   :</t>
  </si>
  <si>
    <t>Date             :</t>
  </si>
  <si>
    <t xml:space="preserve">12, Jalan Singapura </t>
  </si>
  <si>
    <t>10150 Penang</t>
  </si>
  <si>
    <t>Tel : 04-228 2109</t>
  </si>
  <si>
    <t>Fax : 04-219 4008</t>
  </si>
  <si>
    <t>00022527</t>
  </si>
  <si>
    <t>17/03/2011</t>
  </si>
  <si>
    <t>Aus Heritage Workshop</t>
  </si>
  <si>
    <t>Billboard Tarpaulin For AusHeritage Workshop</t>
  </si>
  <si>
    <t>plus installation</t>
  </si>
  <si>
    <t>Three Thousand Only</t>
  </si>
  <si>
    <t>Tel : 04-261 4099</t>
  </si>
  <si>
    <t>TOTAL: RINGGIT</t>
  </si>
  <si>
    <t>Hike Enterprise</t>
  </si>
  <si>
    <t>No.364, Penang Road</t>
  </si>
  <si>
    <t xml:space="preserve">10000 Penang </t>
  </si>
  <si>
    <t>Tel : 012-482 5688</t>
  </si>
  <si>
    <t>Fax : 04-229 3710</t>
  </si>
  <si>
    <t>Voucher No.  :</t>
  </si>
  <si>
    <t>Bank            :</t>
  </si>
  <si>
    <t>Cheque No.   :</t>
  </si>
  <si>
    <t>Date           :</t>
  </si>
  <si>
    <t>Date            :</t>
  </si>
  <si>
    <t xml:space="preserve">Voucher No.: </t>
  </si>
  <si>
    <t xml:space="preserve">Bank           :    </t>
  </si>
  <si>
    <t>KA 393648</t>
  </si>
  <si>
    <t>Tourism Brochures &amp; Magazines for PITO,</t>
  </si>
  <si>
    <t>Singapore</t>
  </si>
  <si>
    <t>Eighty Eight Only</t>
  </si>
  <si>
    <t>Bank          :</t>
  </si>
  <si>
    <t>Canon DSLR Camera</t>
  </si>
  <si>
    <t>Four Hundred and Forty Only</t>
  </si>
  <si>
    <t xml:space="preserve">1 Malaysia Fair For 2011" at Hong Kong </t>
  </si>
  <si>
    <t>on 30 April - 02 May 2011</t>
  </si>
  <si>
    <t xml:space="preserve"> - Meal Allowance - RM225 x 4 days</t>
  </si>
  <si>
    <t>Ooi Geok Ling</t>
  </si>
  <si>
    <t xml:space="preserve">  :   V2011/ 196</t>
  </si>
  <si>
    <t xml:space="preserve">  :   25 April 2011</t>
  </si>
  <si>
    <t xml:space="preserve">  :    092227</t>
  </si>
  <si>
    <t>Advance Taken For :</t>
  </si>
  <si>
    <t>One Thousand Five Hundred and Eighty Only</t>
  </si>
  <si>
    <t xml:space="preserve">Bank           : </t>
  </si>
  <si>
    <t>Cheque No.  :</t>
  </si>
  <si>
    <t xml:space="preserve">Voucher No.  : </t>
  </si>
  <si>
    <t xml:space="preserve">  INVOICE NO</t>
  </si>
  <si>
    <t>10th May 2011</t>
  </si>
  <si>
    <t>V2011/210</t>
  </si>
  <si>
    <t>092239</t>
  </si>
  <si>
    <t>Cheong Seng Chan Sdn Bhd</t>
  </si>
  <si>
    <t>Plot 10, Lorong Industri Ringan Satu</t>
  </si>
  <si>
    <t>Juru Light Industrial Estate</t>
  </si>
  <si>
    <t>Tel : 04-501 1711  Fax : 04-501 1717</t>
  </si>
  <si>
    <t>V2011/V216</t>
  </si>
  <si>
    <t>092245</t>
  </si>
  <si>
    <t>Basic Enterprise</t>
  </si>
  <si>
    <t xml:space="preserve">G18 Subcentre Complex </t>
  </si>
  <si>
    <t>Medan Mayangpasir</t>
  </si>
  <si>
    <t>11950 Bayan Baru, Penang</t>
  </si>
  <si>
    <t>Voucher No.:</t>
  </si>
  <si>
    <t>Cheque No.:</t>
  </si>
  <si>
    <t>Tel : 04-643 8608   Fax : 04-644 5170</t>
  </si>
  <si>
    <t>Kee Seok Choo</t>
  </si>
  <si>
    <t>(621015-10-5502)</t>
  </si>
  <si>
    <t>Choo Yew Choon</t>
  </si>
  <si>
    <t>(I/C:570527-07-5901)</t>
  </si>
  <si>
    <t>Two Thousand One Hundred and Fifty Only</t>
  </si>
  <si>
    <t>MATTA Penang Chapter</t>
  </si>
  <si>
    <t>Blk 98-3-11A, Prima Tanjung Business Centre</t>
  </si>
  <si>
    <t>Jalan Fettes, Bandar Tanjung Tokong</t>
  </si>
  <si>
    <t>10470 Penang</t>
  </si>
  <si>
    <t>13th May 2011</t>
  </si>
  <si>
    <t xml:space="preserve"> One Thousand and Four Hundred Only</t>
  </si>
  <si>
    <t>V2011/246</t>
  </si>
  <si>
    <t>178876</t>
  </si>
  <si>
    <t>Image Hall</t>
  </si>
  <si>
    <t>D-12-41, Marvista Resort</t>
  </si>
  <si>
    <t>No.1, Jalan Batu Ferringhi</t>
  </si>
  <si>
    <t xml:space="preserve">11100 Penang </t>
  </si>
  <si>
    <t>06/05/2011</t>
  </si>
  <si>
    <t>101</t>
  </si>
  <si>
    <t>"My Penang" Campaign</t>
  </si>
  <si>
    <t>Shophouses Panoramic Image</t>
  </si>
  <si>
    <t>Heritage Houses Panoramic Image</t>
  </si>
  <si>
    <t>Eight Thousand Only</t>
  </si>
  <si>
    <t>Molly Gau</t>
  </si>
  <si>
    <t>24th May 2011</t>
  </si>
  <si>
    <t>178892</t>
  </si>
  <si>
    <t>Advance Taken for :</t>
  </si>
  <si>
    <t>Networking Session on Surabaya &amp; Jakarta on</t>
  </si>
  <si>
    <t>31st May to 3rd June 2011</t>
  </si>
  <si>
    <t xml:space="preserve"> - Meal Allowance - RM195 x 3 days </t>
  </si>
  <si>
    <t>V2011/262</t>
  </si>
  <si>
    <t>Five Hundred and Eighty Five Only</t>
  </si>
  <si>
    <t>Memo dated 16.05.2011</t>
  </si>
  <si>
    <t xml:space="preserve">INVOICE DATE  </t>
  </si>
  <si>
    <t>Tel : 04-228 3932</t>
  </si>
  <si>
    <t xml:space="preserve">Bank           :     </t>
  </si>
  <si>
    <t>140 Lebuh Melaka</t>
  </si>
  <si>
    <t xml:space="preserve">Date            :   </t>
  </si>
  <si>
    <t xml:space="preserve">Voucher No. : </t>
  </si>
  <si>
    <t>28/05/2011</t>
  </si>
  <si>
    <t>David Hagerman Photography</t>
  </si>
  <si>
    <t>Five Hundred Only</t>
  </si>
  <si>
    <t>Impakstrat Sdn Bhd</t>
  </si>
  <si>
    <t xml:space="preserve">806, Block A, Level 8, </t>
  </si>
  <si>
    <t>Phileo Damansara</t>
  </si>
  <si>
    <t>Jalan 16/11, Off Jalan Damansara</t>
  </si>
  <si>
    <t>46350 Petaling Jaya, Selangor</t>
  </si>
  <si>
    <t>Brand Consulting Professional Fee</t>
  </si>
  <si>
    <t xml:space="preserve">Date            :     </t>
  </si>
  <si>
    <t>Areca Books</t>
  </si>
  <si>
    <t>120 Armenian Street</t>
  </si>
  <si>
    <t xml:space="preserve">10200 Penang </t>
  </si>
  <si>
    <t>Tel : 04-262 0123</t>
  </si>
  <si>
    <t>13th June 2011</t>
  </si>
  <si>
    <t>KF Sticker &amp; Label Sdn Bhd</t>
  </si>
  <si>
    <t>16, Jalan Kedidi 2</t>
  </si>
  <si>
    <t>Desaria Sungai Ara</t>
  </si>
  <si>
    <t xml:space="preserve">11900 Bayan Lepas </t>
  </si>
  <si>
    <t>Tel : 04-643 2441  Fax : 04-643 9442</t>
  </si>
  <si>
    <t>V2011/300</t>
  </si>
  <si>
    <t>178829</t>
  </si>
  <si>
    <t>Brochure &amp; Time Out Magazine</t>
  </si>
  <si>
    <t>03/06/2011</t>
  </si>
  <si>
    <t>18121</t>
  </si>
  <si>
    <t>"Penang Global Tourism" Sticker</t>
  </si>
  <si>
    <t>"With Compliments"</t>
  </si>
  <si>
    <t>Four Hundred and Six Only</t>
  </si>
  <si>
    <t>FTZ Travel &amp; Tours Sdn Bhd</t>
  </si>
  <si>
    <t>28-A, Level 3, Abu Siti Lane</t>
  </si>
  <si>
    <t xml:space="preserve">TOTAL:  RINGGIT  </t>
  </si>
  <si>
    <t>V2011/307</t>
  </si>
  <si>
    <t>178836</t>
  </si>
  <si>
    <t>Husam Waksa Sdn Bhd</t>
  </si>
  <si>
    <t>116, Taman Melati</t>
  </si>
  <si>
    <t>Jalan Tun Dr Awang</t>
  </si>
  <si>
    <t>11900 Bayan Lepas</t>
  </si>
  <si>
    <t>Tel : 04-646 6599</t>
  </si>
  <si>
    <t>Friendship Fest 2011</t>
  </si>
  <si>
    <t>FFPITCE2011</t>
  </si>
  <si>
    <t>/PGT/03062011</t>
  </si>
  <si>
    <t>Sponsorship of 250 durians to Friendship Fest's 500</t>
  </si>
  <si>
    <t>Naza Super Bikers</t>
  </si>
  <si>
    <t>Three Thousand and Six Hundred Only</t>
  </si>
  <si>
    <t>Deiwayani A/P Ramoo</t>
  </si>
  <si>
    <t>I/C : 730120-07-5504</t>
  </si>
  <si>
    <t>Lydia Efarizi Binti Ahmed Amin Khan</t>
  </si>
  <si>
    <t>I/C : 871109-07-5238</t>
  </si>
  <si>
    <t>Freedom Getaway Adventures</t>
  </si>
  <si>
    <t>56-X, Jalan Choong Lye Hock</t>
  </si>
  <si>
    <t>Albert Video Filming Electronic Service</t>
  </si>
  <si>
    <t>No.45, Reservoir Crescent</t>
  </si>
  <si>
    <t>Ayer Itam</t>
  </si>
  <si>
    <t>11500 Penang</t>
  </si>
  <si>
    <t xml:space="preserve">Tel / Fax : 04-828 3818 </t>
  </si>
  <si>
    <t>Date :</t>
  </si>
  <si>
    <t>Bank :</t>
  </si>
  <si>
    <t>JBV Consultants Pte Ltd</t>
  </si>
  <si>
    <t>02-04 The Windsor</t>
  </si>
  <si>
    <t>5 Ontario Avenue</t>
  </si>
  <si>
    <t>Singapore 576193</t>
  </si>
  <si>
    <t>V2011/362</t>
  </si>
  <si>
    <t>1st July 2011</t>
  </si>
  <si>
    <t>PGT-01/11</t>
  </si>
  <si>
    <t>06/06/2011</t>
  </si>
  <si>
    <t>Customer Clearance of brochures (June 2010)</t>
  </si>
  <si>
    <t>Customer Clearance of brochures (July 2011)</t>
  </si>
  <si>
    <t>Taxi fares expenses during "My Penang Experience)</t>
  </si>
  <si>
    <t>TT Charges</t>
  </si>
  <si>
    <t xml:space="preserve"> One Hundred Eighty One and Cents Eighty Seven Only</t>
  </si>
  <si>
    <t>Invest-in-Penang Berhad</t>
  </si>
  <si>
    <t>1,Jalan Sultan Azlan Shah</t>
  </si>
  <si>
    <t>PSDC Building, Bayan Lepas</t>
  </si>
  <si>
    <t>11900 Penang</t>
  </si>
  <si>
    <t>Tel : 04-646 8833</t>
  </si>
  <si>
    <t>Muda Paper Converting Sdn Bhd</t>
  </si>
  <si>
    <t>391 Jalan Tasek</t>
  </si>
  <si>
    <t>14120 Simpang Ampat</t>
  </si>
  <si>
    <t>Penang, Malaysia</t>
  </si>
  <si>
    <t>MATTA Melaka Chapter</t>
  </si>
  <si>
    <t>383-D, Taman Peringgit Jaya</t>
  </si>
  <si>
    <t>75400 Melaka</t>
  </si>
  <si>
    <t xml:space="preserve">Voucher No. :  </t>
  </si>
  <si>
    <t>V2011/386</t>
  </si>
  <si>
    <t>25th July 2011</t>
  </si>
  <si>
    <t>178713</t>
  </si>
  <si>
    <t>30/06/2011</t>
  </si>
  <si>
    <t>MITF024/11</t>
  </si>
  <si>
    <t>Booth for MATTA Fair Melaka</t>
  </si>
  <si>
    <t>on 29th - 31st July 2011</t>
  </si>
  <si>
    <t xml:space="preserve"> Two Thousand and Five Hundred Only</t>
  </si>
  <si>
    <t>Liong Lisa Suriana</t>
  </si>
  <si>
    <t xml:space="preserve">ABC Vacation </t>
  </si>
  <si>
    <t>Jl Indragiri</t>
  </si>
  <si>
    <t>12-16#A9 Surabaya</t>
  </si>
  <si>
    <t>60241 Indonesia</t>
  </si>
  <si>
    <t>8811590</t>
  </si>
  <si>
    <t>V2011/398</t>
  </si>
  <si>
    <t>22nd July 2011</t>
  </si>
  <si>
    <t>Transportation &amp; Networking Session</t>
  </si>
  <si>
    <t xml:space="preserve">Networking Session 2011, 31st May - 3th June </t>
  </si>
  <si>
    <t>Jakarta &amp; Surabaya</t>
  </si>
  <si>
    <t>881684</t>
  </si>
  <si>
    <t>Bumi Hotel Surabaya for 2 nights - Karen Kee</t>
  </si>
  <si>
    <t>881683</t>
  </si>
  <si>
    <t>Bumi Hotel Surabaya for 2 nights - Pantai Hospital</t>
  </si>
  <si>
    <t>Bumi Hotel Surabaya for 2 nights - Leandro</t>
  </si>
  <si>
    <t>Five Thousand Seven Hundred Fifty One And Cents Thirty Only</t>
  </si>
  <si>
    <t>178726</t>
  </si>
  <si>
    <t>Forever Travel Service Sdn Bhd</t>
  </si>
  <si>
    <t>14B, Aboo Sittee Lane</t>
  </si>
  <si>
    <t>Tel : 04- 226 6633</t>
  </si>
  <si>
    <t>Fax : 04-226 6611</t>
  </si>
  <si>
    <t>MAH-Penang Australia Sales Mission on</t>
  </si>
  <si>
    <t>24th July to 31st July 2011</t>
  </si>
  <si>
    <t>21/07/2011</t>
  </si>
  <si>
    <t>INV0046937</t>
  </si>
  <si>
    <t>Air Ticket - Kee Seok Choo</t>
  </si>
  <si>
    <t>(KL-SIN-BRISBANE/MELBOURNE-SIN-PEN)</t>
  </si>
  <si>
    <t>(BRISBANE-SYDNEY)</t>
  </si>
  <si>
    <t>(SYDNEY-MELBOURNE)</t>
  </si>
  <si>
    <t xml:space="preserve">Insurance </t>
  </si>
  <si>
    <t>Five Thousand One Hundred and Thirty One Only</t>
  </si>
  <si>
    <t>Ernst &amp; Young Tax Consultants Sdn Bhd</t>
  </si>
  <si>
    <t>16th Floor, MWE  Plaza</t>
  </si>
  <si>
    <t>No. 8 Lebh Farquhar</t>
  </si>
  <si>
    <t>10200 Penang</t>
  </si>
  <si>
    <t>6% of Service Tax</t>
  </si>
  <si>
    <t xml:space="preserve">Voucher No.:   </t>
  </si>
  <si>
    <t>Hanafiah Raslan &amp; Mohamad</t>
  </si>
  <si>
    <t>22nd Floor, MWE  Plaza</t>
  </si>
  <si>
    <t>29&amp;31, Lorong Swatow</t>
  </si>
  <si>
    <t>MICEM Sdn Bhd</t>
  </si>
  <si>
    <t>No.6, Jalan Metro Pudu 2</t>
  </si>
  <si>
    <t>Fraser Business Park, Off Jalan Yew</t>
  </si>
  <si>
    <t>55100 Kuala Lumpur</t>
  </si>
  <si>
    <t>Security Deposit (Refundable)</t>
  </si>
  <si>
    <t>Azfalyza Binti Abdul Aziz</t>
  </si>
  <si>
    <t>I/C : 830909-07-5278</t>
  </si>
  <si>
    <t>V2011/416</t>
  </si>
  <si>
    <t>Espikel Consultancy Services Sdn Bhd</t>
  </si>
  <si>
    <t>556-X,  Taman Century</t>
  </si>
  <si>
    <t>Batu Uban</t>
  </si>
  <si>
    <t xml:space="preserve">11700 Gelugor </t>
  </si>
  <si>
    <t>Tel : 04-658 0433</t>
  </si>
  <si>
    <t>10th Aug 2011</t>
  </si>
  <si>
    <t>178742</t>
  </si>
  <si>
    <t>30/12/2010</t>
  </si>
  <si>
    <t>20101000</t>
  </si>
  <si>
    <t>Preparation of Power-Point Presentation of</t>
  </si>
  <si>
    <t xml:space="preserve">"Georgetown Revisited in Year 2010" </t>
  </si>
  <si>
    <t>for WTM, London</t>
  </si>
  <si>
    <t>Consultation Fee</t>
  </si>
  <si>
    <t>Pro-Brono</t>
  </si>
  <si>
    <t>Four Hundred Only</t>
  </si>
  <si>
    <t>Edaran Otomobil Nasional Berhad</t>
  </si>
  <si>
    <t>1A Jalan Makloom</t>
  </si>
  <si>
    <t>Tel : 042812431</t>
  </si>
  <si>
    <t>Service of Car PJP 1311</t>
  </si>
  <si>
    <t>19th Aug 2011</t>
  </si>
  <si>
    <t>V2011/422</t>
  </si>
  <si>
    <t>178747</t>
  </si>
  <si>
    <t>29/07/2011</t>
  </si>
  <si>
    <t>00133</t>
  </si>
  <si>
    <t>My Penang Campaign Launching - by CM</t>
  </si>
  <si>
    <t xml:space="preserve">Air ticket for YAB Lim Guan Eng </t>
  </si>
  <si>
    <t>Hotel Accommodation for YAB Lim Guan Eng</t>
  </si>
  <si>
    <t>Room Service for YAB Lim Guan Eng</t>
  </si>
  <si>
    <t>Local Transportation (Limousine for YAB)</t>
  </si>
  <si>
    <t>Two Thousand Three Hundred Thirty and Cetns Twenty Two Only</t>
  </si>
  <si>
    <t>Suite 14.3, Level 14,</t>
  </si>
  <si>
    <t>Malaysia</t>
  </si>
  <si>
    <t>Menara IMC, 8 Jalan Sultan Ismail</t>
  </si>
  <si>
    <t>50250 Kuala Lumpur</t>
  </si>
  <si>
    <t xml:space="preserve">Khaw Juat Seng </t>
  </si>
  <si>
    <t>I/C: 670606-07-5000</t>
  </si>
  <si>
    <t>11200 Penang</t>
  </si>
  <si>
    <t>Lim Boon Kooi School Bus Service</t>
  </si>
  <si>
    <t>513-Q, Sungai Dua,</t>
  </si>
  <si>
    <t>MK 13, Penang</t>
  </si>
  <si>
    <t>Tel : 04-658 7461</t>
  </si>
  <si>
    <t>Fax : 04-657 3083</t>
  </si>
  <si>
    <t>Sponsorship - Logos Hope</t>
  </si>
  <si>
    <t>(1 bus)</t>
  </si>
  <si>
    <t>V2011/493</t>
  </si>
  <si>
    <t>Fly Firefly Sdn Bhd</t>
  </si>
  <si>
    <t>Fax : 04-261 1000</t>
  </si>
  <si>
    <t xml:space="preserve"> - Yoon Pauline</t>
  </si>
  <si>
    <t>28th Sept 2011</t>
  </si>
  <si>
    <t>Emanon Sdn Bhd</t>
  </si>
  <si>
    <t>Level 12A-H, Wisman Boon Siew</t>
  </si>
  <si>
    <t>1 Penang Road</t>
  </si>
  <si>
    <t>10000 Penang Malaysia</t>
  </si>
  <si>
    <t>V2011/500</t>
  </si>
  <si>
    <t>240622</t>
  </si>
  <si>
    <t>12/09/2011</t>
  </si>
  <si>
    <t>7068</t>
  </si>
  <si>
    <t>Ground Transportation from Jetty to Penang Hill,</t>
  </si>
  <si>
    <t>Botanical Garden, New World Park on 12/09/2011</t>
  </si>
  <si>
    <t>Botanical Garden, New World Park on 19/09/2011</t>
  </si>
  <si>
    <t>Two Thousand Only</t>
  </si>
  <si>
    <t>MarketSource Sdn Bhd</t>
  </si>
  <si>
    <t>22/09/2011</t>
  </si>
  <si>
    <t>Malaysian Tourism Promotion Board</t>
  </si>
  <si>
    <t>Suite C, 8th Floor</t>
  </si>
  <si>
    <t>No.170, Hung Tai Center</t>
  </si>
  <si>
    <t>Tun Hwa North Road</t>
  </si>
  <si>
    <t>Taipei, Taiwan R.O.C</t>
  </si>
  <si>
    <t>17th Oct 2011</t>
  </si>
  <si>
    <t>V2011/524</t>
  </si>
  <si>
    <t>Albert Yap Photography</t>
  </si>
  <si>
    <t>49, Jalan Sungai Ara Satu</t>
  </si>
  <si>
    <t>Taman Sungai Ara</t>
  </si>
  <si>
    <t>Bayan Lepas, Pulau Pinang</t>
  </si>
  <si>
    <t>26/09/2011</t>
  </si>
  <si>
    <t>INPG110926A</t>
  </si>
  <si>
    <t>Stock Photo (Wedding)</t>
  </si>
  <si>
    <t>(2 pcs x RM250)</t>
  </si>
  <si>
    <t>Stock Photo (Food &amp; Beverage)</t>
  </si>
  <si>
    <t>(4 pcs x RM300)</t>
  </si>
  <si>
    <t>V2011/525</t>
  </si>
  <si>
    <t>240646</t>
  </si>
  <si>
    <t xml:space="preserve">Connect Advertising Signcraft </t>
  </si>
  <si>
    <t>97, Lebuh Melayu</t>
  </si>
  <si>
    <t>10100 Penang</t>
  </si>
  <si>
    <t>Tel : 04-262 2932</t>
  </si>
  <si>
    <t>Tel : 04-261 9932</t>
  </si>
  <si>
    <t>05/09/2011</t>
  </si>
  <si>
    <t>1352</t>
  </si>
  <si>
    <t>To supply &amp; install 300cm x 200cm Banner</t>
  </si>
  <si>
    <t>Matta Fair Penang</t>
  </si>
  <si>
    <t>Steel Frame &amp; Transportation</t>
  </si>
  <si>
    <t>One Thousand Seven Hundred Only</t>
  </si>
  <si>
    <t>240659</t>
  </si>
  <si>
    <t>19th Oct 2011</t>
  </si>
  <si>
    <t>20th Oct 2011</t>
  </si>
  <si>
    <t>V2011/540</t>
  </si>
  <si>
    <t>8th Oct 2011</t>
  </si>
  <si>
    <t>240661</t>
  </si>
  <si>
    <t>28/09/2011</t>
  </si>
  <si>
    <t>102625</t>
  </si>
  <si>
    <t>19/10/2011</t>
  </si>
  <si>
    <t>101983</t>
  </si>
  <si>
    <t>One Hundred Eighty Five and Cents Fifty Only</t>
  </si>
  <si>
    <t>V2011/541</t>
  </si>
  <si>
    <t>240662</t>
  </si>
  <si>
    <t>China Tiger - George Town Penang</t>
  </si>
  <si>
    <t>25 China Street</t>
  </si>
  <si>
    <t xml:space="preserve">George Town </t>
  </si>
  <si>
    <t>Tel : 04-264 3580</t>
  </si>
  <si>
    <t>GTWHI - Sponsorship</t>
  </si>
  <si>
    <t>12/07/2011</t>
  </si>
  <si>
    <t>0124</t>
  </si>
  <si>
    <t>Sponsorship of accommodation for GTWHI</t>
  </si>
  <si>
    <t>(RM100 x 3 nights x 2 rooms)</t>
  </si>
  <si>
    <t>Hikayat Hikmat Sdn Bhd</t>
  </si>
  <si>
    <t>Two Hundred and Eighty Only</t>
  </si>
  <si>
    <t>V2011/543</t>
  </si>
  <si>
    <t>240664</t>
  </si>
  <si>
    <t>0141</t>
  </si>
  <si>
    <t>FR Design Florist</t>
  </si>
  <si>
    <t>No. 1686, Jalan Simpang Ampat</t>
  </si>
  <si>
    <t>Taman Simpang Ampat</t>
  </si>
  <si>
    <t>14100 Simpang Ampat</t>
  </si>
  <si>
    <t>Tel : 04-587 4754</t>
  </si>
  <si>
    <t>Wreath for the late Madam Lim Siew Chee,</t>
  </si>
  <si>
    <t>mother of Ms Daisy Ooi (Hunza Group MD)</t>
  </si>
  <si>
    <t>Image Farm Productions Sdn Bhd</t>
  </si>
  <si>
    <t>L2-12, Indoor Stadium, PISA</t>
  </si>
  <si>
    <t>11900 Relau, Penang.</t>
  </si>
  <si>
    <t xml:space="preserve">Voucher No.   : </t>
  </si>
  <si>
    <t>Date              :</t>
  </si>
  <si>
    <t>Bank             :</t>
  </si>
  <si>
    <t>V2011/550</t>
  </si>
  <si>
    <t>240671</t>
  </si>
  <si>
    <t>MGS Pg 120th Anniversary</t>
  </si>
  <si>
    <t>Methodist Girls's School Penang</t>
  </si>
  <si>
    <t>42, Jalan Anson</t>
  </si>
  <si>
    <t>Sponsorship - MGS Pg 120th Anniversary</t>
  </si>
  <si>
    <t xml:space="preserve">Placement of advertisement in Penang "Ho Liao" </t>
  </si>
  <si>
    <t xml:space="preserve">Recipe books </t>
  </si>
  <si>
    <t>Centre-spread @ RM8,000 (Colour)</t>
  </si>
  <si>
    <t>Nutmeg Sugar Coated Shred (Dry)</t>
  </si>
  <si>
    <t>Elizabeth Chong Yoke Lan</t>
  </si>
  <si>
    <t>(I/C: 670607-71-5196)</t>
  </si>
  <si>
    <t>Lim Hooi Leng</t>
  </si>
  <si>
    <t>(I/C : 691130-07-5226)</t>
  </si>
  <si>
    <t>Executive Assistant</t>
  </si>
  <si>
    <t>Reimbursement of :</t>
  </si>
  <si>
    <t>V2011/611</t>
  </si>
  <si>
    <t>8th Nov 2011</t>
  </si>
  <si>
    <t>Huei Yow Business Co. Ltd</t>
  </si>
  <si>
    <t>21F, No.98, Sec 2, Wunhua Road</t>
  </si>
  <si>
    <t>Banciao City</t>
  </si>
  <si>
    <t>Taipei County</t>
  </si>
  <si>
    <t>Taiwan (R.O.C)</t>
  </si>
  <si>
    <t>2/11/2011</t>
  </si>
  <si>
    <t xml:space="preserve">International Travel Fair (ITF) 2011 at Taipei </t>
  </si>
  <si>
    <t>on 11th -14th Nov 2011</t>
  </si>
  <si>
    <t>Exhibition Construction Fee (Booth Design)</t>
  </si>
  <si>
    <t>(USD 2,650 x 3.1620)</t>
  </si>
  <si>
    <t>Eight Thousand Three Hundred Seventy Nine and Cents Thirty Only</t>
  </si>
  <si>
    <t>V2011/619</t>
  </si>
  <si>
    <t>25th Nov 2011</t>
  </si>
  <si>
    <t>240739</t>
  </si>
  <si>
    <t>68A, Jalan Raja Uda</t>
  </si>
  <si>
    <t>Pusat Perniagaan Raja Uda</t>
  </si>
  <si>
    <t>12300 Butterworth, Penang</t>
  </si>
  <si>
    <t>Tel : 012-466 5535</t>
  </si>
  <si>
    <t>15/11/2011</t>
  </si>
  <si>
    <t>10016</t>
  </si>
  <si>
    <t>Photography of Hong Kong Tourist in support of</t>
  </si>
  <si>
    <t>Tourism Malaysia 2011-11-11 Sweet Package</t>
  </si>
  <si>
    <t>(3 couples)</t>
  </si>
  <si>
    <t>V2011/621</t>
  </si>
  <si>
    <t>240741</t>
  </si>
  <si>
    <t>18/11/2011</t>
  </si>
  <si>
    <t>MY00200095711</t>
  </si>
  <si>
    <t xml:space="preserve">Fee for professional services rendered in preparation </t>
  </si>
  <si>
    <t>and submission of your Company's Form CP204</t>
  </si>
  <si>
    <t>for the Year of Assessment 2012</t>
  </si>
  <si>
    <t>Four Hundred and Fifty Only</t>
  </si>
  <si>
    <t>240742</t>
  </si>
  <si>
    <t>Wargamas / Miss Grandma Contest 2011</t>
  </si>
  <si>
    <t>04/11/2011</t>
  </si>
  <si>
    <t>INV021111</t>
  </si>
  <si>
    <t>One Hundred Only</t>
  </si>
  <si>
    <t>V2011/624</t>
  </si>
  <si>
    <t>240744</t>
  </si>
  <si>
    <t xml:space="preserve">Lim Wei Boon </t>
  </si>
  <si>
    <t>(I/C : 910725-07-5433)</t>
  </si>
  <si>
    <t>22/11/2011</t>
  </si>
  <si>
    <t>001</t>
  </si>
  <si>
    <t xml:space="preserve">Telephone Wiring for New Office </t>
  </si>
  <si>
    <t>RM5 x 5 Lines x 50 meters</t>
  </si>
  <si>
    <t>One Thousand Two Hundred and Fifty Only</t>
  </si>
  <si>
    <t>Tau Sar Pneah (2 pcs)</t>
  </si>
  <si>
    <t>RM0.70 x 150 packs</t>
  </si>
  <si>
    <t>One Hundred and Five Only</t>
  </si>
  <si>
    <t>V2011/626</t>
  </si>
  <si>
    <t>240746</t>
  </si>
  <si>
    <t>Chee Sek Thim</t>
  </si>
  <si>
    <t>George Town Literary Festival 2011</t>
  </si>
  <si>
    <t>TTE from Cape Town</t>
  </si>
  <si>
    <t>Bernice Mary Jane Chauly</t>
  </si>
  <si>
    <t>630216-07-5279</t>
  </si>
  <si>
    <t>stipend</t>
  </si>
  <si>
    <t>Honorarium for single session</t>
  </si>
  <si>
    <t>Honorarium for double session</t>
  </si>
  <si>
    <t>Honorarium for moderator</t>
  </si>
  <si>
    <t>Honorarium for musician</t>
  </si>
  <si>
    <t>miscellaneous expenses</t>
  </si>
  <si>
    <t>cab fares to &amp; fro airports for 9 pax</t>
  </si>
  <si>
    <t>Food @ rm 50 per pax for 15 pax</t>
  </si>
  <si>
    <t>TTE domestic</t>
  </si>
  <si>
    <t>Farish from S'pore</t>
  </si>
  <si>
    <t>Shih-Li domestic</t>
  </si>
  <si>
    <t>Bernice domestic</t>
  </si>
  <si>
    <t>Sharaad domestic</t>
  </si>
  <si>
    <t>Jac domestic</t>
  </si>
  <si>
    <t>Az domestic</t>
  </si>
  <si>
    <t>Bernice domestic 2</t>
  </si>
  <si>
    <t>Five Thousand Only</t>
  </si>
  <si>
    <t>Sors Bridal</t>
  </si>
  <si>
    <t>V2011/630</t>
  </si>
  <si>
    <t>29th Nov 2011</t>
  </si>
  <si>
    <t>240750</t>
  </si>
  <si>
    <t>Mohamad Saad Bin Mohamad Rejab</t>
  </si>
  <si>
    <t xml:space="preserve">EASTERN &amp; ORIENTAL    </t>
  </si>
  <si>
    <t>7/11/2011</t>
  </si>
  <si>
    <t>07079</t>
  </si>
  <si>
    <t>World Travel Mart 2011</t>
  </si>
  <si>
    <t>Clearance of Brochures for WTM 2011</t>
  </si>
  <si>
    <t>Paid by Mohamad Saad on 7/11/2011</t>
  </si>
  <si>
    <r>
      <t>(</t>
    </r>
    <r>
      <rPr>
        <sz val="10"/>
        <rFont val="Calibri"/>
        <family val="2"/>
      </rPr>
      <t>£</t>
    </r>
    <r>
      <rPr>
        <sz val="10"/>
        <rFont val="Arial"/>
        <family val="2"/>
      </rPr>
      <t>60 x 5.0160)</t>
    </r>
  </si>
  <si>
    <t>Three Hundred and Cents Ninty Six Only</t>
  </si>
  <si>
    <t>V2011/631</t>
  </si>
  <si>
    <t>240751</t>
  </si>
  <si>
    <t>Mureli Navaratnam</t>
  </si>
  <si>
    <t>Advocates &amp; Solicitors</t>
  </si>
  <si>
    <t>Suite 1, 1st Floor 7 Weld Quay</t>
  </si>
  <si>
    <t>Tel : 04-261 8030</t>
  </si>
  <si>
    <t>Fax : 04-264 3080</t>
  </si>
  <si>
    <t>31/10/2011</t>
  </si>
  <si>
    <t>P14/11/C/YSH/YY</t>
  </si>
  <si>
    <t xml:space="preserve">Professional charges for attending meetings at </t>
  </si>
  <si>
    <t>Penang Development Corporation, taking</t>
  </si>
  <si>
    <t>instructions and rendering advice, preparing</t>
  </si>
  <si>
    <t>opinion dated 8/9/2011 and notice dated</t>
  </si>
  <si>
    <t xml:space="preserve">2/9/2011 and all other matters not specifically </t>
  </si>
  <si>
    <t>mentioned herein</t>
  </si>
  <si>
    <t>6% government service tax</t>
  </si>
  <si>
    <t>Three Thousand One Hundred and Eighty Only</t>
  </si>
  <si>
    <t>Tel: 604-264 3456  Fax : 604-264 3455</t>
  </si>
  <si>
    <t>No. 8B, (First Floor) The Whiteaways Arcade, Lebuh Pantai, 10300 Penang</t>
  </si>
  <si>
    <t>V2011/640</t>
  </si>
  <si>
    <t>240761</t>
  </si>
  <si>
    <t>A.S. Kranamm Sdn Bhd</t>
  </si>
  <si>
    <t>No.24, Jalan Phua Hin Leong</t>
  </si>
  <si>
    <t>10050 Georgetown Penang</t>
  </si>
  <si>
    <t>Tel : 04-210 5856</t>
  </si>
  <si>
    <t>Two Hundred and Fifty Only</t>
  </si>
  <si>
    <t>Cleaning Service for New Office on 2/12/2011</t>
  </si>
  <si>
    <t>6th Dec 2011</t>
  </si>
  <si>
    <t>V2011/641</t>
  </si>
  <si>
    <t>240762</t>
  </si>
  <si>
    <t xml:space="preserve">Campbell House </t>
  </si>
  <si>
    <t>106 Lebuh Campbell</t>
  </si>
  <si>
    <t>10100 Georgetown</t>
  </si>
  <si>
    <t>Tel : 04-261 8290</t>
  </si>
  <si>
    <t>Fax : 04-261 8360</t>
  </si>
  <si>
    <t>Georgetown Literary Festival 2011</t>
  </si>
  <si>
    <t>23/11/2011</t>
  </si>
  <si>
    <t>Accommodation for :-</t>
  </si>
  <si>
    <t>Farish Noor</t>
  </si>
  <si>
    <t xml:space="preserve">M.H. Salleh </t>
  </si>
  <si>
    <t>Iskandar Al Bakri</t>
  </si>
  <si>
    <t>Tan Toan Eng</t>
  </si>
  <si>
    <t>Shih Liu</t>
  </si>
  <si>
    <t>Three Thousand Nine Hundred and Sixty Only</t>
  </si>
  <si>
    <t>Goodies bags - USM Rivers 2011)</t>
  </si>
  <si>
    <t>28/11/2011</t>
  </si>
  <si>
    <t>M2150</t>
  </si>
  <si>
    <t>V2011/644</t>
  </si>
  <si>
    <t>240765</t>
  </si>
  <si>
    <t>Lim Kok Peng</t>
  </si>
  <si>
    <t>(I/C : 660730-07-5375)</t>
  </si>
  <si>
    <t>11600 Penang</t>
  </si>
  <si>
    <t>88-4-16, Jalan Tan Sri Teh Ewe Lim</t>
  </si>
  <si>
    <t>Miss Tourism International 2011</t>
  </si>
  <si>
    <t>Hand made fabric bags for Miss Tourism</t>
  </si>
  <si>
    <t>(56 bags @ RM53)</t>
  </si>
  <si>
    <t>Two Thousand Nine Hundred and Sixty Eight Only</t>
  </si>
  <si>
    <t>25/11/2011</t>
  </si>
  <si>
    <t>Raja Muda Selangor International Regata 2011</t>
  </si>
  <si>
    <t>Vintage Charm Sdn Bhd</t>
  </si>
  <si>
    <t>Persatuan Chingay Pulau Pinang</t>
  </si>
  <si>
    <t>191 Magazine Road</t>
  </si>
  <si>
    <t>V2011/646</t>
  </si>
  <si>
    <t>240767</t>
  </si>
  <si>
    <t>99</t>
  </si>
  <si>
    <t>Performance at Straits Quay</t>
  </si>
  <si>
    <t>One Thousand and Five Hundred Only</t>
  </si>
  <si>
    <t>14th Dec 2011</t>
  </si>
  <si>
    <t>One Hundred and Twenty Only</t>
  </si>
  <si>
    <t>Koay Beng Hong</t>
  </si>
  <si>
    <t>I/C : 610815-07-5395</t>
  </si>
  <si>
    <t>Kaki Creation</t>
  </si>
  <si>
    <t>V2011/654</t>
  </si>
  <si>
    <t>240778</t>
  </si>
  <si>
    <t>V2011/656</t>
  </si>
  <si>
    <t>240780</t>
  </si>
  <si>
    <t>Muntri Mews</t>
  </si>
  <si>
    <t>77,Muntri Street</t>
  </si>
  <si>
    <t>10200 Georgetown</t>
  </si>
  <si>
    <t>1/12/2011</t>
  </si>
  <si>
    <t>MM0038 (Amended)</t>
  </si>
  <si>
    <t>Accommodation for :</t>
  </si>
  <si>
    <t xml:space="preserve"> - Jaqueline Ann Surin (moderator)</t>
  </si>
  <si>
    <t xml:space="preserve"> - Az Bin Abd Samad (musician)</t>
  </si>
  <si>
    <t xml:space="preserve"> - George Sharaad (moderator)</t>
  </si>
  <si>
    <t>One Thousand Four Hundred Twenty Four and Cents Twenty Five Only</t>
  </si>
  <si>
    <t>Diamond Lotus Sdn Bhd</t>
  </si>
  <si>
    <t>15th Dec 2011</t>
  </si>
  <si>
    <t>Bamboo Catering (M) Sdn Bhd</t>
  </si>
  <si>
    <t>808M, Jalan Kampung Relau</t>
  </si>
  <si>
    <t>Bayan Lepas</t>
  </si>
  <si>
    <t>V2011/673</t>
  </si>
  <si>
    <t>240797</t>
  </si>
  <si>
    <t>(I/C : 630216-07-5279)</t>
  </si>
  <si>
    <t>GTLF2011/003</t>
  </si>
  <si>
    <t>Stipend for producer - Chee Sek Thim</t>
  </si>
  <si>
    <t>V2011/674</t>
  </si>
  <si>
    <t>240798</t>
  </si>
  <si>
    <t>Crown Worldwide Movers Sdn Bhd</t>
  </si>
  <si>
    <t>Plot 88 (B), Lintang Bayan Lepas</t>
  </si>
  <si>
    <t>Phase 4, Bayan Lepas Industrial Park</t>
  </si>
  <si>
    <t>Tel : 04-645 1166</t>
  </si>
  <si>
    <t>Fax : 04-645 2296</t>
  </si>
  <si>
    <t>7/12/2011</t>
  </si>
  <si>
    <t>514102-000513</t>
  </si>
  <si>
    <t xml:space="preserve">Office relocation </t>
  </si>
  <si>
    <t xml:space="preserve"> - from Bangunan Tun Dr Lim Chong Eu to </t>
  </si>
  <si>
    <t xml:space="preserve">   The Whiteaways Arcade</t>
  </si>
  <si>
    <t>19th Dec 2011</t>
  </si>
  <si>
    <t>16/12/2011</t>
  </si>
  <si>
    <t>Continental Paper &amp; Stationery</t>
  </si>
  <si>
    <t>24, Church Street</t>
  </si>
  <si>
    <t>Tel / Fax :  04-261 3769</t>
  </si>
  <si>
    <t>V2011/681</t>
  </si>
  <si>
    <t>240807</t>
  </si>
  <si>
    <t>New Year Eve Countdown Heritage Ride</t>
  </si>
  <si>
    <t>15/12/2011</t>
  </si>
  <si>
    <t>Rubber Stamp for Rainbow Bikers</t>
  </si>
  <si>
    <t>21836</t>
  </si>
  <si>
    <t>(RM8.50 x 5 pcs)</t>
  </si>
  <si>
    <t>19105</t>
  </si>
  <si>
    <t xml:space="preserve">Rubber stamp - Received &amp; Time </t>
  </si>
  <si>
    <t>(RM45 x 3)</t>
  </si>
  <si>
    <t>21835</t>
  </si>
  <si>
    <t>Rubber stamp - PGT New address &amp; Round chop</t>
  </si>
  <si>
    <t>(RM8.50 x 4 pcs)</t>
  </si>
  <si>
    <t>Two Hundred Eleven and Cents Fifty Only</t>
  </si>
  <si>
    <t>DSOP Office System &amp; Supplies Sdn Bhd</t>
  </si>
  <si>
    <t>No.6 &amp; 6A, Weld Quay</t>
  </si>
  <si>
    <t>Tel : 04-261 8344</t>
  </si>
  <si>
    <t>Melissa Flower House</t>
  </si>
  <si>
    <t>16, Tingkat Ciku 1, Taman Ciku</t>
  </si>
  <si>
    <t>14000 Bukit Mertajam</t>
  </si>
  <si>
    <t>Tel : 04-530 3305</t>
  </si>
  <si>
    <t>30/11/2011</t>
  </si>
  <si>
    <t>1445</t>
  </si>
  <si>
    <t>Flower &amp; Fruit Basket for Puan Suzana</t>
  </si>
  <si>
    <t>(Hospital KPJ)</t>
  </si>
  <si>
    <t>Bon Ton Sdn Bhd</t>
  </si>
  <si>
    <t>86/86A, 89/95 Armenian Street</t>
  </si>
  <si>
    <t>Georgetown 10200 Penang</t>
  </si>
  <si>
    <t>Fuji Xerox Asia Pacific Pte Ltd</t>
  </si>
  <si>
    <t>Wisma Fuji Xerox</t>
  </si>
  <si>
    <t>No.10, Jalan Bersatu 13/4</t>
  </si>
  <si>
    <t>46200 Petaling Jaya</t>
  </si>
  <si>
    <t>Tel : 03-7882 2888</t>
  </si>
  <si>
    <t>Fax : 03-7882 2984</t>
  </si>
  <si>
    <t xml:space="preserve"> - No. 8B (Penang Global Tourism Sdn Bhd)</t>
  </si>
  <si>
    <t>Design Ark Sdn Bhd</t>
  </si>
  <si>
    <t>108 Melaka Street</t>
  </si>
  <si>
    <t>Tel : 04-229 2600</t>
  </si>
  <si>
    <t>Fax : 04-228 9108</t>
  </si>
  <si>
    <t>Koay Song Lin</t>
  </si>
  <si>
    <t>I/C : 900802-07-5068</t>
  </si>
  <si>
    <t>Memo dated 06.01.2012</t>
  </si>
  <si>
    <t>period from 9 Jan 2012 - 17 Mar 2012</t>
  </si>
  <si>
    <t xml:space="preserve">Trainee Allowance for the month of : </t>
  </si>
  <si>
    <t>Lee Wai Keong</t>
  </si>
  <si>
    <t>I/C : 920211-08-5297</t>
  </si>
  <si>
    <t>Malaysia Convention &amp; Exhibition Bureau</t>
  </si>
  <si>
    <t>Arkitek LLA Sdn Bhd</t>
  </si>
  <si>
    <t>22, Gerbang Midlands</t>
  </si>
  <si>
    <t>10250 Penang</t>
  </si>
  <si>
    <t>Tel : 04-227 0076</t>
  </si>
  <si>
    <t>Fax : 04-228 8246</t>
  </si>
  <si>
    <t>Aun Cars Spraying Centre</t>
  </si>
  <si>
    <t>53, Free School Road</t>
  </si>
  <si>
    <t>Tel : 04-281 3006</t>
  </si>
  <si>
    <t>Fax : 04-283 86023</t>
  </si>
  <si>
    <t>Tel : 04-2611199</t>
  </si>
  <si>
    <t>Devi A/P Kullathan</t>
  </si>
  <si>
    <t>(I/C : 690320-07-5572)</t>
  </si>
  <si>
    <t>Clearning Services</t>
  </si>
  <si>
    <t>6th Mar 2012</t>
  </si>
  <si>
    <t>V2012/164</t>
  </si>
  <si>
    <t>308103</t>
  </si>
  <si>
    <t>Transportation</t>
  </si>
  <si>
    <t>Contigency</t>
  </si>
  <si>
    <t>V2012/174</t>
  </si>
  <si>
    <t>15th Mar 2012</t>
  </si>
  <si>
    <t>308105</t>
  </si>
  <si>
    <t>One Hundred Ninety One and Cents Ninety Only</t>
  </si>
  <si>
    <t>1st March - 17th Mar 2012</t>
  </si>
  <si>
    <t>V2012/175</t>
  </si>
  <si>
    <t>308106</t>
  </si>
  <si>
    <t>V2012/179</t>
  </si>
  <si>
    <t>308110</t>
  </si>
  <si>
    <t>Last FriSatSun for the Month - Feb</t>
  </si>
  <si>
    <t>27/02/2012</t>
  </si>
  <si>
    <t>20006</t>
  </si>
  <si>
    <t xml:space="preserve">Rental of basic sound system &amp; 4 mic </t>
  </si>
  <si>
    <t>20th Mar 2012</t>
  </si>
  <si>
    <t>V2012/206</t>
  </si>
  <si>
    <t>308139</t>
  </si>
  <si>
    <t>Tourism Malaysia Australia and Malaysia Airlines</t>
  </si>
  <si>
    <t xml:space="preserve"> - 4th Buyers Meet Sellers Conference Post Tours to</t>
  </si>
  <si>
    <t xml:space="preserve"> Penang on 26th March 2012.</t>
  </si>
  <si>
    <t>memo dated 14.03.2012</t>
  </si>
  <si>
    <t>Trishaw Ride for hours</t>
  </si>
  <si>
    <t>(7 trishaw @ RM60)</t>
  </si>
  <si>
    <t>Four Hundred and Twenty Only</t>
  </si>
  <si>
    <t xml:space="preserve">Komunikatin Solution </t>
  </si>
  <si>
    <t>Maverick Media Productions</t>
  </si>
  <si>
    <t>No.36, Taylor Road</t>
  </si>
  <si>
    <t>Tel : 04-899 8298</t>
  </si>
  <si>
    <t>Fax : 04-899 1791</t>
  </si>
  <si>
    <t>3th Apr 2012</t>
  </si>
  <si>
    <t>Agensi Pengembaraan Asari Murni Sdn Bhd</t>
  </si>
  <si>
    <t>32A, Tingkat 1, Jalan Perda Barat</t>
  </si>
  <si>
    <t>Bandar Perda 14000 BM</t>
  </si>
  <si>
    <t>Tel : 04-540 2929</t>
  </si>
  <si>
    <t>Fax : 04-540 2927</t>
  </si>
  <si>
    <t>Avant Garde Grafik</t>
  </si>
  <si>
    <t>65, Anson Road</t>
  </si>
  <si>
    <t xml:space="preserve">10400 Penang </t>
  </si>
  <si>
    <t>Tel / Fax : 04-226 8401</t>
  </si>
  <si>
    <t>Eastern &amp; Oriental Hotel Sdn Bhd</t>
  </si>
  <si>
    <t>10 Lebuh Farquhar</t>
  </si>
  <si>
    <t>Tel : 04-222 2000</t>
  </si>
  <si>
    <t>World Press Photo 11</t>
  </si>
  <si>
    <t>11/03/2012</t>
  </si>
  <si>
    <t>Proforma Inv</t>
  </si>
  <si>
    <t>Cocktail Menu at RM81.20 nett x 130 pax</t>
  </si>
  <si>
    <t>Staff Meal RM20.88 nett x 20 pax</t>
  </si>
  <si>
    <t>Outside Catering Charges</t>
  </si>
  <si>
    <t xml:space="preserve">Free Flow Red &amp; White Wine and Beer </t>
  </si>
  <si>
    <t>RM81.20 x 90 pax</t>
  </si>
  <si>
    <t>(To be reimbursed from TNT)</t>
  </si>
  <si>
    <t>Nineteen Thousand Two Hundred Eighty One and Cents Sixty Only</t>
  </si>
  <si>
    <t>Heng Mooi Sdn Bhd</t>
  </si>
  <si>
    <t xml:space="preserve">227, Jalan Burma </t>
  </si>
  <si>
    <t>Lok jun Yan</t>
  </si>
  <si>
    <t>I/C : 890607-07-5445</t>
  </si>
  <si>
    <t>Tourism Malaysia Paris Fam Trip on 11th - 13th Mar 2012</t>
  </si>
  <si>
    <t>13/03/2012</t>
  </si>
  <si>
    <t>F01312</t>
  </si>
  <si>
    <t>Georgetown Heritage Walk on 11/03/2012</t>
  </si>
  <si>
    <t>Georgetown Trishaw Ride on 12/03/2012</t>
  </si>
  <si>
    <t>Four Hundred and Sixty Only</t>
  </si>
  <si>
    <t>(French Speak Tour Guide)</t>
  </si>
  <si>
    <t>V2012/286</t>
  </si>
  <si>
    <t>361160</t>
  </si>
  <si>
    <t>V2012/295</t>
  </si>
  <si>
    <t>10th April 2012</t>
  </si>
  <si>
    <t>361168</t>
  </si>
  <si>
    <t>27/03/2012</t>
  </si>
  <si>
    <t>Bukit Jambul Hotel Development Sdn Bhd</t>
  </si>
  <si>
    <t>No.1, Jalan Bukit Jambul</t>
  </si>
  <si>
    <t xml:space="preserve">Penang </t>
  </si>
  <si>
    <t>Tel : 04-6327108</t>
  </si>
  <si>
    <t xml:space="preserve">TM Philippines - Agent &amp; Media Fam Trip on </t>
  </si>
  <si>
    <t>25th - 27th March 2012</t>
  </si>
  <si>
    <t>V2012/302</t>
  </si>
  <si>
    <t>361175</t>
  </si>
  <si>
    <t>Champsurf Sdn Bhd</t>
  </si>
  <si>
    <t>527, Jalan Tanjung Bunga</t>
  </si>
  <si>
    <t>Tel : 04-899 9999</t>
  </si>
  <si>
    <t>B2B Session on 27/03/2012</t>
  </si>
  <si>
    <t xml:space="preserve"> - Morning Break (RM45 x 60pax)</t>
  </si>
  <si>
    <t xml:space="preserve"> - Buffet Lunch (RM15 x 12 pax)</t>
  </si>
  <si>
    <t>Two Thousand Eight Hundred and Eighty Only</t>
  </si>
  <si>
    <t>Borneo Vision Sdn Bhd</t>
  </si>
  <si>
    <t>7th Floor, Tower Block</t>
  </si>
  <si>
    <t>Syed Kechik Foundation Building</t>
  </si>
  <si>
    <t>Jalan Kapas, Bangsar</t>
  </si>
  <si>
    <t>59100 Kuala Lumpur</t>
  </si>
  <si>
    <t>Penang International - The Expat Group</t>
  </si>
  <si>
    <t xml:space="preserve">Advertisement Inserted in Penang International </t>
  </si>
  <si>
    <t xml:space="preserve">6% Gov Tax </t>
  </si>
  <si>
    <t>Two Thousand One Hundred and Twenty Only</t>
  </si>
  <si>
    <t>CIMB Bank Berhad</t>
  </si>
  <si>
    <t>Bayan Baru Branch</t>
  </si>
  <si>
    <t>Jalan Mahsuri</t>
  </si>
  <si>
    <t>11950 Bayan Lepas, Penang</t>
  </si>
  <si>
    <t>26th April 2012</t>
  </si>
  <si>
    <t>V2012/328</t>
  </si>
  <si>
    <t>361200</t>
  </si>
  <si>
    <t>Malaysia Tourism Promotion Board</t>
  </si>
  <si>
    <t>Level 9, No.2, Tower 1, Jalan P 5/6</t>
  </si>
  <si>
    <t>62200 Putrajaya</t>
  </si>
  <si>
    <t>Tel : 03-8891 8000</t>
  </si>
  <si>
    <t>Fax : 03-8891 8999</t>
  </si>
  <si>
    <t>Euromeet Travel Mart 2012 on 18th May 2012</t>
  </si>
  <si>
    <t>Registration Fee for 2 participants</t>
  </si>
  <si>
    <t>Ewe Teik Siang</t>
  </si>
  <si>
    <t>(I/C : 720226-07-5087)</t>
  </si>
  <si>
    <t>Kumpulan Wang Simpanan Pekerja</t>
  </si>
  <si>
    <t>PGT</t>
  </si>
  <si>
    <t xml:space="preserve"> - Employer's portion</t>
  </si>
  <si>
    <t xml:space="preserve"> - Employee's portion</t>
  </si>
  <si>
    <t>Ketua Pengarah Hasil Dalam Negeri</t>
  </si>
  <si>
    <t>17/04/2012</t>
  </si>
  <si>
    <t>001/04/2012</t>
  </si>
  <si>
    <t>Printing x 20,000pcs @ RM0.224</t>
  </si>
  <si>
    <t xml:space="preserve">Information updates, layout design &amp; </t>
  </si>
  <si>
    <t>handling fee</t>
  </si>
  <si>
    <t>Four Thousand Seven Hundred and Eighty Only</t>
  </si>
  <si>
    <t>Corporatenet Sdn Bhd</t>
  </si>
  <si>
    <t>Jalan Sultan Ahmad Shah</t>
  </si>
  <si>
    <t>Tel : 04-210 8833</t>
  </si>
  <si>
    <t>Fax : 04-210 8831</t>
  </si>
  <si>
    <t>Five Thousand Eight Hundred and Ninety One Only</t>
  </si>
  <si>
    <t>Tel : 604 - 264 3456  Fax : 604 - 264 3455</t>
  </si>
  <si>
    <t>30th April 2012</t>
  </si>
  <si>
    <t>Level 13, Wisma Tun Sambanthan</t>
  </si>
  <si>
    <t>Jalan Sultan Sulaiman</t>
  </si>
  <si>
    <t>50000 KL</t>
  </si>
  <si>
    <t>Car Par Space for PJP 1311</t>
  </si>
  <si>
    <t>V2012/365</t>
  </si>
  <si>
    <t>361236</t>
  </si>
  <si>
    <t>Goh Hock Hoe</t>
  </si>
  <si>
    <t xml:space="preserve">Accounting Fee </t>
  </si>
  <si>
    <t xml:space="preserve">Honorarium for accounting work </t>
  </si>
  <si>
    <t>from Nov 2011 - Mar 2012</t>
  </si>
  <si>
    <t>RM300 x 5 months</t>
  </si>
  <si>
    <t xml:space="preserve"> - No. 10A (Penang Global Tourism Sdn Bhd)</t>
  </si>
  <si>
    <t xml:space="preserve"> - No. 12A (Penang Global Tourism Sdn Bhd)</t>
  </si>
  <si>
    <t>Ching Xing Sports Cultural Centre</t>
  </si>
  <si>
    <t>No.3-Q, Jalan Semarak Api, Bandar Baru</t>
  </si>
  <si>
    <t>Ayer Itam (Farlim) 11500 Penang</t>
  </si>
  <si>
    <t>Tel / Fax : 0-829 1461</t>
  </si>
  <si>
    <t>Two Hundred Only</t>
  </si>
  <si>
    <t xml:space="preserve">Business License for TIC </t>
  </si>
  <si>
    <t>Lesen Tred, Perniagaan &amp; Perindustrian (Kedai Cenderahati)</t>
  </si>
  <si>
    <t>Annual License Fee</t>
  </si>
  <si>
    <t>One Hundred and Eighty Only</t>
  </si>
  <si>
    <t>Bahagian Pelesenan</t>
  </si>
  <si>
    <t>Kompleks MPPP, Tempat Letak Kereta</t>
  </si>
  <si>
    <t>10300 Lebuh Pantai, Penang</t>
  </si>
  <si>
    <t>Marketing Solutions Media &amp; Publishing Sdn Bhd</t>
  </si>
  <si>
    <t>No.12, Jalan Solok Lembah Permai</t>
  </si>
  <si>
    <t xml:space="preserve">Tanjung Bungah </t>
  </si>
  <si>
    <t>Advertisement - What's On Penang ?</t>
  </si>
  <si>
    <t>9/05/2012</t>
  </si>
  <si>
    <t>201206002</t>
  </si>
  <si>
    <t>1 Full page ROP in June</t>
  </si>
  <si>
    <t>6% GST</t>
  </si>
  <si>
    <t>Goh Chen Yee</t>
  </si>
  <si>
    <t>(I/C : 910219-07-5668)</t>
  </si>
  <si>
    <t>Coordinator</t>
  </si>
  <si>
    <t>Statement of Claim</t>
  </si>
  <si>
    <t>Asia Garden Sdn Bhd</t>
  </si>
  <si>
    <t>72, Batu Ferringhi</t>
  </si>
  <si>
    <t>11100 Penang</t>
  </si>
  <si>
    <t>Koay Poy Teik</t>
  </si>
  <si>
    <t>I/C : 560609-07-5375</t>
  </si>
  <si>
    <t>Loh Yin Suet</t>
  </si>
  <si>
    <t>I/C : 530223-07-5420</t>
  </si>
  <si>
    <t>30th May 2012</t>
  </si>
  <si>
    <t>V2012/464</t>
  </si>
  <si>
    <t>361331</t>
  </si>
  <si>
    <t>Ilham Intelek Sdn Bhd</t>
  </si>
  <si>
    <t>D'Dapor Express</t>
  </si>
  <si>
    <t xml:space="preserve">No.7 Union Street </t>
  </si>
  <si>
    <t>Tel : 04-262 9323</t>
  </si>
  <si>
    <t>23/05/2012</t>
  </si>
  <si>
    <t>00001PGT</t>
  </si>
  <si>
    <t xml:space="preserve">Star Cruise Libra Media &amp; Agent FAM Trip </t>
  </si>
  <si>
    <t>Lunch Hosting on 23/05/2012</t>
  </si>
  <si>
    <t>ET Technic Sdn Bhd</t>
  </si>
  <si>
    <t>26, Nagore Road</t>
  </si>
  <si>
    <t>10050 Georgetown</t>
  </si>
  <si>
    <t>Tel : 04-228 0504</t>
  </si>
  <si>
    <t>01/06/2012</t>
  </si>
  <si>
    <t>7th June 2012</t>
  </si>
  <si>
    <t>V2012/505</t>
  </si>
  <si>
    <t>361372</t>
  </si>
  <si>
    <t>FIH Enterprise</t>
  </si>
  <si>
    <t>812K, MK13, Sungai Nibong Kecil</t>
  </si>
  <si>
    <t>Tel : 04-643 2717</t>
  </si>
  <si>
    <t>31/05/2012</t>
  </si>
  <si>
    <t>10060</t>
  </si>
  <si>
    <t>Penang-London World Tour for Children on 31/05/2012</t>
  </si>
  <si>
    <t xml:space="preserve">Breakfast / Refreshment &amp; Other Facilities </t>
  </si>
  <si>
    <t>Nine Hundred Thirty Two and Cents Fifty Only</t>
  </si>
  <si>
    <t>V2012/508</t>
  </si>
  <si>
    <t>361375</t>
  </si>
  <si>
    <t>Mapics Consultancy Sdn Bhd</t>
  </si>
  <si>
    <t>YMCA Building</t>
  </si>
  <si>
    <t xml:space="preserve">211, Jalan macalister </t>
  </si>
  <si>
    <t>10450 Penang</t>
  </si>
  <si>
    <t>Tel : 04-227 3489</t>
  </si>
  <si>
    <t>S476-12</t>
  </si>
  <si>
    <t>Short Courses for staffs (Communicationg to Success)</t>
  </si>
  <si>
    <t xml:space="preserve"> - Sim Kok Jiun</t>
  </si>
  <si>
    <t xml:space="preserve"> - Ng Chun How</t>
  </si>
  <si>
    <t>One Thousand Seven Hundred and Sixty Four Only</t>
  </si>
  <si>
    <t>Cahaya Utara Sdn Bhd</t>
  </si>
  <si>
    <t>(Cititel Penang)</t>
  </si>
  <si>
    <t>66 Penang Road</t>
  </si>
  <si>
    <t>10000 Penang</t>
  </si>
  <si>
    <t xml:space="preserve">Cheque No.  :   </t>
  </si>
  <si>
    <t>11th June 2012</t>
  </si>
  <si>
    <t>V2012/520</t>
  </si>
  <si>
    <t>361384</t>
  </si>
  <si>
    <t>PR/771/2012/HL</t>
  </si>
  <si>
    <t>dated 07.06.2012</t>
  </si>
  <si>
    <t xml:space="preserve"> - Air Outlets Assy CTR</t>
  </si>
  <si>
    <t xml:space="preserve"> - Brake Pad Rear Gen 2</t>
  </si>
  <si>
    <t xml:space="preserve"> - Brake Fluid Dot 4</t>
  </si>
  <si>
    <t xml:space="preserve"> - Workshop Supplies</t>
  </si>
  <si>
    <t>Labour &amp; 6% Service Tax</t>
  </si>
  <si>
    <t>Four Hundred and Fifty Four Only</t>
  </si>
  <si>
    <t>V2012/529</t>
  </si>
  <si>
    <t>361393</t>
  </si>
  <si>
    <t>Matta Fair Penang 6th July - 8th July 2012</t>
  </si>
  <si>
    <t>2054</t>
  </si>
  <si>
    <t>04/04/2012</t>
  </si>
  <si>
    <t>Rental of Booth (Shell Scheme)</t>
  </si>
  <si>
    <t>Emsoft Trading</t>
  </si>
  <si>
    <t>75-17-23, Jalan Penawar 1</t>
  </si>
  <si>
    <t>Sri Wangsa 1</t>
  </si>
  <si>
    <t>Tel : 012-577 3330</t>
  </si>
  <si>
    <t>No.8B (First Floor) The Whiteaways Arcade, Lebuh Pantai, 10300 Penang</t>
  </si>
  <si>
    <t>6th June 2012</t>
  </si>
  <si>
    <t>V2012/517</t>
  </si>
  <si>
    <t xml:space="preserve">Hong Kong Convention And Exhibition Centre </t>
  </si>
  <si>
    <t>(Management) Ltd</t>
  </si>
  <si>
    <t>ITE &amp; MICE Hong Kong 2012</t>
  </si>
  <si>
    <t>30/05/2012</t>
  </si>
  <si>
    <t>INV 210855</t>
  </si>
  <si>
    <t>Cocktail on 14/06/2012</t>
  </si>
  <si>
    <t>Soft Drink, Chilled Juice &amp; Local Beer</t>
  </si>
  <si>
    <t>(20 pax @ HKD100)</t>
  </si>
  <si>
    <t>10% Service Charges</t>
  </si>
  <si>
    <t>Four Thousand Six Hundred Sixty Five and Cents Forty Only</t>
  </si>
  <si>
    <t>29th June 2012</t>
  </si>
  <si>
    <t>V2012/542</t>
  </si>
  <si>
    <t>361405</t>
  </si>
  <si>
    <t>Asia Ontime (M) Sdn Bhd</t>
  </si>
  <si>
    <t>9-1, Level 9, Tower 9, Avenue 5</t>
  </si>
  <si>
    <t>Bangsar South</t>
  </si>
  <si>
    <t xml:space="preserve">8,Jalan Keinchi </t>
  </si>
  <si>
    <t>59200 KL</t>
  </si>
  <si>
    <t>4th July 2012</t>
  </si>
  <si>
    <t>V2012/583</t>
  </si>
  <si>
    <t>361446</t>
  </si>
  <si>
    <t>20/06/2012</t>
  </si>
  <si>
    <t>7017</t>
  </si>
  <si>
    <t>Street Signboard at Armenian Street</t>
  </si>
  <si>
    <t>To print poster with G.I Sheet Inl Installation</t>
  </si>
  <si>
    <t>Size : 36" x 48"</t>
  </si>
  <si>
    <t>To print Round Poster</t>
  </si>
  <si>
    <t>(3pcs @ RM200 each)</t>
  </si>
  <si>
    <t>(3pcs @ RM60 each)</t>
  </si>
  <si>
    <t>22/06/2012</t>
  </si>
  <si>
    <t>7018</t>
  </si>
  <si>
    <t xml:space="preserve">To install &amp; remove sticker for Bus Wrap on left, </t>
  </si>
  <si>
    <t>right and rear side only</t>
  </si>
  <si>
    <t>To print removable sticker for bus wrap</t>
  </si>
  <si>
    <t>Four Thousand Six Hundred and Eighty Only</t>
  </si>
  <si>
    <t>Sticker for CAT Bus</t>
  </si>
  <si>
    <t>16th Floor, MWE Plaza</t>
  </si>
  <si>
    <t>No. 8 Lebuh Farquhar</t>
  </si>
  <si>
    <t>Tel : 04-264 1878</t>
  </si>
  <si>
    <t>Tel : 04-227 2515</t>
  </si>
  <si>
    <t>V2012/590</t>
  </si>
  <si>
    <t>411105</t>
  </si>
  <si>
    <t>Moonlight Media &amp; Design Sdn Bhd</t>
  </si>
  <si>
    <t>41, Bangkok Lane</t>
  </si>
  <si>
    <t xml:space="preserve">Tel : 04-210 2886 </t>
  </si>
  <si>
    <t>Fax : 04-210 2885</t>
  </si>
  <si>
    <t xml:space="preserve">Trade Show Brochure </t>
  </si>
  <si>
    <t>28/06/2012</t>
  </si>
  <si>
    <t>INV2019</t>
  </si>
  <si>
    <t xml:space="preserve">Four Set (USPs) or 1 concise version of the </t>
  </si>
  <si>
    <t>trade brochure -  50% upfront of Total RM7,500</t>
  </si>
  <si>
    <t xml:space="preserve"> - Design, Concept &amp; Creation</t>
  </si>
  <si>
    <t xml:space="preserve"> - Finished Artwork</t>
  </si>
  <si>
    <t xml:space="preserve"> - Research &amp; Copy</t>
  </si>
  <si>
    <t>Three Thousand Seven Hundred and Fifty Only</t>
  </si>
  <si>
    <t>17th July 2012</t>
  </si>
  <si>
    <t>V2012/595</t>
  </si>
  <si>
    <t>411109</t>
  </si>
  <si>
    <t>365 Andaman Dregree Tourism Malaysia (Southern Thailand)</t>
  </si>
  <si>
    <t>Phuket Media FAM Trip on 19th - 22th July 2012</t>
  </si>
  <si>
    <t xml:space="preserve"> dated 29.06.2012</t>
  </si>
  <si>
    <t xml:space="preserve"> - Dinner on 19/06/2012</t>
  </si>
  <si>
    <t xml:space="preserve"> - Lunch on 20/06/2012</t>
  </si>
  <si>
    <t xml:space="preserve"> - Taxi Fare on 20/06/2012</t>
  </si>
  <si>
    <t xml:space="preserve"> - Lunch on 22/06/2012</t>
  </si>
  <si>
    <t xml:space="preserve"> - Taxi Fare on 22/06/2012</t>
  </si>
  <si>
    <t>Two Hundred Fourteen and Cents Thirty Only</t>
  </si>
  <si>
    <t>Delta Business Solution Sdn Bhd</t>
  </si>
  <si>
    <t>78-80, Lebuh Bishop</t>
  </si>
  <si>
    <t>Tel : 04-262 2600</t>
  </si>
  <si>
    <t>Fax : 04-261 7275</t>
  </si>
  <si>
    <t>Toner for Fax Machine (M205 Fw)</t>
  </si>
  <si>
    <t>Service Tax 6%</t>
  </si>
  <si>
    <t>Chung Beng Enterprise</t>
  </si>
  <si>
    <t>4D-7-6, Lorong Semarak Api Satu</t>
  </si>
  <si>
    <t>Ayer Itam 11500 Penang</t>
  </si>
  <si>
    <t>Tel : 04-8291854</t>
  </si>
  <si>
    <t>Hong Guan Sports Gymnasium</t>
  </si>
  <si>
    <t xml:space="preserve">18-C Jalan Munshi Abdullah </t>
  </si>
  <si>
    <t>Tourist Guide &amp; Translation Services</t>
  </si>
  <si>
    <t>8-T, Jalan Osman bin Abdul Rahmah</t>
  </si>
  <si>
    <t>11200 Tanjung Bungah Penang</t>
  </si>
  <si>
    <t>Tel : 016-417 5258</t>
  </si>
  <si>
    <t>Lau Jian Pyng</t>
  </si>
  <si>
    <t>Sekeping Victoria</t>
  </si>
  <si>
    <t>Professional fees</t>
  </si>
  <si>
    <t>Disbursement :</t>
  </si>
  <si>
    <t xml:space="preserve"> - Tel &amp; Fax charges</t>
  </si>
  <si>
    <t xml:space="preserve"> - Printing &amp; Stationeries</t>
  </si>
  <si>
    <t xml:space="preserve"> - Travelling Expenses</t>
  </si>
  <si>
    <t>G Maker Advertising</t>
  </si>
  <si>
    <t>70A, Jalan Tembikai</t>
  </si>
  <si>
    <t>Taman Mutiara</t>
  </si>
  <si>
    <t>Malihom Sdn Bhd</t>
  </si>
  <si>
    <t>MCSB System (PG) Sdn Bhd</t>
  </si>
  <si>
    <t>Suite 4.01, 4th Floor, Island Plaza</t>
  </si>
  <si>
    <t>118 Jalan Tanjung Tokong</t>
  </si>
  <si>
    <t>Tel : 04-892 6500</t>
  </si>
  <si>
    <t>Fax : 04-899 1908</t>
  </si>
  <si>
    <t>Chung Hwa Confucian High School Student Fund</t>
  </si>
  <si>
    <t>2, Pesiaran Tembaga</t>
  </si>
  <si>
    <t>Tel : 04-658 3414</t>
  </si>
  <si>
    <t>Fax : 04658 5662</t>
  </si>
  <si>
    <t>Letter</t>
  </si>
  <si>
    <t>Music in the Garden - Military Band</t>
  </si>
  <si>
    <t>One Thousand Only</t>
  </si>
  <si>
    <t>f</t>
  </si>
  <si>
    <t>Bulan Lifestyle</t>
  </si>
  <si>
    <t>Joe Sidek Productions Sdn Bhd</t>
  </si>
  <si>
    <t>90 Armenian Street</t>
  </si>
  <si>
    <t>10200 George Town</t>
  </si>
  <si>
    <t>Tel : 04-261 6308</t>
  </si>
  <si>
    <t>Fax : 04-261 6305</t>
  </si>
  <si>
    <t>V2012/686</t>
  </si>
  <si>
    <t>08/08/2012</t>
  </si>
  <si>
    <t xml:space="preserve">Feng Studio </t>
  </si>
  <si>
    <t>Blk 121C, Seng Kang Eastway # 08-61</t>
  </si>
  <si>
    <t>Singapore 543121</t>
  </si>
  <si>
    <t>Photo Copyrights - Singapore Media Campaign</t>
  </si>
  <si>
    <t>20120025</t>
  </si>
  <si>
    <t>6/05/2012</t>
  </si>
  <si>
    <t>Pre &amp; Post Photography, Art Direction &amp; Design</t>
  </si>
  <si>
    <t>Photography &amp; Art Direction 4 days</t>
  </si>
  <si>
    <t>Photography Assistant</t>
  </si>
  <si>
    <t>Flight Cost (Beijing - Sin)</t>
  </si>
  <si>
    <t>Flight Cost (Sin-Pen)</t>
  </si>
  <si>
    <t>Wire Transfer Fee</t>
  </si>
  <si>
    <t>Misc Charges - Excess Baggage</t>
  </si>
  <si>
    <t>Courier of DVD from Beijing to Sin,KL &amp; PG</t>
  </si>
  <si>
    <t>Thirty Six Thousand Four Hundred and Cents Ten Only</t>
  </si>
  <si>
    <t>Choong Li Ching</t>
  </si>
  <si>
    <t>Raya Light &amp; Sound Show on 16th Sept 2012</t>
  </si>
  <si>
    <t>12th September 2012</t>
  </si>
  <si>
    <t>V2012/785</t>
  </si>
  <si>
    <t>411295</t>
  </si>
  <si>
    <t>20th September 2012</t>
  </si>
  <si>
    <t>Penang Branch</t>
  </si>
  <si>
    <t>1st Floor, Lot 1.03</t>
  </si>
  <si>
    <t>Bangunan KWSP</t>
  </si>
  <si>
    <t xml:space="preserve">10050 Penang </t>
  </si>
  <si>
    <t>Account : 134238823</t>
  </si>
  <si>
    <t xml:space="preserve">Handphone charges </t>
  </si>
  <si>
    <t>Handphone Charges - Despatch (019-4983997)</t>
  </si>
  <si>
    <t>Seventy Three and Cents Thirty Only</t>
  </si>
  <si>
    <t>V2012/848</t>
  </si>
  <si>
    <t>411352</t>
  </si>
  <si>
    <t>Mas Sdn Bhd</t>
  </si>
  <si>
    <t>Lot G8-G9, Ground Floor Skypark</t>
  </si>
  <si>
    <t>Terminal Sultan Abdul Aziz Shah Subang</t>
  </si>
  <si>
    <t>47200 Subang</t>
  </si>
  <si>
    <t>GTLF - Air Tickets</t>
  </si>
  <si>
    <t>14/09/2012</t>
  </si>
  <si>
    <t xml:space="preserve">Air Tickets for writers </t>
  </si>
  <si>
    <t>Two Thousand Five Hundred and Seventy Only</t>
  </si>
  <si>
    <t>03/09/2012</t>
  </si>
  <si>
    <t>AFC Network Private Limited</t>
  </si>
  <si>
    <t>3, Fusionopolis Way</t>
  </si>
  <si>
    <t># 12-21 Symbosis</t>
  </si>
  <si>
    <t>Singapore 138633</t>
  </si>
  <si>
    <t>Advertising - Television Commercial (TVC)</t>
  </si>
  <si>
    <t>Celcom Mobile Sdn Bhd</t>
  </si>
  <si>
    <t>26th Sep 2012</t>
  </si>
  <si>
    <t>Eastin Hotel Penang</t>
  </si>
  <si>
    <t>1 Solok Bayan Indah</t>
  </si>
  <si>
    <t>Queensbay</t>
  </si>
  <si>
    <t>Tel : 04-612 1111</t>
  </si>
  <si>
    <t>Fax : 04-612 1199</t>
  </si>
  <si>
    <t>10/09/2012</t>
  </si>
  <si>
    <t>V2012/877</t>
  </si>
  <si>
    <t>411381</t>
  </si>
  <si>
    <t>Han Wira Sound &amp; Light</t>
  </si>
  <si>
    <t>No.1C, Batu 61/2, Jalan Titi Haji Idris</t>
  </si>
  <si>
    <t>06500 Langgar, Alor Star</t>
  </si>
  <si>
    <t>Kedah Darul Aman</t>
  </si>
  <si>
    <t>Hari Raya Light &amp; Sound Show on 16/09/2012</t>
  </si>
  <si>
    <t>16/09/2012</t>
  </si>
  <si>
    <t>INV 2252</t>
  </si>
  <si>
    <t>Balance of Rental for Stage 20x40</t>
  </si>
  <si>
    <t>19/09/2012</t>
  </si>
  <si>
    <t>V2012/894</t>
  </si>
  <si>
    <t>4th Oct 2012</t>
  </si>
  <si>
    <t>411399</t>
  </si>
  <si>
    <t xml:space="preserve">Amazing Planner </t>
  </si>
  <si>
    <t>52, Jalan Sungai Daun</t>
  </si>
  <si>
    <t>Taman Nibong Tebal Jaya</t>
  </si>
  <si>
    <t>14300 Nibong Tebal</t>
  </si>
  <si>
    <t>PGT's FAM Trip</t>
  </si>
  <si>
    <t>0011</t>
  </si>
  <si>
    <t>Boat for visiting fish farm &amp; firefly watching</t>
  </si>
  <si>
    <t>Compensation for claypot factory</t>
  </si>
  <si>
    <t xml:space="preserve">Seafood dinner at Restorant Tepi Sungai </t>
  </si>
  <si>
    <t xml:space="preserve">Kerian </t>
  </si>
  <si>
    <t>Five Hundred and Five Only</t>
  </si>
  <si>
    <t>V2012/898</t>
  </si>
  <si>
    <t>460603</t>
  </si>
  <si>
    <t>Leong Yin Pastry Sdn Bhd</t>
  </si>
  <si>
    <t>81, Patani Road</t>
  </si>
  <si>
    <t>Fax : 04-2282207</t>
  </si>
  <si>
    <t>Tel : 04-229 2943</t>
  </si>
  <si>
    <t>Last Fri, Sat &amp; Sun for the month - September'12</t>
  </si>
  <si>
    <t>26/09/2012</t>
  </si>
  <si>
    <t>12307</t>
  </si>
  <si>
    <t>Single Yolk Mooncake (RM7.50 x 100pcs)</t>
  </si>
  <si>
    <t>Seven Hundred and Fifty Only</t>
  </si>
  <si>
    <t>Adat Sales (Thailand) Co</t>
  </si>
  <si>
    <t>8F, Meneeya Center</t>
  </si>
  <si>
    <t>518/5 Ploenchit Road</t>
  </si>
  <si>
    <t>Kwang Lumpuni</t>
  </si>
  <si>
    <t>Khet Pathumwan, Bangkok</t>
  </si>
  <si>
    <t>11th Oct 2012</t>
  </si>
  <si>
    <t>18/09/2012</t>
  </si>
  <si>
    <t>V2012/911</t>
  </si>
  <si>
    <t>460616</t>
  </si>
  <si>
    <t>Lam Kah Enterprise</t>
  </si>
  <si>
    <t>595-C, Jalan Jelutong</t>
  </si>
  <si>
    <t>Tel : 04-657 6222</t>
  </si>
  <si>
    <t>Fax : 04-657 0934</t>
  </si>
  <si>
    <t>29/09/2012</t>
  </si>
  <si>
    <t>2519</t>
  </si>
  <si>
    <t>Last Fri,Sat &amp; Sunday for the month of Sept'12 on</t>
  </si>
  <si>
    <t>28th - 30th Sept 2012</t>
  </si>
  <si>
    <t>Cultural Dance @ Khoo Kongsi on 29/09</t>
  </si>
  <si>
    <t>22nd Oct 2012</t>
  </si>
  <si>
    <t>George Town Literary Festival 2012</t>
  </si>
  <si>
    <t>b</t>
  </si>
  <si>
    <t>V2012/930</t>
  </si>
  <si>
    <t>460636</t>
  </si>
  <si>
    <t>Cool Illusions Sdn Bhd</t>
  </si>
  <si>
    <t>No.1, Jalan 2/152</t>
  </si>
  <si>
    <t>Taman Perindustrian OUG</t>
  </si>
  <si>
    <t>58200 Kuala Lumpur</t>
  </si>
  <si>
    <t>INV 0000065</t>
  </si>
  <si>
    <t>Watchout System &amp; Processors</t>
  </si>
  <si>
    <t>Scaffolding</t>
  </si>
  <si>
    <t>Set up, Dismantle, outstation Transportation &amp;</t>
  </si>
  <si>
    <t>Accmmodation</t>
  </si>
  <si>
    <t>Sixty Thousand Only</t>
  </si>
  <si>
    <t>V2012/933</t>
  </si>
  <si>
    <t>460639</t>
  </si>
  <si>
    <t>Sales Mission to Taiwan on 24th - 27th Sept 2012</t>
  </si>
  <si>
    <t>INV 190912</t>
  </si>
  <si>
    <t>Subsidy for the Sales Mission to Taiwan</t>
  </si>
  <si>
    <t>G Hotel Sdn Bhd</t>
  </si>
  <si>
    <t>168-A Persiaran Gurney</t>
  </si>
  <si>
    <t>Fettes Park Baptist Church</t>
  </si>
  <si>
    <t>5, Jalan Meranti</t>
  </si>
  <si>
    <t>11200 Tanjung Bungah</t>
  </si>
  <si>
    <t>Choir Performance at the Assumption Church</t>
  </si>
  <si>
    <t>V2012/936</t>
  </si>
  <si>
    <t>460642</t>
  </si>
  <si>
    <t>FIABCI Malaysian Chapter</t>
  </si>
  <si>
    <t>Sponsorship - Silver Partner</t>
  </si>
  <si>
    <t>A Penang Heritage Tale Coffee Table Magazine</t>
  </si>
  <si>
    <t>30th Oct 2012</t>
  </si>
  <si>
    <t>k</t>
  </si>
  <si>
    <t>V2012/966</t>
  </si>
  <si>
    <t>25th Oct 2012</t>
  </si>
  <si>
    <t>460671</t>
  </si>
  <si>
    <t>A1-4-07,Ground Floor</t>
  </si>
  <si>
    <t>Komtar, Penang Road</t>
  </si>
  <si>
    <t>Tel : 04- 250 2000</t>
  </si>
  <si>
    <t>Air Ticket - Tan Twan Eng</t>
  </si>
  <si>
    <t>Air Ticket - Bernice Chauly</t>
  </si>
  <si>
    <t>30/10/2012 - SZB-PEN-SZB</t>
  </si>
  <si>
    <t>22-26/11/2012 - SZB-PEN-SZB</t>
  </si>
  <si>
    <t>Six Hundred and Sixty Five Only</t>
  </si>
  <si>
    <t>Bayview Hotel Sdn Bhd</t>
  </si>
  <si>
    <t>25-A, Farquhar Street</t>
  </si>
  <si>
    <t>Tel : 04-263 3161</t>
  </si>
  <si>
    <t>Fax : 04-263 4124</t>
  </si>
  <si>
    <t>Capital One Leisure Sdn Bhd</t>
  </si>
  <si>
    <t>Cititel Penang</t>
  </si>
  <si>
    <t>Tel : 04-262 3790</t>
  </si>
  <si>
    <t>Fax : 04-262 2790</t>
  </si>
  <si>
    <t>Rental of Chair &amp; Table @ Khoo Kongsi</t>
  </si>
  <si>
    <t>Rental of Chair &amp; Table @ Botanic Garden</t>
  </si>
  <si>
    <t xml:space="preserve"> - PVC Chair - 50pcs</t>
  </si>
  <si>
    <t>FOC</t>
  </si>
  <si>
    <t>Choo Kok Leong</t>
  </si>
  <si>
    <t>I/C : 681202-07-5649</t>
  </si>
  <si>
    <t>V2012/978</t>
  </si>
  <si>
    <t>460681</t>
  </si>
  <si>
    <t>Dam Interactive</t>
  </si>
  <si>
    <t>K-2-3, Block K</t>
  </si>
  <si>
    <t>Jalan PJU 1A/20C</t>
  </si>
  <si>
    <t>Dataran Ara Damansara</t>
  </si>
  <si>
    <t>47301 Petaling Jaya</t>
  </si>
  <si>
    <t xml:space="preserve">Mappin System </t>
  </si>
  <si>
    <t xml:space="preserve"> - Mac Book Pro 17" 2.7Ghz quad Core Intek 17</t>
  </si>
  <si>
    <t xml:space="preserve"> - Server 3.2Ghz Quad Core Intel Xeon Processor</t>
  </si>
  <si>
    <t xml:space="preserve"> - Video Mixer</t>
  </si>
  <si>
    <t xml:space="preserve"> - Professional Mapping Fee</t>
  </si>
  <si>
    <t>Twenty Five Thousand Only</t>
  </si>
  <si>
    <t>Passport M70398411</t>
  </si>
  <si>
    <t>AirAsia X Korea Media FAM on 11th - 15th Oct 2012</t>
  </si>
  <si>
    <t>20/10/2012</t>
  </si>
  <si>
    <t>Tour Guide Fee for 4 days</t>
  </si>
  <si>
    <t>One Thousand and Eight Hundred Only</t>
  </si>
  <si>
    <t>7, Jalan Dunlop</t>
  </si>
  <si>
    <t>Tel : 04-228 2390</t>
  </si>
  <si>
    <t>Fax : 04-228 2480</t>
  </si>
  <si>
    <t>V2012/1003</t>
  </si>
  <si>
    <t>460706</t>
  </si>
  <si>
    <t>Sales Mission to Aceh on 30th Sep - 5th Oct 2012</t>
  </si>
  <si>
    <t xml:space="preserve"> - Balance of Expenditure </t>
  </si>
  <si>
    <t>One Thousand Six Hundred Ninety Three and Cent Sixty Six Only</t>
  </si>
  <si>
    <t>8th Nov 2012</t>
  </si>
  <si>
    <t>Go International Group Sdn Bhd</t>
  </si>
  <si>
    <t>V2012/1031</t>
  </si>
  <si>
    <t>460733</t>
  </si>
  <si>
    <t>Kye Jeung LIM HONG</t>
  </si>
  <si>
    <t>19th Nov 2012</t>
  </si>
  <si>
    <t xml:space="preserve"> - PVC Chair - 60pcs</t>
  </si>
  <si>
    <t xml:space="preserve"> - Round Table 10pcs</t>
  </si>
  <si>
    <t>V2012/1053</t>
  </si>
  <si>
    <t>460755</t>
  </si>
  <si>
    <t>Advacne taken for :</t>
  </si>
  <si>
    <t xml:space="preserve">George Town Literary Festival 2012 on 23th - 25th Nov </t>
  </si>
  <si>
    <t>Memo dated 31.10.2012</t>
  </si>
  <si>
    <t>Food Allowance for Volunteers (RM20 x 10pax x 3 days)</t>
  </si>
  <si>
    <t xml:space="preserve">Petrol for Volunteers </t>
  </si>
  <si>
    <t>Mineral Water 30 carton</t>
  </si>
  <si>
    <t>Rental of Banjo</t>
  </si>
  <si>
    <t>One Thousand Five Hundred and Fifty Only</t>
  </si>
  <si>
    <t>IC: 680823-07-5380</t>
  </si>
  <si>
    <t>Suite 12B, Jalan SS20/10</t>
  </si>
  <si>
    <t>Damansara Kim</t>
  </si>
  <si>
    <t>47400 Petaling Jaya</t>
  </si>
  <si>
    <t>Selangor, Malaysia</t>
  </si>
  <si>
    <t>Pertubuhan Keselamatan Sosial</t>
  </si>
  <si>
    <t>27th Nov 2012</t>
  </si>
  <si>
    <t>Eden Catering Sdn Bhd</t>
  </si>
  <si>
    <t>Level 2, Main Arena PISA</t>
  </si>
  <si>
    <t>Tel : 04-644 7353</t>
  </si>
  <si>
    <t>3-Q, Jalan Semarak Api, Bandar Baru</t>
  </si>
  <si>
    <t>Air Itam (Farlim)</t>
  </si>
  <si>
    <t>115000 Penang</t>
  </si>
  <si>
    <t>V2012/1088</t>
  </si>
  <si>
    <t>460790</t>
  </si>
  <si>
    <t>Last Fri, Sat &amp; Sun for the month -  Oct'12</t>
  </si>
  <si>
    <t>on 27/10/2012</t>
  </si>
  <si>
    <t>Liang Chow Ming (I/C : 610521-07-5453)</t>
  </si>
  <si>
    <t>V2012/1109</t>
  </si>
  <si>
    <t>460811</t>
  </si>
  <si>
    <t>Mohammed Anwar Fazal Mohammed</t>
  </si>
  <si>
    <t>18, Solok Peirce</t>
  </si>
  <si>
    <t>Tel : 012-312 1044</t>
  </si>
  <si>
    <t xml:space="preserve">Reimbursement of : </t>
  </si>
  <si>
    <t>on 14th Oct 2012</t>
  </si>
  <si>
    <t>Two Hundred Thirty Three and Cents Seventy Five Only</t>
  </si>
  <si>
    <t>Lunch Hosting (Wu Lian Teh Initiative ) for 19 pax</t>
  </si>
  <si>
    <t>V2012/1028</t>
  </si>
  <si>
    <t>2nd Nov 2012</t>
  </si>
  <si>
    <t>Jenny Soegiarto</t>
  </si>
  <si>
    <t>Sativa Wisata Dunia</t>
  </si>
  <si>
    <t>Jl. Gersikan I</t>
  </si>
  <si>
    <t>34 Surabaya 60131</t>
  </si>
  <si>
    <t xml:space="preserve">Sales Mission to Jakarta,Bandung &amp; Surabaya </t>
  </si>
  <si>
    <t>on 30th Sept to 5th Oct 2012</t>
  </si>
  <si>
    <t>01/10/2012</t>
  </si>
  <si>
    <t>INV 300544</t>
  </si>
  <si>
    <t xml:space="preserve">Airport Transferl on 3rd &amp; 5th Oct </t>
  </si>
  <si>
    <t>INV 300538</t>
  </si>
  <si>
    <t>INV 300534</t>
  </si>
  <si>
    <t>on 3rd &amp; 5th Oct (2 pax)</t>
  </si>
  <si>
    <t>INV 300545</t>
  </si>
  <si>
    <t>Three Thousand Eight Hundred Eighty Two and Cents Forty Six Only</t>
  </si>
  <si>
    <t>V2012/1027</t>
  </si>
  <si>
    <t>PT. Exodus Reka Wisatama</t>
  </si>
  <si>
    <t>Jl. Pasirkaliki 186 D</t>
  </si>
  <si>
    <t>Bandung 40171</t>
  </si>
  <si>
    <t>IN10-OP-C00393</t>
  </si>
  <si>
    <t>B2B Session in Jakarta on 1st Oct</t>
  </si>
  <si>
    <t>B2B Session in Bandung on 2nd Oct</t>
  </si>
  <si>
    <t>IN10-OP-C00391</t>
  </si>
  <si>
    <t>Transportation from Jakarta - Bandung</t>
  </si>
  <si>
    <t>Transportation in Bandung (2 days)</t>
  </si>
  <si>
    <t>IN10-HT-C00734</t>
  </si>
  <si>
    <t>Hotel Accommodation in Jakarta - Lydia</t>
  </si>
  <si>
    <t>Hotel Accommodation in Bandung - Lydia</t>
  </si>
  <si>
    <t>IN10-HT-C00730</t>
  </si>
  <si>
    <t>Hotel Accommodation in Jakarta - Karen</t>
  </si>
  <si>
    <t>Hotel Accommodation in Bandung - Karen</t>
  </si>
  <si>
    <t>Ten Thousand Eight Hundred and Fifty Only</t>
  </si>
  <si>
    <t xml:space="preserve">Hotel Accommodation in Surabaya </t>
  </si>
  <si>
    <t>B2B Session in Surabaya on 4th Oct 2012 (30pax)</t>
  </si>
  <si>
    <t>Additonal pax for B2B Session in Surabaya (5 pax)</t>
  </si>
  <si>
    <t>V2012/1116</t>
  </si>
  <si>
    <t>5th Dec 2012</t>
  </si>
  <si>
    <t>460818</t>
  </si>
  <si>
    <t>Bangkok Express Sdn Bhd</t>
  </si>
  <si>
    <t>Tree Monkey @ Tropical Spice Garden</t>
  </si>
  <si>
    <t>Lone Craig Villa</t>
  </si>
  <si>
    <t>PGT Teambuilding</t>
  </si>
  <si>
    <t>04/12/2012</t>
  </si>
  <si>
    <t>Lunch for 15 pax on 15/12/2012</t>
  </si>
  <si>
    <t>One Thousand One Hundred Ninety Nine and Cents Seventy Five Only</t>
  </si>
  <si>
    <t>12th Dec 2012</t>
  </si>
  <si>
    <t xml:space="preserve">CIMB </t>
  </si>
  <si>
    <t>Apollo Knight Sdn Bhd</t>
  </si>
  <si>
    <t>27A, Jalan E-1 Fasa 4</t>
  </si>
  <si>
    <t>Taman Melawati</t>
  </si>
  <si>
    <t>53100 Kuala Lumpur</t>
  </si>
  <si>
    <t>28/11/2012</t>
  </si>
  <si>
    <t>V2012/1138</t>
  </si>
  <si>
    <t>460840</t>
  </si>
  <si>
    <t>201203-199</t>
  </si>
  <si>
    <t>Mini PA System</t>
  </si>
  <si>
    <t>Cooling Fan x 3</t>
  </si>
  <si>
    <t>Wooden Base Backdrop with Printing on Tarpauline</t>
  </si>
  <si>
    <t>Stage with Carpet</t>
  </si>
  <si>
    <t>Projector &amp; Screen</t>
  </si>
  <si>
    <t>Plastic Chars</t>
  </si>
  <si>
    <t>Professional Fees - 8%</t>
  </si>
  <si>
    <t>Gov Service Tax - 6%</t>
  </si>
  <si>
    <t>Seven Thousand Five Hundred Nine and Cents Eighty Only</t>
  </si>
  <si>
    <t>Metro Green Adventure Sdn Bhd</t>
  </si>
  <si>
    <t>101,-10-02 Menara Perdana</t>
  </si>
  <si>
    <t>Jalan Gurdwara</t>
  </si>
  <si>
    <t xml:space="preserve">10300 George Town </t>
  </si>
  <si>
    <t>Tel L 019-409 4663</t>
  </si>
  <si>
    <t>Baba Two Sdn Bhd</t>
  </si>
  <si>
    <t>32, Jalan Sultan Ahmad Shah</t>
  </si>
  <si>
    <t>Tel : 04-262 2332</t>
  </si>
  <si>
    <t>Fax : 04-264 4332</t>
  </si>
  <si>
    <t>31st Dec 2012</t>
  </si>
  <si>
    <t>Discovery Overland Holidays Sdn Bhd</t>
  </si>
  <si>
    <t>98-1-22 Prima Tanjung Business Centre</t>
  </si>
  <si>
    <t>Jalan Fettes, Tanjong Tokong</t>
  </si>
  <si>
    <t>Harpers Travel (M) Sdn Bhd</t>
  </si>
  <si>
    <t>126 Burma Road</t>
  </si>
  <si>
    <t>Tel : 04-226 2545</t>
  </si>
  <si>
    <t>Unit 201-203, 2nd Floor</t>
  </si>
  <si>
    <t>V2012/1191</t>
  </si>
  <si>
    <t>460895</t>
  </si>
  <si>
    <t>12/04/2012</t>
  </si>
  <si>
    <t>12-03</t>
  </si>
  <si>
    <t>50% of  RM59,148.00</t>
  </si>
  <si>
    <t>(Balance Payment)</t>
  </si>
  <si>
    <t>Deduct : DN0001/2012/MP dated 29/03/2012</t>
  </si>
  <si>
    <t>Four Thousand Three Hundred Thirty and Cents Sixty Only</t>
  </si>
  <si>
    <t>Ching Xing Sports And Cultural Centre</t>
  </si>
  <si>
    <t>on 17th - 21st Jan 2013</t>
  </si>
  <si>
    <t>No. 15 Jalan Sungai Ujong</t>
  </si>
  <si>
    <t>Hwa Yik Tour &amp; Travel (Pg) Sdn Bhd</t>
  </si>
  <si>
    <t>Tel : 04-262 2333</t>
  </si>
  <si>
    <t>Fax : 04-262 2580</t>
  </si>
  <si>
    <t xml:space="preserve">TOTAL:RINGGIT </t>
  </si>
  <si>
    <t>Four Thousand and Five Hundred Only</t>
  </si>
  <si>
    <t>V2013/016</t>
  </si>
  <si>
    <t>8th Jan 2013</t>
  </si>
  <si>
    <t>496779</t>
  </si>
  <si>
    <t>M&amp;E Works for Penang Global Tourism's Conference Room</t>
  </si>
  <si>
    <t>(Unit 10A) &amp; Storeroom (Unit 12A), (First Floor) Whiteaways</t>
  </si>
  <si>
    <t>Lebuh Pantai, 10300 Penang</t>
  </si>
  <si>
    <t>03/01/2013</t>
  </si>
  <si>
    <t>LLASB/11/11334-M&amp;E/PF1</t>
  </si>
  <si>
    <t>of RM30,638 @ 7%</t>
  </si>
  <si>
    <t xml:space="preserve">Service Tax </t>
  </si>
  <si>
    <t xml:space="preserve">Prof. Fees paybale base ont the total cost of work </t>
  </si>
  <si>
    <t>Two Thousand Two Hundred Seventy Three and Cents Thirty Four Only</t>
  </si>
  <si>
    <t>Penang Yosakoi Parade 2013</t>
  </si>
  <si>
    <t>Three Hundred and Fifty Only</t>
  </si>
  <si>
    <t>3th Jan 2012</t>
  </si>
  <si>
    <t>V2013/030</t>
  </si>
  <si>
    <t>Obgyn Consultants Pte Ltd</t>
  </si>
  <si>
    <t xml:space="preserve">Dr Wu Lien-Teh Symposium 2013 in Harbin, China </t>
  </si>
  <si>
    <t>Participation fees (SGD 660 x 2 pax)</t>
  </si>
  <si>
    <t>One Thousand Six Hundred Sixty Four and Cents Twenty Only</t>
  </si>
  <si>
    <t>04/01/2013</t>
  </si>
  <si>
    <t>V2013/068</t>
  </si>
  <si>
    <t>23th Jan 2013</t>
  </si>
  <si>
    <t>496824</t>
  </si>
  <si>
    <t>EC Computer Store Asia (PG) Sdn Bhd</t>
  </si>
  <si>
    <t>No.115, (First Floor) Medan Kikik 1</t>
  </si>
  <si>
    <t xml:space="preserve">Taman Inderawasih </t>
  </si>
  <si>
    <t>13600 Prai</t>
  </si>
  <si>
    <t>15/01/2013</t>
  </si>
  <si>
    <t>INV 09261</t>
  </si>
  <si>
    <t>Sandisk 4 GB USB Drive</t>
  </si>
  <si>
    <t>Dr Wu Lien Teh Symposium 2013</t>
  </si>
  <si>
    <t>(RM16 x 100 units)</t>
  </si>
  <si>
    <t>One Thousand and Six Hundred Only</t>
  </si>
  <si>
    <t xml:space="preserve">Advertising License for TIC </t>
  </si>
  <si>
    <t>One Hundred and Fifty Only</t>
  </si>
  <si>
    <t>Khazanah Nasional Berhad - Heritage</t>
  </si>
  <si>
    <t>Think City Sdn Bhd</t>
  </si>
  <si>
    <t>Level 14, EPF Building</t>
  </si>
  <si>
    <t>38, Jalan Sultan Ahmad Shah</t>
  </si>
  <si>
    <t>Place Making Training Workshop on 18/02,</t>
  </si>
  <si>
    <t>19/02 &amp; 20/02/2013</t>
  </si>
  <si>
    <t>Three Hundred Only</t>
  </si>
  <si>
    <t>5th Feb 2013</t>
  </si>
  <si>
    <t>Advance Creative Technology Sdn Bhd</t>
  </si>
  <si>
    <t>Harbour Trade Centre</t>
  </si>
  <si>
    <t>2-5-05, Gat Lebuh Macallum</t>
  </si>
  <si>
    <t>Tel : 04-261 1977</t>
  </si>
  <si>
    <t>Fax : 04-262 5028</t>
  </si>
  <si>
    <t>V2013/087</t>
  </si>
  <si>
    <t>496842</t>
  </si>
  <si>
    <t>Central Florist &amp; Gift</t>
  </si>
  <si>
    <t>Jalan Penang</t>
  </si>
  <si>
    <t>31/01/2013</t>
  </si>
  <si>
    <t>INV 5040799</t>
  </si>
  <si>
    <t>Flower Stand for Joe Hasham, Dato' Faridah Merican</t>
  </si>
  <si>
    <t>the entire &amp; crew of "Philadelphia, Here I Come"</t>
  </si>
  <si>
    <t>Ephoto House Digital Print Sdn Bhd</t>
  </si>
  <si>
    <t>3760, Jalan Sungai Puyuh</t>
  </si>
  <si>
    <t>Sungai Jawi</t>
  </si>
  <si>
    <t>14200 Sungai Bakap</t>
  </si>
  <si>
    <t>Tel : 04-583 1431</t>
  </si>
  <si>
    <t>Print Coupons - 3,000pcs</t>
  </si>
  <si>
    <t>Five Hundred and Fifty Only</t>
  </si>
  <si>
    <t>V2013/090</t>
  </si>
  <si>
    <t>496845</t>
  </si>
  <si>
    <t>Frame for Oil painting</t>
  </si>
  <si>
    <t>10/012013</t>
  </si>
  <si>
    <t>INV 89550</t>
  </si>
  <si>
    <t>Black Colour Canvas Floater</t>
  </si>
  <si>
    <t>Framing Oil Painting 18" x 24" x 2 pcs</t>
  </si>
  <si>
    <t>Framing Oil Painting 20" x 30" x 1 pc</t>
  </si>
  <si>
    <t>Five Hundred and Forty Five Only</t>
  </si>
  <si>
    <t>09/02/2013</t>
  </si>
  <si>
    <t>K Two Trading</t>
  </si>
  <si>
    <t xml:space="preserve">316F, Jalan Dato Keramat </t>
  </si>
  <si>
    <t xml:space="preserve">10150 George Town </t>
  </si>
  <si>
    <t>Tel : 04-227 2744</t>
  </si>
  <si>
    <t>Fax : 04-227 6744</t>
  </si>
  <si>
    <t>Kt 13-0011</t>
  </si>
  <si>
    <t>Banner 3'x 16' (RM73 x 12pcs)</t>
  </si>
  <si>
    <t>Billboard 10' x 6' (RM480 x 5 pcs)</t>
  </si>
  <si>
    <t>Poster 20" x 30" (RM25 x 2pcs)</t>
  </si>
  <si>
    <t>Three Thousand Three Hundred and Twenty Six Only</t>
  </si>
  <si>
    <t>V2013/096</t>
  </si>
  <si>
    <t>496850</t>
  </si>
  <si>
    <t>20th Feb 2013</t>
  </si>
  <si>
    <t xml:space="preserve">Editorial Associates </t>
  </si>
  <si>
    <t>Taman Lian Hoe</t>
  </si>
  <si>
    <t>68, Jalan Kuchai 2</t>
  </si>
  <si>
    <t>Tel : 03-7981 7268</t>
  </si>
  <si>
    <t>V2013/103</t>
  </si>
  <si>
    <t>496858</t>
  </si>
  <si>
    <t>INV # PPS 017</t>
  </si>
  <si>
    <t xml:space="preserve"> - Jason Sim</t>
  </si>
  <si>
    <t>Oriental Enterprise &amp; Insurance Agent</t>
  </si>
  <si>
    <t xml:space="preserve">179, Jalan Argyll </t>
  </si>
  <si>
    <t>30/01/2013</t>
  </si>
  <si>
    <t>s</t>
  </si>
  <si>
    <t>V2013/110</t>
  </si>
  <si>
    <t>496867</t>
  </si>
  <si>
    <t>Chiao Tze Chi'ih Ko</t>
  </si>
  <si>
    <t>Debat Mandarin IPT International 2013</t>
  </si>
  <si>
    <t>Sponsor for 25 trishaw @ RM40 each</t>
  </si>
  <si>
    <t>Letter dated 18.01.2013</t>
  </si>
  <si>
    <t>Kwong Wah Yit Poh Realty Sdn Bhd</t>
  </si>
  <si>
    <t>19, Lebuh Presgrave</t>
  </si>
  <si>
    <t>P.O.Box No.31</t>
  </si>
  <si>
    <t>Tel : 04-261 2312</t>
  </si>
  <si>
    <t>The Chinese in Penang Book</t>
  </si>
  <si>
    <t>Clarity Publishing Sdn Bhd</t>
  </si>
  <si>
    <t>51-21-A, Menara BHL Bank</t>
  </si>
  <si>
    <t>10500 Penang</t>
  </si>
  <si>
    <t>George Town World Heritage Incorporated</t>
  </si>
  <si>
    <t>116 &amp; 118, Aceh Street</t>
  </si>
  <si>
    <t>Tel : 04-261 6606</t>
  </si>
  <si>
    <t>Fax : 04-261 6605</t>
  </si>
  <si>
    <t>George Town Literary Festival 2013</t>
  </si>
  <si>
    <t>13th Mar 2013</t>
  </si>
  <si>
    <t>V2013/201</t>
  </si>
  <si>
    <t>496918</t>
  </si>
  <si>
    <t>Last Fri,Sat &amp; Sun for the month - Jan'13</t>
  </si>
  <si>
    <t>0866</t>
  </si>
  <si>
    <t>25/02/2013</t>
  </si>
  <si>
    <t>0873</t>
  </si>
  <si>
    <t>Last Fri,Sat &amp; Sun for the month - Feb'13</t>
  </si>
  <si>
    <t xml:space="preserve"> - PVC Chair - 100pcs</t>
  </si>
  <si>
    <t>0872</t>
  </si>
  <si>
    <t xml:space="preserve"> - Square Table 2pcs</t>
  </si>
  <si>
    <t xml:space="preserve"> - Square Table 3pcs</t>
  </si>
  <si>
    <t>15th Mar 2013</t>
  </si>
  <si>
    <t>V2013/235</t>
  </si>
  <si>
    <t>496933</t>
  </si>
  <si>
    <t>08/02/2013</t>
  </si>
  <si>
    <t>427</t>
  </si>
  <si>
    <t>Marumi 52mm Filter - Samsung Camera</t>
  </si>
  <si>
    <t>Marumi 40.5mm Filter - Samsung Camera</t>
  </si>
  <si>
    <t>Ninety Only</t>
  </si>
  <si>
    <t>V2013/265</t>
  </si>
  <si>
    <t>496948</t>
  </si>
  <si>
    <t>25th Mar 2013</t>
  </si>
  <si>
    <t>Medan Fair 2013, 14th - 17th March 2013</t>
  </si>
  <si>
    <t>11/03/2013</t>
  </si>
  <si>
    <t>001938</t>
  </si>
  <si>
    <t>Accommodation for 3 nights - Foo Yu Keong</t>
  </si>
  <si>
    <t>(RM290 per night)</t>
  </si>
  <si>
    <t>One Thousand Seven Hundred and Forty Only</t>
  </si>
  <si>
    <t>TIC</t>
  </si>
  <si>
    <t>Upkeep for PJP 1311</t>
  </si>
  <si>
    <t>5th April 2013</t>
  </si>
  <si>
    <t>V2013/293</t>
  </si>
  <si>
    <t>496972</t>
  </si>
  <si>
    <t xml:space="preserve">Last FriSatSun of the Month - Mar'13 </t>
  </si>
  <si>
    <t>on 29th Mar - 31st Mar 2013</t>
  </si>
  <si>
    <t>30/03/2013</t>
  </si>
  <si>
    <t>5678/mac30/13</t>
  </si>
  <si>
    <t>Chinese Dances performance, sound system and</t>
  </si>
  <si>
    <t>Emcee</t>
  </si>
  <si>
    <t>Jobstreet.com Sdn Bhd</t>
  </si>
  <si>
    <t>No. 1 Ground Floor</t>
  </si>
  <si>
    <t>Office Equatorial Hotel</t>
  </si>
  <si>
    <t>1 Jalan Bukit Jambul</t>
  </si>
  <si>
    <t>Tel : 04-644 5912</t>
  </si>
  <si>
    <t>Advertisement - Vacancy</t>
  </si>
  <si>
    <t>31/03/2013</t>
  </si>
  <si>
    <t>3rd May 2013</t>
  </si>
  <si>
    <t>V2013/409</t>
  </si>
  <si>
    <t>496740</t>
  </si>
  <si>
    <t>MICE Booklet (Chinese Version)</t>
  </si>
  <si>
    <t>12/04/2013</t>
  </si>
  <si>
    <t>INV S00211/13</t>
  </si>
  <si>
    <t>Mice Booklet - 2,000books @ RM1.05</t>
  </si>
  <si>
    <t>MICE Booklet (Chinese Translation)</t>
  </si>
  <si>
    <t>INV S00212/13</t>
  </si>
  <si>
    <t>Translate from English to Chinese</t>
  </si>
  <si>
    <t>MICE Booklet (Korean Version)</t>
  </si>
  <si>
    <t>19/04/2013</t>
  </si>
  <si>
    <t>INV S00223/13</t>
  </si>
  <si>
    <t xml:space="preserve">Five Thousand One Hundred and Fifty </t>
  </si>
  <si>
    <t>(Ext : 154) Shirlyn</t>
  </si>
  <si>
    <t>Tel : 019-447 7806</t>
  </si>
  <si>
    <t>V2013/439</t>
  </si>
  <si>
    <t>22nd May 2013</t>
  </si>
  <si>
    <t>562514</t>
  </si>
  <si>
    <t>Art Tune Sdn Bhd</t>
  </si>
  <si>
    <t>No.41, Kajang Road</t>
  </si>
  <si>
    <t>Tel : 04-229 0406</t>
  </si>
  <si>
    <t>Fax : 04-229 6359</t>
  </si>
  <si>
    <t>Wilma Budke's 5000th room night celebration at</t>
  </si>
  <si>
    <t>Suffolk House on 9th May 2013</t>
  </si>
  <si>
    <t>09/05/2013</t>
  </si>
  <si>
    <t>INV 24446</t>
  </si>
  <si>
    <t xml:space="preserve">PA System </t>
  </si>
  <si>
    <t>V2013/440</t>
  </si>
  <si>
    <t>562515</t>
  </si>
  <si>
    <t>Baba Success Sdn Bhd</t>
  </si>
  <si>
    <t>Suffolk House</t>
  </si>
  <si>
    <t>250, Jalan Air Itam</t>
  </si>
  <si>
    <t>Tel : 04-2281109</t>
  </si>
  <si>
    <t>INV 090513</t>
  </si>
  <si>
    <t>Afternoon Tea for 70 person (RM36.04 x 70 pax)</t>
  </si>
  <si>
    <t>Flower Deco &amp; hand bouquet for Wilma</t>
  </si>
  <si>
    <t>Three Thousand Two Hundred Twenty and Cents Eighty Only</t>
  </si>
  <si>
    <t>V2013/442</t>
  </si>
  <si>
    <t>562517</t>
  </si>
  <si>
    <t xml:space="preserve">Last Fri, Sat &amp; Sun for the month of Mar'13 </t>
  </si>
  <si>
    <t>Performance @ Botanical Garden on 31/03/2013</t>
  </si>
  <si>
    <t>V2013/443</t>
  </si>
  <si>
    <t>562518</t>
  </si>
  <si>
    <t>Confrerie De La Chaine Des Rotissuers</t>
  </si>
  <si>
    <t>Beacon House, 4th Floor</t>
  </si>
  <si>
    <t>1, Jalan Gereja</t>
  </si>
  <si>
    <t>50100 Kuala Lumpur</t>
  </si>
  <si>
    <t>Tel : 03-2078 8499</t>
  </si>
  <si>
    <t>Fax : 03-20703552</t>
  </si>
  <si>
    <t>Advertisement</t>
  </si>
  <si>
    <t>26/04/2013</t>
  </si>
  <si>
    <t xml:space="preserve">Advertisement in Year 2013/2014 membership </t>
  </si>
  <si>
    <t>directory</t>
  </si>
  <si>
    <t>Eight Hundred and Fifty Only</t>
  </si>
  <si>
    <t>Astro Radio Sdn Bhd</t>
  </si>
  <si>
    <t>Unit 368-2-11, Bellisa Row</t>
  </si>
  <si>
    <t>Jalan Burmah</t>
  </si>
  <si>
    <t>Tel : 04-240 4166</t>
  </si>
  <si>
    <t>Fax : 04-226 5351</t>
  </si>
  <si>
    <t>Lembaga Penggalakan Pelancongan Malaysia</t>
  </si>
  <si>
    <t>International Promotional Division</t>
  </si>
  <si>
    <t>Tourism Malaysia</t>
  </si>
  <si>
    <t>6th Floor, No.2, Tower 1</t>
  </si>
  <si>
    <t>Jalan P5/6, Precint 5</t>
  </si>
  <si>
    <t>Eight Hundred Only</t>
  </si>
  <si>
    <t xml:space="preserve"> - Ooi Geok Ling</t>
  </si>
  <si>
    <t>7th June 2013</t>
  </si>
  <si>
    <t>V2013/492</t>
  </si>
  <si>
    <t>562564</t>
  </si>
  <si>
    <t>Access Hunt Sdn Bhd</t>
  </si>
  <si>
    <t>H-1-2, Jalan PJU 1/45</t>
  </si>
  <si>
    <t>Aman Suria Damansara</t>
  </si>
  <si>
    <t>47301 Petaling Jaya, Selangor</t>
  </si>
  <si>
    <t>Tel : 03-7880 6763</t>
  </si>
  <si>
    <t>Fax : 03-7880 8910</t>
  </si>
  <si>
    <t>PCTE - Napei Education Fair 2013</t>
  </si>
  <si>
    <t>30/05/2013</t>
  </si>
  <si>
    <t>INV AH285</t>
  </si>
  <si>
    <t xml:space="preserve">Printing of Tarpaulin Backdrop </t>
  </si>
  <si>
    <t>(20ft L x 10ft H)</t>
  </si>
  <si>
    <t>AirAsia Berhad</t>
  </si>
  <si>
    <t>LCCT Terminal, Jalan KLIA S3</t>
  </si>
  <si>
    <t>Southern Zone, KLIA</t>
  </si>
  <si>
    <t>64000 Sepang</t>
  </si>
  <si>
    <t>Selangor</t>
  </si>
  <si>
    <t>Tel : 03-8660 4333</t>
  </si>
  <si>
    <t>Fax : 03-8775 1100</t>
  </si>
  <si>
    <t>29/05/2013</t>
  </si>
  <si>
    <t>V2013/496</t>
  </si>
  <si>
    <t>562568</t>
  </si>
  <si>
    <t>PCT - Napei Education Fair 2013</t>
  </si>
  <si>
    <t>103353</t>
  </si>
  <si>
    <t>Printing of Booklet - 2,000 books</t>
  </si>
  <si>
    <t>(2,000 copies @ RM0.60)</t>
  </si>
  <si>
    <t>One Thousand and Two Hundred Only</t>
  </si>
  <si>
    <t>V2013/497</t>
  </si>
  <si>
    <t>562569</t>
  </si>
  <si>
    <t>D Love Holidays Sdn Bhd</t>
  </si>
  <si>
    <t>Lot 2-12, 1st Floor</t>
  </si>
  <si>
    <t>Wisma Central</t>
  </si>
  <si>
    <t>41, Macalister Road</t>
  </si>
  <si>
    <t>11400 Penang</t>
  </si>
  <si>
    <t>KBS Travelogue Shooting on 3rd- 13th June 2013</t>
  </si>
  <si>
    <t>04/06/2013</t>
  </si>
  <si>
    <t>TP 13001</t>
  </si>
  <si>
    <t>Transportation from 4/06 - 12/06/2013</t>
  </si>
  <si>
    <t>Tour Guide Fee</t>
  </si>
  <si>
    <t>Three Thousand Four Hundred and Seventy Only</t>
  </si>
  <si>
    <t>E&amp;O Express Sdn Bhd</t>
  </si>
  <si>
    <t xml:space="preserve">Lone Pine Hotel </t>
  </si>
  <si>
    <t xml:space="preserve">97, Batu Ferringhi </t>
  </si>
  <si>
    <t>Tel : 04-886 8686</t>
  </si>
  <si>
    <t>Fax : 04-886 8601</t>
  </si>
  <si>
    <t>Fajar Seloka Sdn Bhd</t>
  </si>
  <si>
    <t>1926 Heritage Hotel</t>
  </si>
  <si>
    <t>V2013/502</t>
  </si>
  <si>
    <t>562574</t>
  </si>
  <si>
    <t>L50816179</t>
  </si>
  <si>
    <t>Small Paper Bags</t>
  </si>
  <si>
    <t>(8,000pcs x RM0.225)</t>
  </si>
  <si>
    <t>V2013/503</t>
  </si>
  <si>
    <t>562575</t>
  </si>
  <si>
    <t>00712/ky</t>
  </si>
  <si>
    <t>Causeway Exchange Singapore on 21st June 2013</t>
  </si>
  <si>
    <t>Tea session with hour tour at House of Yeap Choy</t>
  </si>
  <si>
    <t>Ee on 21/06/13 for 40 pax</t>
  </si>
  <si>
    <t>Kelab Sukan dan Kebajikan</t>
  </si>
  <si>
    <t>Jabatan Tenaga Kerja Pulau Pinang</t>
  </si>
  <si>
    <t>Nine Hundred and Eighty Eight Only</t>
  </si>
  <si>
    <t>1 Job posting package</t>
  </si>
  <si>
    <t>Four Hundred Ninety Eight and Cents Twenty Only</t>
  </si>
  <si>
    <t>Culture Japan Convention 2013</t>
  </si>
  <si>
    <t>25th June 2013</t>
  </si>
  <si>
    <t>18/06/2013</t>
  </si>
  <si>
    <t>14 Kimberley Street</t>
  </si>
  <si>
    <t>10100 George Town, Penang</t>
  </si>
  <si>
    <t>David Robert Hagerman and Robyn Christine Eckhardt</t>
  </si>
  <si>
    <t>Photography Service - Imagery and Licensing</t>
  </si>
  <si>
    <t>De Meridian Florist &amp; Gifts Gallery</t>
  </si>
  <si>
    <t>4A, Church Street Ghaut</t>
  </si>
  <si>
    <t>10300 George Town Penang</t>
  </si>
  <si>
    <t>Tel : 012-450 5054</t>
  </si>
  <si>
    <t>Nine Hundred Only</t>
  </si>
  <si>
    <t>E&amp;O Trading Sdn Bhd</t>
  </si>
  <si>
    <t>Straits Quay Convention Centre</t>
  </si>
  <si>
    <t>3F-G-1, Straits Quay</t>
  </si>
  <si>
    <t>Jalan Seri Tanjong Pinang</t>
  </si>
  <si>
    <t>Tanjung Tokong</t>
  </si>
  <si>
    <t>12/06/2013</t>
  </si>
  <si>
    <t>V2013/537</t>
  </si>
  <si>
    <t>562606</t>
  </si>
  <si>
    <t>Ghee Hiang Manufacturing Co. Sdn Bhd</t>
  </si>
  <si>
    <t>216, Macalister Road</t>
  </si>
  <si>
    <t>Tel : 04-227 2222</t>
  </si>
  <si>
    <t>15824</t>
  </si>
  <si>
    <t>Tau Sar Pneah for Victory Family Centre S'pore</t>
  </si>
  <si>
    <t>(1,330 rolls @ RM1.35)</t>
  </si>
  <si>
    <t>One Thousand Seven Hundred Ninety Five and Cents Fifty Only</t>
  </si>
  <si>
    <t>V2013/538</t>
  </si>
  <si>
    <t>562607</t>
  </si>
  <si>
    <t>Time Out Penang Magazine</t>
  </si>
  <si>
    <t>06/06/2013</t>
  </si>
  <si>
    <t>TOP 0136</t>
  </si>
  <si>
    <t xml:space="preserve">Full Page Full Color Advertisement </t>
  </si>
  <si>
    <t>Govt Service Tax 6%</t>
  </si>
  <si>
    <t>Eight Thousand Four Hundred and Eighty Only</t>
  </si>
  <si>
    <t>01/07/2013</t>
  </si>
  <si>
    <t>V2013/577</t>
  </si>
  <si>
    <t>28th June 2013</t>
  </si>
  <si>
    <t>562626</t>
  </si>
  <si>
    <t>Cash Sale 331999</t>
  </si>
  <si>
    <t>25/06/2013</t>
  </si>
  <si>
    <t>Fuji Xerox Toner CT201610 x 2 units</t>
  </si>
  <si>
    <t>Four Hundred and Ten Only</t>
  </si>
  <si>
    <t>Messe Berlin (Singapore) Pte Ltd</t>
  </si>
  <si>
    <t>25 International Business Park</t>
  </si>
  <si>
    <t># 04-113 German Center</t>
  </si>
  <si>
    <t>Singapore 609916</t>
  </si>
  <si>
    <t>Tel :+65 6562-8696</t>
  </si>
  <si>
    <t>Fax : +65 6562-8697</t>
  </si>
  <si>
    <t>V2013/583</t>
  </si>
  <si>
    <t>11th June 2013</t>
  </si>
  <si>
    <t>562628</t>
  </si>
  <si>
    <t>Agnes Maritha James</t>
  </si>
  <si>
    <t>20,Jalan Sentosa</t>
  </si>
  <si>
    <t>Hillside</t>
  </si>
  <si>
    <t>Tanjung Bunga 11200</t>
  </si>
  <si>
    <t>Publicity - George Town Festival (Lite FM Broadcasting)</t>
  </si>
  <si>
    <t>PGT/0001/2013</t>
  </si>
  <si>
    <t xml:space="preserve">Professional fees for Copywriting </t>
  </si>
  <si>
    <t>Payment of Income Tax penalty for underestimation</t>
  </si>
  <si>
    <t>16th July 2013</t>
  </si>
  <si>
    <t>Chang Lee Lee</t>
  </si>
  <si>
    <t>Kilang buah Pala Ghee Hup</t>
  </si>
  <si>
    <t>202A, MK 3, Sungai Pinang</t>
  </si>
  <si>
    <t>Tel : 04-866 8426</t>
  </si>
  <si>
    <t>V2013/597</t>
  </si>
  <si>
    <t>562641</t>
  </si>
  <si>
    <t>Low Chung Tsu</t>
  </si>
  <si>
    <t>I/C : 530129-02-5435</t>
  </si>
  <si>
    <t>300613/1/2013</t>
  </si>
  <si>
    <t>Penang Economic Conference 2013</t>
  </si>
  <si>
    <t>Art Trails walking tour on 30/06/2013</t>
  </si>
  <si>
    <t>Bonusreka Tour Services Sdn Bhd</t>
  </si>
  <si>
    <t>381A-3-4, Jalan Perak</t>
  </si>
  <si>
    <t>Tel/Fax : 04-283 5784</t>
  </si>
  <si>
    <t>V2013/649</t>
  </si>
  <si>
    <t>29th July 2013</t>
  </si>
  <si>
    <t>562679</t>
  </si>
  <si>
    <t>PR/132/2013/ACS</t>
  </si>
  <si>
    <t>dated 27.07.2013</t>
  </si>
  <si>
    <t xml:space="preserve">Spray painting front bumper and side doors </t>
  </si>
  <si>
    <t>(left)</t>
  </si>
  <si>
    <t>Tel : 04-886 6666</t>
  </si>
  <si>
    <t>Fax : 04-881 1389</t>
  </si>
  <si>
    <t>Hong Kong Tactical Campaign (July - Sept)</t>
  </si>
  <si>
    <t>Clarity Creative Enterprise</t>
  </si>
  <si>
    <t>85-4-3, Jascilla View</t>
  </si>
  <si>
    <t>Tanjung Bunga Park</t>
  </si>
  <si>
    <t xml:space="preserve">Copywritting </t>
  </si>
  <si>
    <t>V2013/658</t>
  </si>
  <si>
    <t>562688</t>
  </si>
  <si>
    <t>MACP Berhad</t>
  </si>
  <si>
    <t>Unit 8, Level U2</t>
  </si>
  <si>
    <t>Block D4 (D4-2-8)</t>
  </si>
  <si>
    <t xml:space="preserve">Solaris Dutamas </t>
  </si>
  <si>
    <t>No.1 Jalan Duta Mas</t>
  </si>
  <si>
    <t>50480 KL</t>
  </si>
  <si>
    <t>24/07/2013</t>
  </si>
  <si>
    <t>INV 00127332</t>
  </si>
  <si>
    <t xml:space="preserve">License fees for public performance of copyright </t>
  </si>
  <si>
    <t>music on 17th - 18th Aug 2013</t>
  </si>
  <si>
    <t>One Thousand Six Hundred Fifty Two and Cents Fifty Five Only</t>
  </si>
  <si>
    <t>5th Aug 2013</t>
  </si>
  <si>
    <t>V2013/679</t>
  </si>
  <si>
    <t>562709</t>
  </si>
  <si>
    <t>19/07/2013</t>
  </si>
  <si>
    <t>PGT009</t>
  </si>
  <si>
    <t>Bus wrap for PPO's Grand Opera Night on</t>
  </si>
  <si>
    <t>28th July 2013</t>
  </si>
  <si>
    <t>Bus wrap for Culture Japan Convention on</t>
  </si>
  <si>
    <t>17th - 18th Aug 2013</t>
  </si>
  <si>
    <t>Six Thousand Only</t>
  </si>
  <si>
    <t>C11-1-23, 24, 26 Komtar</t>
  </si>
  <si>
    <t>Tel : 04-263 2396</t>
  </si>
  <si>
    <t>Khoo Lay Im</t>
  </si>
  <si>
    <t>35, Jalan Sungai Emas</t>
  </si>
  <si>
    <t>11100 Batu Ferringhi</t>
  </si>
  <si>
    <t>per set</t>
  </si>
  <si>
    <t>V2013/702</t>
  </si>
  <si>
    <t>13th Aug 2013</t>
  </si>
  <si>
    <t>562721</t>
  </si>
  <si>
    <t>Amleisure Media Sdn Bhd</t>
  </si>
  <si>
    <t>E-1-10, Pusat Perdagangan Kuchai</t>
  </si>
  <si>
    <t>No.2, Jalan 1/127, Off Jalan Kuchai Lama</t>
  </si>
  <si>
    <t>58200 KL</t>
  </si>
  <si>
    <t>Tel : 03-7987 6976</t>
  </si>
  <si>
    <t>Leisure Magazine FAM Trip oon 27th - 29th June 2013</t>
  </si>
  <si>
    <t>Meals for the group on 27/06-29/06/2013</t>
  </si>
  <si>
    <t>Benfont Enterprise</t>
  </si>
  <si>
    <t>77, Siam Road</t>
  </si>
  <si>
    <t>Tel : 04-228 3628</t>
  </si>
  <si>
    <t>Fax : 04-227 6217</t>
  </si>
  <si>
    <t>26-B, Rangoon Road</t>
  </si>
  <si>
    <t>Tel : 04-226 8659</t>
  </si>
  <si>
    <t>Holiday Tours &amp; Travel Sdn Bhd</t>
  </si>
  <si>
    <t>30A, Lorong Abu Siti</t>
  </si>
  <si>
    <t>Tel : 04-238 2638</t>
  </si>
  <si>
    <t>23/07/2013</t>
  </si>
  <si>
    <t>INV 62938</t>
  </si>
  <si>
    <t>1 room night (Ref : 09142)</t>
  </si>
  <si>
    <t>INV 62935</t>
  </si>
  <si>
    <t>INV 62918</t>
  </si>
  <si>
    <t>INV 62929</t>
  </si>
  <si>
    <t>1 room night (Ref : 09806)</t>
  </si>
  <si>
    <t>INV 62924</t>
  </si>
  <si>
    <t>1 room night (Ref : 09142) with extra bed</t>
  </si>
  <si>
    <t>1 room night (Ref : 09806) with extra bed</t>
  </si>
  <si>
    <t>INV 62926</t>
  </si>
  <si>
    <t>INV 62914</t>
  </si>
  <si>
    <t>1 room night (Ref : 14491)</t>
  </si>
  <si>
    <t>INV 62932</t>
  </si>
  <si>
    <t>1 room night (Ref : 10125)</t>
  </si>
  <si>
    <t>INV 62921</t>
  </si>
  <si>
    <t>1 room night (Ref : 06751) with extra bed</t>
  </si>
  <si>
    <t>INV 2641 &amp; 42</t>
  </si>
  <si>
    <t>2 room nights (Ref : 09144)</t>
  </si>
  <si>
    <t>Two Thousand Nine Hundred Twenty Five and Cents Ninety Six Only</t>
  </si>
  <si>
    <t xml:space="preserve">Mohd Jufry Yusoff </t>
  </si>
  <si>
    <t>I/C : 610201-03-5153</t>
  </si>
  <si>
    <t>V2013/739</t>
  </si>
  <si>
    <t>562747</t>
  </si>
  <si>
    <t>16th Aug 2013</t>
  </si>
  <si>
    <t>Cleaning Service for 1st half of Aug 2013</t>
  </si>
  <si>
    <t xml:space="preserve"> - PGT's office (RM10x 8 days)</t>
  </si>
  <si>
    <t xml:space="preserve"> - TIC's office (RM10 x 6 days)</t>
  </si>
  <si>
    <t>One Hundred and Forty Only</t>
  </si>
  <si>
    <t>V2013/740</t>
  </si>
  <si>
    <t>562748</t>
  </si>
  <si>
    <t>20th Aug 2013</t>
  </si>
  <si>
    <t>19/08/2013</t>
  </si>
  <si>
    <t>14/08/2013</t>
  </si>
  <si>
    <t>IN8006930</t>
  </si>
  <si>
    <t>Set up day cost 14/08/2013</t>
  </si>
  <si>
    <t>Security Deposti (Refundable)</t>
  </si>
  <si>
    <t>SQCC/2013/08/0008/v1</t>
  </si>
  <si>
    <t>Extra air con supply on event day from 8:30-9:30am</t>
  </si>
  <si>
    <t>RM300 per hour x 2 days</t>
  </si>
  <si>
    <t>Three Thousand and One Hundred Only</t>
  </si>
  <si>
    <t xml:space="preserve">Commission </t>
  </si>
  <si>
    <t>Postage</t>
  </si>
  <si>
    <t>Stamp Duty</t>
  </si>
  <si>
    <t>Bank Guarantee - Ketua Pengarah Imigresen Malaysia</t>
  </si>
  <si>
    <t>28th Aug 2013</t>
  </si>
  <si>
    <t>07/08/2013</t>
  </si>
  <si>
    <t>V2013/750</t>
  </si>
  <si>
    <t>562755</t>
  </si>
  <si>
    <t>Becreative Visual Creation</t>
  </si>
  <si>
    <t>12, Lorong Batu Nilam</t>
  </si>
  <si>
    <t>Batu Maung</t>
  </si>
  <si>
    <t>11960 Penang</t>
  </si>
  <si>
    <t>Tel : 04-626 3936</t>
  </si>
  <si>
    <t>Fax : 04-626 3936</t>
  </si>
  <si>
    <t>16/08/2013</t>
  </si>
  <si>
    <t>00203</t>
  </si>
  <si>
    <t>Lanyard printing - 5,000pcs</t>
  </si>
  <si>
    <t>Sticker Printing - 6,000pcs</t>
  </si>
  <si>
    <t>PVC Card Holder &amp; Card Printing - 3,000pcs</t>
  </si>
  <si>
    <t>Tyvek Wrist Band - 10,000pcs</t>
  </si>
  <si>
    <t xml:space="preserve">Discount </t>
  </si>
  <si>
    <t>Fifteen Thousand Six Hundred and Fifty Eight Only</t>
  </si>
  <si>
    <t xml:space="preserve">Eastern &amp; Oriental Hotel Sdn Bhd </t>
  </si>
  <si>
    <t>10, Lebuh Farquhar</t>
  </si>
  <si>
    <t>Fax : 04-261 6333</t>
  </si>
  <si>
    <t>Holiday Inn Resort Penang</t>
  </si>
  <si>
    <t>Kua Janice Tze Phing</t>
  </si>
  <si>
    <t>I/C : 830525-71-5010</t>
  </si>
  <si>
    <t>5th Sept 2013</t>
  </si>
  <si>
    <t>Hooi Ceramics &amp; Gift Enterprise</t>
  </si>
  <si>
    <t>19-C, 1st Floor, Taman Seri Damai</t>
  </si>
  <si>
    <t>Lebuhraya Batu Lanchang</t>
  </si>
  <si>
    <t xml:space="preserve">Voucher No :.    </t>
  </si>
  <si>
    <t>Date               :</t>
  </si>
  <si>
    <t>Bank              :</t>
  </si>
  <si>
    <t xml:space="preserve">Cheque No. :  </t>
  </si>
  <si>
    <t>Jaykodi Resources</t>
  </si>
  <si>
    <t>No.69A, Jalan P.Ramlee</t>
  </si>
  <si>
    <t>Tel / Fax : 04-226 6354</t>
  </si>
  <si>
    <t xml:space="preserve">Cleaning services for PGT, TIC &amp; Conference </t>
  </si>
  <si>
    <t>AirAsia X Berhad</t>
  </si>
  <si>
    <t>Lot PT16, Jalan KLIA S7</t>
  </si>
  <si>
    <t>Southern Support Zone</t>
  </si>
  <si>
    <t xml:space="preserve">Kuala Lumpur International Airport </t>
  </si>
  <si>
    <t>Fax : 03-8660 4777</t>
  </si>
  <si>
    <t>Tel : 03-8660 4600</t>
  </si>
  <si>
    <t xml:space="preserve">AirAsia Chengdu </t>
  </si>
  <si>
    <t>IN12222</t>
  </si>
  <si>
    <t>Marketing Funds in Support of Penang Tourism</t>
  </si>
  <si>
    <t>for AirAsia Chengdu from June - July 2013</t>
  </si>
  <si>
    <t>Alliance Mobile Equipment Sdn Bhd</t>
  </si>
  <si>
    <t>No.159-O, MK 16, Rifle Range</t>
  </si>
  <si>
    <t>Off Lorong Sempadan 2</t>
  </si>
  <si>
    <t>Tel : 04-8299685</t>
  </si>
  <si>
    <t>Fax : 04-8299703</t>
  </si>
  <si>
    <t>Facilities for Tourism Product</t>
  </si>
  <si>
    <t>26/07/2013</t>
  </si>
  <si>
    <t>IV-4246</t>
  </si>
  <si>
    <t>Portable toilet RM220 x 15 days x 2 units</t>
  </si>
  <si>
    <t>Supply of water tank RM200 x 7 trips</t>
  </si>
  <si>
    <t>Transportation &amp; labour charges</t>
  </si>
  <si>
    <t>IV-4257</t>
  </si>
  <si>
    <t>Portable Toilet RM220 x 2 units</t>
  </si>
  <si>
    <t>(Additional for Hari Raya Puasa's Eve)</t>
  </si>
  <si>
    <t>29/08/2013</t>
  </si>
  <si>
    <t>Alunan Matrik Sdn Bhd</t>
  </si>
  <si>
    <t>Lot K-G-05, Soho KL</t>
  </si>
  <si>
    <t>Solaris Mont Kiara</t>
  </si>
  <si>
    <t>No.2, Jalan Solaris</t>
  </si>
  <si>
    <t>Tel : 03-6211 2223</t>
  </si>
  <si>
    <t>Fax : 03-6204 0713</t>
  </si>
  <si>
    <t>C</t>
  </si>
  <si>
    <t>Click Start Marketing Sdn Bhd</t>
  </si>
  <si>
    <t>1-10-7, Suntech@Penang Cybercity</t>
  </si>
  <si>
    <t>Lintang Mayang Pasir 3</t>
  </si>
  <si>
    <t>11950 Penang</t>
  </si>
  <si>
    <t>Tel : 012-400 5844</t>
  </si>
  <si>
    <t>18th Sept 2013</t>
  </si>
  <si>
    <t>V2013/823</t>
  </si>
  <si>
    <t>630363</t>
  </si>
  <si>
    <t>V2013/824</t>
  </si>
  <si>
    <t>630364</t>
  </si>
  <si>
    <t>V2013/839</t>
  </si>
  <si>
    <t>Jass Visual Resources</t>
  </si>
  <si>
    <t>6-10-4, Jalan Grik</t>
  </si>
  <si>
    <t>Suria Mutiara</t>
  </si>
  <si>
    <t>11600 George Town</t>
  </si>
  <si>
    <t>Tel/Fax : 04-282 6818</t>
  </si>
  <si>
    <t>19th Sept 2013</t>
  </si>
  <si>
    <t>630374</t>
  </si>
  <si>
    <t>2nd Mid-Autumn FestoRama on 15/09/2013</t>
  </si>
  <si>
    <t>16/09/2013</t>
  </si>
  <si>
    <t>IN0039-13</t>
  </si>
  <si>
    <t>Rental of Projector on 15/09/2013</t>
  </si>
  <si>
    <t>Four Thousand Only</t>
  </si>
  <si>
    <t>Penang Promotional Plan for Thailand Market</t>
  </si>
  <si>
    <t>V2013/790</t>
  </si>
  <si>
    <t xml:space="preserve">AirAsia Sin-Pen Push Campaign </t>
  </si>
  <si>
    <t>25/05/2013</t>
  </si>
  <si>
    <t>INSIN 24153</t>
  </si>
  <si>
    <t>20% cost of AirAsia's Pen-Sin campaign</t>
  </si>
  <si>
    <t>20% of SGD80,000</t>
  </si>
  <si>
    <t>(SGD16,000 @ 2.5935)</t>
  </si>
  <si>
    <t>30th Sept 2013</t>
  </si>
  <si>
    <t>Leong Carving Furnishing Deco</t>
  </si>
  <si>
    <t>30-C, Siam Road</t>
  </si>
  <si>
    <t>Tel : 012-408 5819</t>
  </si>
  <si>
    <t>Leong Fook Hong  (I/C:580528-07-5021)</t>
  </si>
  <si>
    <t>Hameed Jaafar Bin P.E.M Mohd Abdullah</t>
  </si>
  <si>
    <t>V2013/864</t>
  </si>
  <si>
    <t>630389</t>
  </si>
  <si>
    <t xml:space="preserve">Ch'ng Poh hong </t>
  </si>
  <si>
    <t>I/C : 601001-07-5818</t>
  </si>
  <si>
    <t xml:space="preserve">Winner of Old Photo Studio Shot Contest </t>
  </si>
  <si>
    <t xml:space="preserve">2nd Mid Autumn Festorama </t>
  </si>
  <si>
    <t>17/09/2013</t>
  </si>
  <si>
    <t>The 2nd Mid Autumn Festorama on 15/09/2013</t>
  </si>
  <si>
    <t>V2013/870</t>
  </si>
  <si>
    <t>630395</t>
  </si>
  <si>
    <t>ColorMax Printing Solutions</t>
  </si>
  <si>
    <t>No.32, Jalan Kuantan 1</t>
  </si>
  <si>
    <t>10150 Georgetown</t>
  </si>
  <si>
    <t>MAX2013/041</t>
  </si>
  <si>
    <t>Backdrop Partitions 8'x 7'</t>
  </si>
  <si>
    <t>3rd Oct 2013</t>
  </si>
  <si>
    <t>V2013/906</t>
  </si>
  <si>
    <t>630425</t>
  </si>
  <si>
    <t>INV 64746</t>
  </si>
  <si>
    <t>1 room night (Ref : 09232)</t>
  </si>
  <si>
    <t>Extra Bed</t>
  </si>
  <si>
    <t>Three Hundred and Twenty Nine Only</t>
  </si>
  <si>
    <t>30/09/2013</t>
  </si>
  <si>
    <t>08/10/2013</t>
  </si>
  <si>
    <t>Seven Thousand One Hundred and Twenty Only</t>
  </si>
  <si>
    <t>V2013/923</t>
  </si>
  <si>
    <t>630442</t>
  </si>
  <si>
    <t>Rental of Sekeping Victoria Whole House for Event on</t>
  </si>
  <si>
    <t>29/11 - 01/12/2013</t>
  </si>
  <si>
    <t>Deposit (Refundable)</t>
  </si>
  <si>
    <t>Five Thousand and Five Hundred Only</t>
  </si>
  <si>
    <t>V2013/925</t>
  </si>
  <si>
    <t>630444</t>
  </si>
  <si>
    <t>Mohammad Ashraf Mohammad Tahir</t>
  </si>
  <si>
    <t>Marking George Town Brochure</t>
  </si>
  <si>
    <t>Translation fee for Marking G'town Brochure</t>
  </si>
  <si>
    <t>(English to B.Melayu)</t>
  </si>
  <si>
    <t>I/C : 710108-07-5263</t>
  </si>
  <si>
    <t>Opening Tea Reception on 29/11/2013</t>
  </si>
  <si>
    <t>(RM35 x 80pax )</t>
  </si>
  <si>
    <t>V2013/962</t>
  </si>
  <si>
    <t>630463</t>
  </si>
  <si>
    <t>17th Oct 2013</t>
  </si>
  <si>
    <t>Products Forum on 11th - 12th Oct 2013</t>
  </si>
  <si>
    <t>Hosting - Beverages on 11/10/2013</t>
  </si>
  <si>
    <t>Four Hundred Twenty Eight and Cetns Five Only</t>
  </si>
  <si>
    <t>Cartesio Sdn Bhd.</t>
  </si>
  <si>
    <t>Via-Pre</t>
  </si>
  <si>
    <t>5, Weld Quay</t>
  </si>
  <si>
    <t>10300 George Town</t>
  </si>
  <si>
    <t>V2013/818</t>
  </si>
  <si>
    <t>13th Sept 2013</t>
  </si>
  <si>
    <t>AF175-2013</t>
  </si>
  <si>
    <t>(USD10,000 @ 3.3060)</t>
  </si>
  <si>
    <t>Sixty Six Thousand One Hundred and Fifty Only</t>
  </si>
  <si>
    <t>Full Payment of USD20,000</t>
  </si>
  <si>
    <t>31st Oct 2013</t>
  </si>
  <si>
    <t xml:space="preserve">PTPTN loan from staff salary for the month </t>
  </si>
  <si>
    <t>18th Oct 2013</t>
  </si>
  <si>
    <t>V2013/967</t>
  </si>
  <si>
    <t>V2013/966</t>
  </si>
  <si>
    <t>Media Smart</t>
  </si>
  <si>
    <t>10, Anson Road</t>
  </si>
  <si>
    <t># 15-14, International Plaza</t>
  </si>
  <si>
    <t>Advertisement in Magazine - SILKWINDS</t>
  </si>
  <si>
    <t>MSI/SW/3703/1013</t>
  </si>
  <si>
    <t>Full page full color advertisement in SILKWINDS</t>
  </si>
  <si>
    <t>magazine - Oct'13</t>
  </si>
  <si>
    <t>Ten Thosuand Two Hundred Forty One and Cents Twenty Only</t>
  </si>
  <si>
    <t xml:space="preserve">Grand Travel </t>
  </si>
  <si>
    <t>5A/ 369, William Street</t>
  </si>
  <si>
    <t>Northbridge, WA</t>
  </si>
  <si>
    <t>Joint Campaign with Grand Travel &amp; Malaysia Airlines</t>
  </si>
  <si>
    <t>in Perth</t>
  </si>
  <si>
    <t>24/09/2013</t>
  </si>
  <si>
    <t>20789</t>
  </si>
  <si>
    <t>Advertisement in Western Surburbs Weekly</t>
  </si>
  <si>
    <t>Twenty Thousand and Thirty Only</t>
  </si>
  <si>
    <t>70% Balance of total RM2,800</t>
  </si>
  <si>
    <t>One Thousand Nine Hundred and Sixty Only</t>
  </si>
  <si>
    <t>Last Fri, Sat and Sun for the month of Oct'13</t>
  </si>
  <si>
    <t>28/10/2013</t>
  </si>
  <si>
    <t>INV 199350</t>
  </si>
  <si>
    <t xml:space="preserve">Performance of Dikir Barat @ Botanical </t>
  </si>
  <si>
    <t>Garden on 27/10/2013</t>
  </si>
  <si>
    <t>One Thousand and Four Hundred Only</t>
  </si>
  <si>
    <t>Malaysia Book of Records Sdn Bhd</t>
  </si>
  <si>
    <t xml:space="preserve">Block C-GR-1, Ground Floor </t>
  </si>
  <si>
    <t xml:space="preserve">Ue3 Menara Uncang Emas </t>
  </si>
  <si>
    <t xml:space="preserve">No.85, Jalan Loke Yew </t>
  </si>
  <si>
    <t>55200 Kuala Lumpur</t>
  </si>
  <si>
    <t xml:space="preserve">Advertisement </t>
  </si>
  <si>
    <t>INV 2907</t>
  </si>
  <si>
    <t>Place 2 pages of Advertisement in MBR 2014</t>
  </si>
  <si>
    <t>Edition</t>
  </si>
  <si>
    <t>V2013/979</t>
  </si>
  <si>
    <t>630473</t>
  </si>
  <si>
    <t>V2013/984</t>
  </si>
  <si>
    <t>630478</t>
  </si>
  <si>
    <t>V2013/986</t>
  </si>
  <si>
    <t>630480</t>
  </si>
  <si>
    <t>1/11/2013</t>
  </si>
  <si>
    <t>12th Nov 2013</t>
  </si>
  <si>
    <t>Farawahida Bt Muhammad Fairuz</t>
  </si>
  <si>
    <t>Universiti Teknologi MARA Pulau Pinang</t>
  </si>
  <si>
    <t>period from 21st Octoner to 23rd Feb 2014</t>
  </si>
  <si>
    <t>Memo dated 25.09.2013</t>
  </si>
  <si>
    <t>V2013/1019</t>
  </si>
  <si>
    <t>630501</t>
  </si>
  <si>
    <t>PGT Walkabout Tour - Oct</t>
  </si>
  <si>
    <t>04</t>
  </si>
  <si>
    <t>Guide fee on 28/10/2013</t>
  </si>
  <si>
    <t>13th Nov 2013</t>
  </si>
  <si>
    <t>Chan Kam Seng</t>
  </si>
  <si>
    <t>Imperial Tours &amp; Travel Pte Ltd</t>
  </si>
  <si>
    <t>141, Middle Road GSM Building</t>
  </si>
  <si>
    <t># 03-02B, Singapore 188976</t>
  </si>
  <si>
    <t>Tel : 65-63991866</t>
  </si>
  <si>
    <t>Sg Networking Session &amp; Sponsorship for Consortium Ads</t>
  </si>
  <si>
    <t>on Penang Packages</t>
  </si>
  <si>
    <t>24/10/2013</t>
  </si>
  <si>
    <t>Size : 6cm x 8 col (B&amp;W)</t>
  </si>
  <si>
    <t xml:space="preserve">Being cost of joint advertisement for Today Paper </t>
  </si>
  <si>
    <t>18th Nov 2013</t>
  </si>
  <si>
    <t>Statement of Claims</t>
  </si>
  <si>
    <t>V2013/1014</t>
  </si>
  <si>
    <t>12/11/2013</t>
  </si>
  <si>
    <t>Asia Holiday Tour &amp; Travel</t>
  </si>
  <si>
    <t>Freddy Wuisan</t>
  </si>
  <si>
    <t>Pg Showcase in Surabaya Indonesia on 13th - 18th Nov 2013</t>
  </si>
  <si>
    <t>002/XI/PGT/2013</t>
  </si>
  <si>
    <t>Deposit to Organizer for Surabaya Pg Showcase</t>
  </si>
  <si>
    <t>(IDR 125,000,000 x 0.000286)</t>
  </si>
  <si>
    <t>Thirty Five Thousand Seven Hundred and Seventy Only</t>
  </si>
  <si>
    <t>(Rental of Ciputra world, Stage, PGT booth,</t>
  </si>
  <si>
    <t>Rental of LED TV and DVD Player, Table Top Function)</t>
  </si>
  <si>
    <t>V2013/1045</t>
  </si>
  <si>
    <t>630522</t>
  </si>
  <si>
    <t xml:space="preserve">141, Middle Road </t>
  </si>
  <si>
    <t>GSM Building # 03-02B</t>
  </si>
  <si>
    <t>Singapore 188976</t>
  </si>
  <si>
    <t>Tel : (65) 6339 1866</t>
  </si>
  <si>
    <t>Sg Networkiing &amp; Sponsorship for Consortium Advertisement</t>
  </si>
  <si>
    <t>on Penang Package</t>
  </si>
  <si>
    <t>Joint Advertisement Today Paper</t>
  </si>
  <si>
    <t>19th Nov 2013</t>
  </si>
  <si>
    <t>V2013/1059</t>
  </si>
  <si>
    <t>630536</t>
  </si>
  <si>
    <t>Enhancing Knowlede on Employement Act 1955</t>
  </si>
  <si>
    <t xml:space="preserve">on 18th &amp; 19th Dec 2013 </t>
  </si>
  <si>
    <t xml:space="preserve"> - Lim Hooi Leng</t>
  </si>
  <si>
    <t>6th Aug 2013</t>
  </si>
  <si>
    <t>Nine Thousand Only</t>
  </si>
  <si>
    <t>Payment for the fee of Festival Curator of the GTLF</t>
  </si>
  <si>
    <t>V2013/1066</t>
  </si>
  <si>
    <t>630544</t>
  </si>
  <si>
    <t>26th Nov 2013</t>
  </si>
  <si>
    <t>V2013/1068</t>
  </si>
  <si>
    <t>630546</t>
  </si>
  <si>
    <t>MuseuM Hotel (M) Sdn Bhd</t>
  </si>
  <si>
    <t>No.72, Jalan A.S. Mansor</t>
  </si>
  <si>
    <t>Tel / Fax : 04-226 3546</t>
  </si>
  <si>
    <t>MH 1125-13</t>
  </si>
  <si>
    <t>Hotel Accommodation - 1 room night</t>
  </si>
  <si>
    <t xml:space="preserve"> - Sharaad Kuttan</t>
  </si>
  <si>
    <t xml:space="preserve"> (RM256.36 nett per night)</t>
  </si>
  <si>
    <t>One Thousand Twenty Five and Cents Forty Four Only</t>
  </si>
  <si>
    <t>29th Nov 2013</t>
  </si>
  <si>
    <t>14/11/2013</t>
  </si>
  <si>
    <t>V2013/1075</t>
  </si>
  <si>
    <t>630551</t>
  </si>
  <si>
    <t>AirAsia Taiwan Blogger FAM Trip on 13-15th Nov 2013</t>
  </si>
  <si>
    <t>18/11/2013</t>
  </si>
  <si>
    <t>131105</t>
  </si>
  <si>
    <t>Transportation for 7 pax from 13/11-15/11</t>
  </si>
  <si>
    <t>Three Hundred and Sixty Five Only</t>
  </si>
  <si>
    <t>V2013/1076</t>
  </si>
  <si>
    <t>630552</t>
  </si>
  <si>
    <t>Centrilinc Sdn Bhd</t>
  </si>
  <si>
    <t>No.7-7, The Boulevard</t>
  </si>
  <si>
    <t>Mid Valley City</t>
  </si>
  <si>
    <t>Lingkaran Syed Putra</t>
  </si>
  <si>
    <t>19/11/2013</t>
  </si>
  <si>
    <t>INV1311/030</t>
  </si>
  <si>
    <t>MS Excel ( Functions &amp; Formulas) Training Courses</t>
  </si>
  <si>
    <t>on 12 &amp; 13th Dec 2013</t>
  </si>
  <si>
    <t xml:space="preserve"> - Seow Ai See</t>
  </si>
  <si>
    <t>Nine Hundred and Ninety Only</t>
  </si>
  <si>
    <t>Leong Wei Leng</t>
  </si>
  <si>
    <t>5th Dec 2013</t>
  </si>
  <si>
    <t>Lee Ter Yi</t>
  </si>
  <si>
    <t>29/11/2013</t>
  </si>
  <si>
    <t>V2013/1128</t>
  </si>
  <si>
    <t>Fly &amp; Cruise Taiwan Media &amp; Agents FAM Trip on 2-8th Nov13</t>
  </si>
  <si>
    <t>2/11/2013</t>
  </si>
  <si>
    <t>Buffet Dinner 2/11/2013</t>
  </si>
  <si>
    <t>RM75nett  x 23 pax</t>
  </si>
  <si>
    <t>One Thousand Seven Hundred and Twenty Five Only</t>
  </si>
  <si>
    <t>11th Dec 2013</t>
  </si>
  <si>
    <t>630590</t>
  </si>
  <si>
    <t>17th Dec 2013</t>
  </si>
  <si>
    <t>V2013/1157</t>
  </si>
  <si>
    <t>630612</t>
  </si>
  <si>
    <t>Franciscus Nithya Nantham A/L Ramasamy</t>
  </si>
  <si>
    <t>George Town Literary Festival 2013 - Gift of Rain Trail</t>
  </si>
  <si>
    <t xml:space="preserve">Aikido demonstration at Bellevue Hotel Penang </t>
  </si>
  <si>
    <t>Hill Penang</t>
  </si>
  <si>
    <t>Seven Hundred Only</t>
  </si>
  <si>
    <t>30th Dec 2013</t>
  </si>
  <si>
    <t>V2013/1104</t>
  </si>
  <si>
    <t>Mind Sense Sdn Bhd\</t>
  </si>
  <si>
    <t>No.107,1st Floor, Mutiara Majestic Square</t>
  </si>
  <si>
    <t>15, Jalan Othman, Section 3</t>
  </si>
  <si>
    <t>46000 Petaling Jaya</t>
  </si>
  <si>
    <t>Tel : 03-7781 77710</t>
  </si>
  <si>
    <t>Fax : 03-7781 7880</t>
  </si>
  <si>
    <t>Advertisement - Magazine</t>
  </si>
  <si>
    <t>INV2013/NOV/090</t>
  </si>
  <si>
    <t>Print Ads in Beyond Magazine - Oct/Nov 2013</t>
  </si>
  <si>
    <t>V2013/1105</t>
  </si>
  <si>
    <t>Jalan Indragiri 12-18 #A9</t>
  </si>
  <si>
    <t>Surabaya 60251</t>
  </si>
  <si>
    <t>Indonesia</t>
  </si>
  <si>
    <t>Penang Showcase in Surabaya Indonesia on 13th-18th Nov 13</t>
  </si>
  <si>
    <t>198/Xi/PGT/2013</t>
  </si>
  <si>
    <t>Balance payment to Organizer for Surabaya Pg</t>
  </si>
  <si>
    <t>Showcase (Rental of Ciputra world, Stage, PGT</t>
  </si>
  <si>
    <t>Booth, Rental of LED TV and DVD player, Table</t>
  </si>
  <si>
    <t>Top Function)</t>
  </si>
  <si>
    <t>(IDR 87,581,250 x 0.000284)</t>
  </si>
  <si>
    <t xml:space="preserve"> - Hotel Accommodation (OGL)</t>
  </si>
  <si>
    <t xml:space="preserve"> - Hotel Accommodation (Yoon Pauline)</t>
  </si>
  <si>
    <t xml:space="preserve"> - Hotel Accommodation (Darren Ng)</t>
  </si>
  <si>
    <t>Reimbursement of payment on behalf PGT :</t>
  </si>
  <si>
    <t>Twenty Seven Thousand Four Hundred Fifty Nine and Cents Two Only</t>
  </si>
  <si>
    <t>Chan Hon Meng</t>
  </si>
  <si>
    <t>I/C : 410128-07-5143</t>
  </si>
  <si>
    <t>Cost of Goods Sold - PGT Walkabout Tour</t>
  </si>
  <si>
    <t>Guide fee on 14/11/2013</t>
  </si>
  <si>
    <t>Guide fee on 29/11/2013</t>
  </si>
  <si>
    <t>Nurul Aini Binti Idris</t>
  </si>
  <si>
    <t xml:space="preserve">Politeknik Sultan Idris Shah </t>
  </si>
  <si>
    <t>period from 2nd December 2013 - 18th April 2014</t>
  </si>
  <si>
    <t>Memo dated 05.08.2013</t>
  </si>
  <si>
    <t>Student No : 17DUP12F1084</t>
  </si>
  <si>
    <t>Student No : 17DUP12F1007</t>
  </si>
  <si>
    <t>Natassya Amirah Binti Noorisham</t>
  </si>
  <si>
    <t>V2013/1196</t>
  </si>
  <si>
    <t>630642</t>
  </si>
  <si>
    <t>Koleksi Wasayang</t>
  </si>
  <si>
    <t>Lyndy Ong - Tour Guide</t>
  </si>
  <si>
    <t>PPB Group Berhad</t>
  </si>
  <si>
    <t>Fax : 04229 5557</t>
  </si>
  <si>
    <t>V2014/012</t>
  </si>
  <si>
    <t>9th Jan 2014</t>
  </si>
  <si>
    <t>686963</t>
  </si>
  <si>
    <t>Chung Ling Private High School</t>
  </si>
  <si>
    <t>Kampung Baru</t>
  </si>
  <si>
    <t>Tel : 04-828 3655</t>
  </si>
  <si>
    <t>Fax : 04-828 0656</t>
  </si>
  <si>
    <t>Last Fri, Sat &amp; Sun for the month Dec'13</t>
  </si>
  <si>
    <t>Letter dated 28.11.2013</t>
  </si>
  <si>
    <t>Music in the garden on 29/12/2013</t>
  </si>
  <si>
    <t>V2014/015</t>
  </si>
  <si>
    <t>686966</t>
  </si>
  <si>
    <t>31/12/2013</t>
  </si>
  <si>
    <t>066/12/2013</t>
  </si>
  <si>
    <t>FAM Trip - Journalist from Arab</t>
  </si>
  <si>
    <t>Transportation &amp; Guide fee to Bujang Valley</t>
  </si>
  <si>
    <t>Georgetown Transport &amp; Tourist Service Sdn Bhd</t>
  </si>
  <si>
    <t>14, Immigration Road</t>
  </si>
  <si>
    <t>Tel : 04-229 5788</t>
  </si>
  <si>
    <t>Fax : 04-229 5575</t>
  </si>
  <si>
    <t>V2014/017</t>
  </si>
  <si>
    <t>686968</t>
  </si>
  <si>
    <t>Mursyida Binti Mohamed Bahari</t>
  </si>
  <si>
    <t>Junior Executive</t>
  </si>
  <si>
    <t>I/C : 901107-07-5538</t>
  </si>
  <si>
    <t>Annual Leave for 1 day</t>
  </si>
  <si>
    <t>Basic Pay for 1st Jan - 2nd Jan 2014</t>
  </si>
  <si>
    <t>Salary for the month of Jan'14</t>
  </si>
  <si>
    <t>EPF Employee</t>
  </si>
  <si>
    <t>Deductions :</t>
  </si>
  <si>
    <t>Socso Employee</t>
  </si>
  <si>
    <t>One Hundred Forty Four and Cents Eighteen Only</t>
  </si>
  <si>
    <t>15th Jan 2014</t>
  </si>
  <si>
    <t>08/01/2014</t>
  </si>
  <si>
    <t>V2014/038</t>
  </si>
  <si>
    <t>686988</t>
  </si>
  <si>
    <t>Sunday Car Free Day Event - Kasut Manek on 29/12/2013</t>
  </si>
  <si>
    <t>29/12/2013</t>
  </si>
  <si>
    <t>kasuk manek beading on 29/12/2013 @ RM8.20</t>
  </si>
  <si>
    <t xml:space="preserve">Being supply of 18 sets mini starter kit for </t>
  </si>
  <si>
    <t>One Hundred Forty Seven and Cents Sixty Only</t>
  </si>
  <si>
    <t>V2014/040</t>
  </si>
  <si>
    <t>686990</t>
  </si>
  <si>
    <t>Islamic Tourism Centre</t>
  </si>
  <si>
    <t>Level 13, Ministry of Tourism &amp; Culture Malaysia</t>
  </si>
  <si>
    <t>Participation fee x 2 persons</t>
  </si>
  <si>
    <t xml:space="preserve"> - Jason Sim &amp; Azfalyza </t>
  </si>
  <si>
    <t>One Hundred and Sixty Only</t>
  </si>
  <si>
    <t>Briefing &amp; Workshop on Islamic Tourism on 28/01/14</t>
  </si>
  <si>
    <t>Broadcasting @ MIX FM</t>
  </si>
  <si>
    <t>Broadcasting @ Melody FM</t>
  </si>
  <si>
    <t>Meru Utama Sdn Bhd</t>
  </si>
  <si>
    <t>Redberry City</t>
  </si>
  <si>
    <t>Lot 2A, Jalan 13/2</t>
  </si>
  <si>
    <t>Penang Yosakoi Parade 2014</t>
  </si>
  <si>
    <t>V2014/072</t>
  </si>
  <si>
    <t>687014</t>
  </si>
  <si>
    <t>16/12/2013</t>
  </si>
  <si>
    <t>PGT04-13</t>
  </si>
  <si>
    <t>Copy writing for PGT Website (10 articles)</t>
  </si>
  <si>
    <t>Content development and copywriting for 16 page</t>
  </si>
  <si>
    <t>Trade Show Brochure</t>
  </si>
  <si>
    <t>Eight Thousand and Five Hundred Only</t>
  </si>
  <si>
    <t>28th Jan 2014</t>
  </si>
  <si>
    <t>Four Hundred Seventy and Cents Seventy One Only</t>
  </si>
  <si>
    <t>Bagan Eighteen Sdn Bhd</t>
  </si>
  <si>
    <t>Macalister Mansion</t>
  </si>
  <si>
    <t>PGT Get Together Dinner on 11/02/2014</t>
  </si>
  <si>
    <t>14th Feb 2014</t>
  </si>
  <si>
    <t>V2014/112</t>
  </si>
  <si>
    <t>687048</t>
  </si>
  <si>
    <t>Balance payment of PGT BOD Get-together Dinner</t>
  </si>
  <si>
    <t>on 11/02/2014</t>
  </si>
  <si>
    <t>Three Thousand Six Hundred Twenty Six and Cents Twenty Only</t>
  </si>
  <si>
    <t>Cost of service and providing paint materials for</t>
  </si>
  <si>
    <t>24th Feb 2014</t>
  </si>
  <si>
    <t>V2014/139</t>
  </si>
  <si>
    <t>687072</t>
  </si>
  <si>
    <t>Extiva Communications Sdn Bhd</t>
  </si>
  <si>
    <t>YES 4G Internet</t>
  </si>
  <si>
    <t>YES 4G Internet for PGT &amp; TIC</t>
  </si>
  <si>
    <t>Activation fee RM100 x 2</t>
  </si>
  <si>
    <t>One month advance plan payment RM98 x 2</t>
  </si>
  <si>
    <t>Three Hundred and Ninety Six Only</t>
  </si>
  <si>
    <t>V2014/142</t>
  </si>
  <si>
    <t>687075</t>
  </si>
  <si>
    <t>Lam Ah Company Sdn Berhad</t>
  </si>
  <si>
    <t>No.23, Promenade 28</t>
  </si>
  <si>
    <t>Lebuh Sungai Pinang</t>
  </si>
  <si>
    <t>Tel : 04-281 2828</t>
  </si>
  <si>
    <t>18/02/2014</t>
  </si>
  <si>
    <t>Ins/02/02/2014</t>
  </si>
  <si>
    <t xml:space="preserve">Premium for Travel Insurance </t>
  </si>
  <si>
    <t>(Period : 01/03/2014 - 28/02/2015)</t>
  </si>
  <si>
    <t>V2014/153</t>
  </si>
  <si>
    <t>687086</t>
  </si>
  <si>
    <t xml:space="preserve"> -1st Feb - 23th Feb 2014</t>
  </si>
  <si>
    <t>Two Hundred Eighty Seven and Cents Fifty Only</t>
  </si>
  <si>
    <t>Balasubramaniyam A/L Murugaiah</t>
  </si>
  <si>
    <t>H/P : 016-485 6879</t>
  </si>
  <si>
    <t>Design Furniture Station</t>
  </si>
  <si>
    <t>Design Haus</t>
  </si>
  <si>
    <t>SOVO @ Logan Heritage</t>
  </si>
  <si>
    <t>No.5-1 &amp; 7-1, 1st Floor</t>
  </si>
  <si>
    <t>Logan Heritage, Union Street</t>
  </si>
  <si>
    <t>10A, Lorong Seratus Tahun,</t>
  </si>
  <si>
    <t>Pejabat Setiausaha Kerajaan Pulau Pinang</t>
  </si>
  <si>
    <t>12th Mar 2014</t>
  </si>
  <si>
    <t>V2014/185</t>
  </si>
  <si>
    <t>687123</t>
  </si>
  <si>
    <t>Chan Wei Meng Construction</t>
  </si>
  <si>
    <t>85, Lorong Macalister</t>
  </si>
  <si>
    <t>10400 Georgetown</t>
  </si>
  <si>
    <t>Tel : 04-227 8103</t>
  </si>
  <si>
    <t>On 8th - 10th March 2014</t>
  </si>
  <si>
    <t>07/03/2014</t>
  </si>
  <si>
    <t>1006</t>
  </si>
  <si>
    <t xml:space="preserve">To install cement brick statue base for Bronze statue </t>
  </si>
  <si>
    <t xml:space="preserve">Labour and transportation to deliver and install the </t>
  </si>
  <si>
    <t>Labour and transportation to remove debris</t>
  </si>
  <si>
    <t>To construct foundation for the statue</t>
  </si>
  <si>
    <t xml:space="preserve">To relocate the lilly pond </t>
  </si>
  <si>
    <t>To lay crushed marble stones surrounding the statue</t>
  </si>
  <si>
    <t>1007</t>
  </si>
  <si>
    <t>Variation Order (V.O) for install the granite engraving</t>
  </si>
  <si>
    <t>plate &amp; labour and material to construct the edging</t>
  </si>
  <si>
    <t>Ten Thousand Four Hundred Ten and Cents Eighty Only</t>
  </si>
  <si>
    <t>Dr Wu Lien Teh Commemorative Symposium in Penang</t>
  </si>
  <si>
    <t>Shanghai  Plaster finish</t>
  </si>
  <si>
    <t>28/02/2014</t>
  </si>
  <si>
    <t>V2014/211</t>
  </si>
  <si>
    <t>687149</t>
  </si>
  <si>
    <t>Kamilia Binti Zainol</t>
  </si>
  <si>
    <t>I/C : 890706-03-5190</t>
  </si>
  <si>
    <t>Annual Leave pay back (2 days)</t>
  </si>
  <si>
    <t xml:space="preserve"> - Car Park fee for month Jan</t>
  </si>
  <si>
    <t xml:space="preserve"> - Top up for Airport H/P </t>
  </si>
  <si>
    <t>One Hundred Seventy Eight and Cents Fifteen Only</t>
  </si>
  <si>
    <t xml:space="preserve">(-) EPF </t>
  </si>
  <si>
    <t>Reimbursement :</t>
  </si>
  <si>
    <t>V2014/216</t>
  </si>
  <si>
    <t>14th Mar 2014</t>
  </si>
  <si>
    <t>687154</t>
  </si>
  <si>
    <t>Hainanese Delights</t>
  </si>
  <si>
    <t>186395</t>
  </si>
  <si>
    <t>Dinner &amp; Drinks for 16 pax on 23/02/2014</t>
  </si>
  <si>
    <t>Dragon Air - Nanjing Agent FAM Trip on 21-24 Feb 2014</t>
  </si>
  <si>
    <t>Eight Hundred Eighty Two and Cents Forty Five Only</t>
  </si>
  <si>
    <t>31st Mar 2014</t>
  </si>
  <si>
    <t>Diztinct Media Sdn Bhd</t>
  </si>
  <si>
    <t>15-2-18, Bayan Point</t>
  </si>
  <si>
    <t>Medan Kampung Relau</t>
  </si>
  <si>
    <t>Tel : 012-4269326</t>
  </si>
  <si>
    <t>H/P : 012-4269326</t>
  </si>
  <si>
    <t>29/01/2014</t>
  </si>
  <si>
    <t>Three Thousand Four Hundred and Sixty Six Only</t>
  </si>
  <si>
    <t>Three Hundred and Fifty Eight Only</t>
  </si>
  <si>
    <t>Tel : 04-370 1188</t>
  </si>
  <si>
    <t>Fax : 04-370 2288</t>
  </si>
  <si>
    <t>V2014/241</t>
  </si>
  <si>
    <t>687179</t>
  </si>
  <si>
    <t>INV R00833</t>
  </si>
  <si>
    <t>Printing of A5 Flyer - 5,000pcs</t>
  </si>
  <si>
    <t>V2014/243</t>
  </si>
  <si>
    <t>687181</t>
  </si>
  <si>
    <t>Emi Yamizaki</t>
  </si>
  <si>
    <t>Penang Yosakoi Parade</t>
  </si>
  <si>
    <t xml:space="preserve"> - MPPP License Sticker for Streamers - 10pcs</t>
  </si>
  <si>
    <t xml:space="preserve"> - MPPP License Sticker for Streamers - 30pcs</t>
  </si>
  <si>
    <t xml:space="preserve"> - Printing of A4 Flyer -2,000pcs</t>
  </si>
  <si>
    <t xml:space="preserve"> - Printing of 4x6ft Streamer - 2pcs</t>
  </si>
  <si>
    <t>Four Hundred and Fifty Two Only</t>
  </si>
  <si>
    <t>V2014/244</t>
  </si>
  <si>
    <t>687182</t>
  </si>
  <si>
    <t>02/01/2014</t>
  </si>
  <si>
    <t>INV CS105518</t>
  </si>
  <si>
    <t>V2014/246</t>
  </si>
  <si>
    <t>687184</t>
  </si>
  <si>
    <t>10/04/2014</t>
  </si>
  <si>
    <t>V2014/266</t>
  </si>
  <si>
    <t>691203</t>
  </si>
  <si>
    <t>My Mini Clogs Session in Mar'14</t>
  </si>
  <si>
    <t>painting of wooden clogs on 30/03/2014</t>
  </si>
  <si>
    <t>Wooden clog - 2 pairs</t>
  </si>
  <si>
    <t>Three Hundred and Forty Only</t>
  </si>
  <si>
    <t>V2014/282</t>
  </si>
  <si>
    <t>11th April 2014</t>
  </si>
  <si>
    <t>691219</t>
  </si>
  <si>
    <t xml:space="preserve"> - 1st April - 18th April 2014</t>
  </si>
  <si>
    <t>Two Hundred and Ten Only</t>
  </si>
  <si>
    <t>V2014/283</t>
  </si>
  <si>
    <t>691220</t>
  </si>
  <si>
    <t>Broadcasting @ Lite FM</t>
  </si>
  <si>
    <t>Broadcasting @ Sinar FM</t>
  </si>
  <si>
    <t>Office Upkeep &amp; Expenses</t>
  </si>
  <si>
    <t>Tel : 04-264 4733</t>
  </si>
  <si>
    <t>Fax: 04-264 4732</t>
  </si>
  <si>
    <t>2st May 2014</t>
  </si>
  <si>
    <t>V2014/312</t>
  </si>
  <si>
    <t>691246</t>
  </si>
  <si>
    <t>Last Fri, Sat &amp; Sun for the month of Mar' 2014</t>
  </si>
  <si>
    <t>Benedict Lian Shi Xiang</t>
  </si>
  <si>
    <t>Sekretariat Orkestra Cina</t>
  </si>
  <si>
    <t>Universiti Sains Malaysia</t>
  </si>
  <si>
    <t>11800 Minden</t>
  </si>
  <si>
    <t>President</t>
  </si>
  <si>
    <t>Letter dated 17/03/14</t>
  </si>
  <si>
    <t>Performance @ Botanic Garden on 30/03/014</t>
  </si>
  <si>
    <t>23/04/2014</t>
  </si>
  <si>
    <t>V2014/317</t>
  </si>
  <si>
    <t>691251</t>
  </si>
  <si>
    <t>08/04/2014</t>
  </si>
  <si>
    <t>MY00100144659</t>
  </si>
  <si>
    <t>Being audit fee for the year ended 31 Dec 2013</t>
  </si>
  <si>
    <t>V2014/319</t>
  </si>
  <si>
    <t>691253</t>
  </si>
  <si>
    <t>INV MSA376342</t>
  </si>
  <si>
    <t>18/04/2014</t>
  </si>
  <si>
    <t>31/12/2014</t>
  </si>
  <si>
    <t>Jerome Quah Jeng Luen</t>
  </si>
  <si>
    <t>LA Vintage Design</t>
  </si>
  <si>
    <t>17-9-3A, Serina Bay Apartment</t>
  </si>
  <si>
    <t>Hilir Sungai Pinang</t>
  </si>
  <si>
    <t xml:space="preserve">11600 George Town </t>
  </si>
  <si>
    <t>Tel : 012-440 1398</t>
  </si>
  <si>
    <t>Legion Parking &amp; Tours (M) Sdn Bhd</t>
  </si>
  <si>
    <t>30th May 2014</t>
  </si>
  <si>
    <t>DHL Expresss (Malaysia) Sdn Bhd</t>
  </si>
  <si>
    <t>Level 27, Menara TM</t>
  </si>
  <si>
    <t>Off Jalan Pantai Baharu</t>
  </si>
  <si>
    <t>50672 Kuala Lumpur</t>
  </si>
  <si>
    <t>Tel : 03-2241 8600</t>
  </si>
  <si>
    <t>14/05/2014</t>
  </si>
  <si>
    <t>V2014/382</t>
  </si>
  <si>
    <t>691313</t>
  </si>
  <si>
    <t>Impress LED Advertise Sdn Bhd</t>
  </si>
  <si>
    <t>20th Floor (Penthouse Suite)</t>
  </si>
  <si>
    <t>Hotel Royal Office Tower</t>
  </si>
  <si>
    <t>NO.3, Jalan Larut</t>
  </si>
  <si>
    <t>Tel : 04-229 0281</t>
  </si>
  <si>
    <t>LED Advertising</t>
  </si>
  <si>
    <t>L14-04/004</t>
  </si>
  <si>
    <t xml:space="preserve">Auto-city screen (10 seconds) </t>
  </si>
  <si>
    <t>Period : 1/07/2014 - 31/07/2014</t>
  </si>
  <si>
    <t>V2014/412</t>
  </si>
  <si>
    <t>691346</t>
  </si>
  <si>
    <t>China Southern Airlines</t>
  </si>
  <si>
    <t>Suite 7D, 7th Floor Menara BHL</t>
  </si>
  <si>
    <t>51, Jalan Sultan Ahmad Shah</t>
  </si>
  <si>
    <t>Tel : 04-227 8878</t>
  </si>
  <si>
    <t>Sales Mission to Guanzhou &amp; Shenzhen on 14-17 May 2014</t>
  </si>
  <si>
    <t>201405-195</t>
  </si>
  <si>
    <t>Airport Tax for Ooi Geok Ling (PEN-GZ-PEN)</t>
  </si>
  <si>
    <t>Air Ticket for Foo Yu Keong (PEN-GZ-PEN)</t>
  </si>
  <si>
    <t>V2014/416</t>
  </si>
  <si>
    <t>2nd June 2014</t>
  </si>
  <si>
    <t>INV 0524</t>
  </si>
  <si>
    <t xml:space="preserve">Graphic design facebook activities </t>
  </si>
  <si>
    <t>Air ticket for luckydraw</t>
  </si>
  <si>
    <t>Mailing postage</t>
  </si>
  <si>
    <t>(THB15,844 x 0.107)</t>
  </si>
  <si>
    <t>17th June 2014</t>
  </si>
  <si>
    <t>V2014/420</t>
  </si>
  <si>
    <t>691353</t>
  </si>
  <si>
    <t>29/05/2014</t>
  </si>
  <si>
    <t>AB0373/14</t>
  </si>
  <si>
    <t>(RM110 x 3 copies)</t>
  </si>
  <si>
    <t xml:space="preserve">Last Fri, Sat &amp; Sun for the month of May '14 on </t>
  </si>
  <si>
    <t>Dream Art Centre</t>
  </si>
  <si>
    <t>22 Solok Batu Lanchang</t>
  </si>
  <si>
    <t>Tel : 012-4780096</t>
  </si>
  <si>
    <t>09/06/2014</t>
  </si>
  <si>
    <t xml:space="preserve"> - Wrapping cost</t>
  </si>
  <si>
    <t>30th June 2014</t>
  </si>
  <si>
    <t>20th June 2014</t>
  </si>
  <si>
    <t>Boustead Weld Quay Sdn Bhd</t>
  </si>
  <si>
    <t>The Royale Bintang Penang</t>
  </si>
  <si>
    <t>1 &amp; 2 Pengkalan Weld</t>
  </si>
  <si>
    <t>Tel : 04-259 8888</t>
  </si>
  <si>
    <t>Fax : 04-250 1111</t>
  </si>
  <si>
    <t>V2014/458</t>
  </si>
  <si>
    <t>691390</t>
  </si>
  <si>
    <t>Cheah Kwan Mien</t>
  </si>
  <si>
    <t>Pusat Pengajian Seni USM</t>
  </si>
  <si>
    <t>Last Fri, Sat and Sun for the month - May'14</t>
  </si>
  <si>
    <t>Letter rcd 17.06.2014</t>
  </si>
  <si>
    <t>Music in the garden performance on 25/05/2014</t>
  </si>
  <si>
    <t>Photo / Video Archiving</t>
  </si>
  <si>
    <t>19/06/2014</t>
  </si>
  <si>
    <t>Souvenirs/Gifts</t>
  </si>
  <si>
    <t>Photo/Video Archiving</t>
  </si>
  <si>
    <t>V2014/493</t>
  </si>
  <si>
    <t>691424</t>
  </si>
  <si>
    <t>1st July 2014</t>
  </si>
  <si>
    <t>V2014/481</t>
  </si>
  <si>
    <t>25th June 2014</t>
  </si>
  <si>
    <t>Mediaplus Advertising Co. Ltd</t>
  </si>
  <si>
    <t>98/160 Moo.1 Pha Phuket Kaew Road</t>
  </si>
  <si>
    <t>Tambon Kathu, Amphor Kathu</t>
  </si>
  <si>
    <t>Advertisement - Outdoor</t>
  </si>
  <si>
    <t>MA2014/0012</t>
  </si>
  <si>
    <t>Billboard @ Phuket (H) 10m x (W) 13.30m</t>
  </si>
  <si>
    <t>V2014/482</t>
  </si>
  <si>
    <t>Hong Kong Tramways Limited</t>
  </si>
  <si>
    <t>Whitty Street Tram Depot</t>
  </si>
  <si>
    <t>Connaught Road West</t>
  </si>
  <si>
    <t>Western District</t>
  </si>
  <si>
    <t xml:space="preserve">Hong Kong </t>
  </si>
  <si>
    <t>Launching of Hong Kong Media Campaign</t>
  </si>
  <si>
    <t>TH14-0611</t>
  </si>
  <si>
    <t>Passenger Tram</t>
  </si>
  <si>
    <t>Green Antique Tram</t>
  </si>
  <si>
    <t>(HKD 26,400 @ 42.68 )</t>
  </si>
  <si>
    <t>(THB400,000 @ 10.552)</t>
  </si>
  <si>
    <t>V2014/505</t>
  </si>
  <si>
    <t>A-One Production Limited</t>
  </si>
  <si>
    <t>RM0321/F, Wing Fung Industrial Building</t>
  </si>
  <si>
    <t>40-50, Sha Tshui Road</t>
  </si>
  <si>
    <t>Tsuen Wan, Hong Kong</t>
  </si>
  <si>
    <t>27/06/2014</t>
  </si>
  <si>
    <t>A1/142881</t>
  </si>
  <si>
    <t>Sound System Equipment</t>
  </si>
  <si>
    <t>Launching of Hong Kong Media Campaign on 02/07/14</t>
  </si>
  <si>
    <t>Reception Table</t>
  </si>
  <si>
    <t>Ribbon Ball Production</t>
  </si>
  <si>
    <t>Banner Production</t>
  </si>
  <si>
    <t>(HKD10,300 @ 42.54)</t>
  </si>
  <si>
    <t>8th July 2014</t>
  </si>
  <si>
    <t>Advertising - LED</t>
  </si>
  <si>
    <t>Bi-weekly Rental charges on Oohm in Persiaran</t>
  </si>
  <si>
    <t>Gurney, Jalan Kelawei &amp; Jalan Scotland</t>
  </si>
  <si>
    <t>(Total 62 units @ RM240 per unit)</t>
  </si>
  <si>
    <t>12gm Nutmeg Balm - 100units</t>
  </si>
  <si>
    <t>V2014/511</t>
  </si>
  <si>
    <t>691438</t>
  </si>
  <si>
    <t>on 27/06-29/06/2014</t>
  </si>
  <si>
    <t>Letter dated 30/6/14</t>
  </si>
  <si>
    <t xml:space="preserve">Music in the garden performance on 29/06/2014 </t>
  </si>
  <si>
    <t>10th July 2014</t>
  </si>
  <si>
    <t>China House</t>
  </si>
  <si>
    <t>V2014/531</t>
  </si>
  <si>
    <t>687209</t>
  </si>
  <si>
    <t>Hong Kong Media Campaign Launching &amp; Sales Mission</t>
  </si>
  <si>
    <t>on 1-3 July 2014</t>
  </si>
  <si>
    <t>04.07.2014</t>
  </si>
  <si>
    <t>PDC/PGT/BAH6/125</t>
  </si>
  <si>
    <t xml:space="preserve"> - Meal Allowance</t>
  </si>
  <si>
    <t xml:space="preserve"> - Event Items </t>
  </si>
  <si>
    <t xml:space="preserve"> - Souvenirs (Tau Sar Pneah)</t>
  </si>
  <si>
    <t xml:space="preserve"> - Bank charges (for Tram hire &amp; Event Company)</t>
  </si>
  <si>
    <t xml:space="preserve"> - Hotel Accmmodation</t>
  </si>
  <si>
    <t xml:space="preserve"> - Sim Card</t>
  </si>
  <si>
    <t>21st July 2014</t>
  </si>
  <si>
    <t>V2014/538</t>
  </si>
  <si>
    <t>687215</t>
  </si>
  <si>
    <t>Consignment Sale - June'14</t>
  </si>
  <si>
    <t>My Little Peony Tote Bag x 1</t>
  </si>
  <si>
    <t>V2014/540</t>
  </si>
  <si>
    <t>687217</t>
  </si>
  <si>
    <t>Office Renovation</t>
  </si>
  <si>
    <t>25/6/2014</t>
  </si>
  <si>
    <t>10128-14 INV</t>
  </si>
  <si>
    <t>To supply &amp; install tempered glass to existing fram</t>
  </si>
  <si>
    <t>at TIC</t>
  </si>
  <si>
    <t>10129-14 INV</t>
  </si>
  <si>
    <t>To check and repair alarm system at TIC</t>
  </si>
  <si>
    <t>V2014/542</t>
  </si>
  <si>
    <t>687219</t>
  </si>
  <si>
    <t>Evergreen Laurel Hotel (M) Sdn Bhd</t>
  </si>
  <si>
    <t>53, Persiaran Gurney</t>
  </si>
  <si>
    <t>Tel : 04-217 7803</t>
  </si>
  <si>
    <t>Fax : 04-226 0881</t>
  </si>
  <si>
    <t>AirAsia X Hangzhou Media FAM Trip on 27/6-1/7/2014</t>
  </si>
  <si>
    <t>Proforma invocie</t>
  </si>
  <si>
    <t>Hotel Accommodation RM198 x 3rooms x 3 nights</t>
  </si>
  <si>
    <t>1/7/2014</t>
  </si>
  <si>
    <t>V2014/550</t>
  </si>
  <si>
    <t>687227</t>
  </si>
  <si>
    <t>Mobipot Sdn Bhd</t>
  </si>
  <si>
    <t>No. 342, Jalan Jelutong</t>
  </si>
  <si>
    <t>Tel : 04-2836 168</t>
  </si>
  <si>
    <t>Penang Centre of Education Tourism Launch</t>
  </si>
  <si>
    <t>9/6/2014</t>
  </si>
  <si>
    <t>MBP/WT/14/2953</t>
  </si>
  <si>
    <t xml:space="preserve">Visual for Booklet </t>
  </si>
  <si>
    <t>Purchase of Domain - www.pcet.my from 26/2/2014</t>
  </si>
  <si>
    <t>31st July 2014</t>
  </si>
  <si>
    <t>V2014/577</t>
  </si>
  <si>
    <t>687250</t>
  </si>
  <si>
    <t>24th July 2014</t>
  </si>
  <si>
    <t>14/7/2014</t>
  </si>
  <si>
    <t>INV201400020</t>
  </si>
  <si>
    <t>(-) CN 201400001</t>
  </si>
  <si>
    <t>(-) Payment on 8/7/2014</t>
  </si>
  <si>
    <t>V2014/578</t>
  </si>
  <si>
    <t>687251</t>
  </si>
  <si>
    <t>17333</t>
  </si>
  <si>
    <t xml:space="preserve">for July'14 issue </t>
  </si>
  <si>
    <t>V2014/575</t>
  </si>
  <si>
    <t>Level 2, 171 Clarence Street</t>
  </si>
  <si>
    <t>Sydney NSW 2000</t>
  </si>
  <si>
    <t>Australia</t>
  </si>
  <si>
    <t>Tourism Malaysia Australia Roadshow on 24th - 26th June 2014</t>
  </si>
  <si>
    <t>30/06/2014</t>
  </si>
  <si>
    <t>TM SYD 3.122 klt.4</t>
  </si>
  <si>
    <t>Sponsorship for TM Australia Regional Roadshow</t>
  </si>
  <si>
    <t>(AUD 10,000 @ 3.0172)</t>
  </si>
  <si>
    <t>Ink Publishing Pte Ltd</t>
  </si>
  <si>
    <t>51, Changi Business Park Central 2</t>
  </si>
  <si>
    <t>The Signature # 04-12</t>
  </si>
  <si>
    <t>486066 Singapore</t>
  </si>
  <si>
    <t>V2014/590</t>
  </si>
  <si>
    <t>687263</t>
  </si>
  <si>
    <t>Penang Chefs Bowling Competition on 20/8/2014</t>
  </si>
  <si>
    <t xml:space="preserve"> - Ooi Chok Yan</t>
  </si>
  <si>
    <t xml:space="preserve"> - Jason Sim </t>
  </si>
  <si>
    <t xml:space="preserve"> - Jean Leong</t>
  </si>
  <si>
    <t>Participation fee for 4 PGT's staff (RM50 per pax)</t>
  </si>
  <si>
    <t>Chef Association of Malayasia Penang Chapter</t>
  </si>
  <si>
    <t>Tel : 04-2261199</t>
  </si>
  <si>
    <t>Fax : 04-229 5557</t>
  </si>
  <si>
    <t>26/7/2014</t>
  </si>
  <si>
    <t>20th Aug 2014</t>
  </si>
  <si>
    <t>George Town Literary Festival 2014</t>
  </si>
  <si>
    <t>14/8/2014</t>
  </si>
  <si>
    <t>V2014/638</t>
  </si>
  <si>
    <t>687311</t>
  </si>
  <si>
    <t>Mobiled Sdn Bhd</t>
  </si>
  <si>
    <t>No.29C, Jalan Kenari 17E</t>
  </si>
  <si>
    <t>Bandar Puchong Jaya</t>
  </si>
  <si>
    <t>47100 Puchong, Selangor</t>
  </si>
  <si>
    <t>Tel : 03-8071 5796</t>
  </si>
  <si>
    <t>The 3rd Mid-Autumn FestoRama @ The Pearl of the Orient 2014</t>
  </si>
  <si>
    <t>on 7th Sept 20104</t>
  </si>
  <si>
    <t>IV14-MBL023</t>
  </si>
  <si>
    <t>Outdoor LED Billboard @ Sunrise Tower</t>
  </si>
  <si>
    <t>Period : 1 month (15/8/14-14/9/2014)</t>
  </si>
  <si>
    <t>Payment for Income Tax deduction (PCB) from staff salary</t>
  </si>
  <si>
    <t>Cathay Pacific Airways Limited</t>
  </si>
  <si>
    <t>Bendahari Negeri Pulau Pinang</t>
  </si>
  <si>
    <t>Jabatan Kewangan Pulau Pinang</t>
  </si>
  <si>
    <t>Tingkat 23, Kompleks Tun Abdul Razak</t>
  </si>
  <si>
    <t>Peti Surat 3007</t>
  </si>
  <si>
    <t>10990 Pulau Pinang</t>
  </si>
  <si>
    <t>Hot Print Design &amp; Advertising Sdn Bhd</t>
  </si>
  <si>
    <t xml:space="preserve"> - No. 10 (Tourist Information Centre) </t>
  </si>
  <si>
    <t>David Hall</t>
  </si>
  <si>
    <t xml:space="preserve">Port Elliot </t>
  </si>
  <si>
    <t>South Australia</t>
  </si>
  <si>
    <t>18, Montepelier Terrace</t>
  </si>
  <si>
    <t>Payment of PICEB Consultancy Fees on-behalf</t>
  </si>
  <si>
    <t>IJM &amp; SP Setia :-</t>
  </si>
  <si>
    <t>Bank charges</t>
  </si>
  <si>
    <t>Bright Lights At Midnight Enterprise</t>
  </si>
  <si>
    <t>19 Lorong Rahim Kajai 4</t>
  </si>
  <si>
    <t>Taman Tun Dr Ismail</t>
  </si>
  <si>
    <t>60000 Kuala Lumpur</t>
  </si>
  <si>
    <t>Tel : 03-7731 1202</t>
  </si>
  <si>
    <t>George Town Literary Festival</t>
  </si>
  <si>
    <t>General Manager</t>
  </si>
  <si>
    <t>Prepared By :</t>
  </si>
  <si>
    <t>Prepared by :</t>
  </si>
  <si>
    <t>BizChannel EFT Ref</t>
  </si>
  <si>
    <t>Asian Overland Services Tours &amp; Travel S/B</t>
  </si>
  <si>
    <t>Lot 39C &amp; 40C, Jalan Mamanda 9</t>
  </si>
  <si>
    <t>Ampang Point</t>
  </si>
  <si>
    <t>68000 Ampang</t>
  </si>
  <si>
    <t>Kuala Lumpur</t>
  </si>
  <si>
    <t>22th Sept 2014</t>
  </si>
  <si>
    <t>V2014/687</t>
  </si>
  <si>
    <t>I.C:410128-07-5143</t>
  </si>
  <si>
    <t>Tour guide fee for Indonesian Delegates on 29/8/14</t>
  </si>
  <si>
    <t>Local Govt Fee for complimentary room 3 nights</t>
  </si>
  <si>
    <t>Hotel Accommodation for 3 nights</t>
  </si>
  <si>
    <t>INV 8747</t>
  </si>
  <si>
    <t>Air Asia X Shanghai Media FAM Trip on 23/7-26/7/2014</t>
  </si>
  <si>
    <t>Fax : 04-262 3177</t>
  </si>
  <si>
    <t>Tel : 04-2622177</t>
  </si>
  <si>
    <t>World Heritage City of George Town</t>
  </si>
  <si>
    <t>362, Chulia Street</t>
  </si>
  <si>
    <t>Yeng Keng Hotel</t>
  </si>
  <si>
    <t>V2014/693</t>
  </si>
  <si>
    <t>Hoo Kim Hotels Sdn Bhd</t>
  </si>
  <si>
    <t>29/08/2014</t>
  </si>
  <si>
    <t>MSIG Insurance (Malaysia) Bhd</t>
  </si>
  <si>
    <t>15A Floor, Plaza MWE</t>
  </si>
  <si>
    <t xml:space="preserve">No.8, Lebuh Farquhar </t>
  </si>
  <si>
    <t>Tel : 04-264 2828</t>
  </si>
  <si>
    <t>Premium for Public Liability (PG-09129701-PL)</t>
  </si>
  <si>
    <t>Premium for Burgalary (PG-09129694-BG)</t>
  </si>
  <si>
    <t>Premium for Fire Commercial 2 (PG-09129690-FC2)</t>
  </si>
  <si>
    <t>29th Sept 2014</t>
  </si>
  <si>
    <t>32, Kampung Malabar</t>
  </si>
  <si>
    <t>Tel : 012-438 5181</t>
  </si>
  <si>
    <t>V2014/719</t>
  </si>
  <si>
    <t>3311</t>
  </si>
  <si>
    <t>22/08/2014</t>
  </si>
  <si>
    <t>To supply labour to remove temepered glass at TIC</t>
  </si>
  <si>
    <t xml:space="preserve">To supply labour to replace stainless steel swing </t>
  </si>
  <si>
    <t>door handle</t>
  </si>
  <si>
    <t>Chang Fong Trading</t>
  </si>
  <si>
    <t>Global Leadership Consultants Sdn Bhd</t>
  </si>
  <si>
    <t>Aras 4 (Kanan) Block B,</t>
  </si>
  <si>
    <t>Wisma Perkerso</t>
  </si>
  <si>
    <t>269, Jalan Burma</t>
  </si>
  <si>
    <t>10538 Penang</t>
  </si>
  <si>
    <t>Tel : 04-226 6718</t>
  </si>
  <si>
    <t>24/09/2014</t>
  </si>
  <si>
    <t>glc005/09/13</t>
  </si>
  <si>
    <t>Participants for Training / Workshop :</t>
  </si>
  <si>
    <t xml:space="preserve"> - 2 pax for Customer Service (Nora &amp; Gaya)</t>
  </si>
  <si>
    <t xml:space="preserve"> - 4 pax for Business Writing (Janice, Michelle, Jason,</t>
  </si>
  <si>
    <t xml:space="preserve">   Hooi Leng)</t>
  </si>
  <si>
    <t>V2014/728</t>
  </si>
  <si>
    <t>Penang Homecooking School</t>
  </si>
  <si>
    <t>85, Taman Berjaya</t>
  </si>
  <si>
    <t>10350 George town</t>
  </si>
  <si>
    <t>Kee Seok Poh</t>
  </si>
  <si>
    <t>Leonard Selva A/L Gurunathan</t>
  </si>
  <si>
    <t>1-14-3 BL Avenue</t>
  </si>
  <si>
    <t>Solok Thean Teik</t>
  </si>
  <si>
    <t>PGLOBAL1</t>
  </si>
  <si>
    <t xml:space="preserve">PGT publicity use </t>
  </si>
  <si>
    <t>200pcs Photo of Penang places, food and landmarks for</t>
  </si>
  <si>
    <t>(RM10 x 200pcs)</t>
  </si>
  <si>
    <t>V2014/731</t>
  </si>
  <si>
    <t>Mary Ann Harris</t>
  </si>
  <si>
    <t>687362</t>
  </si>
  <si>
    <t>PGTEFT0033</t>
  </si>
  <si>
    <t>PGTEFT0035</t>
  </si>
  <si>
    <t>I/C : 731018-07-5721</t>
  </si>
  <si>
    <t>I/C : 670612-07-5904</t>
  </si>
  <si>
    <t xml:space="preserve">Prepared By : </t>
  </si>
  <si>
    <t xml:space="preserve">Prepared by : </t>
  </si>
  <si>
    <t>Chief Executive Director</t>
  </si>
  <si>
    <t>14th Oct 2014</t>
  </si>
  <si>
    <t>V2014/767</t>
  </si>
  <si>
    <t>PGTEFT0061</t>
  </si>
  <si>
    <t>41 Cheesman Road</t>
  </si>
  <si>
    <t>Travel Malaysia 2014 Singapore on 25/4-27/4/2014</t>
  </si>
  <si>
    <t>21/5/2014</t>
  </si>
  <si>
    <t>Singapore Expo Demonstration fees x 3 days</t>
  </si>
  <si>
    <t>2/10/2014</t>
  </si>
  <si>
    <t>8/10/2014</t>
  </si>
  <si>
    <t>Little Interactive Studio</t>
  </si>
  <si>
    <t>V2014/791</t>
  </si>
  <si>
    <t>PGTEFT0077</t>
  </si>
  <si>
    <t>Lim Saiko</t>
  </si>
  <si>
    <t>168-6-3A Fettes Residences</t>
  </si>
  <si>
    <t>Jalan Tanjung Tokong</t>
  </si>
  <si>
    <t>Tel : 016-378 0870</t>
  </si>
  <si>
    <t>Japanese Translation for Website for Oct'14</t>
  </si>
  <si>
    <t>Japanese Translation for Website for Nov'14</t>
  </si>
  <si>
    <t>Chief Executive Officer</t>
  </si>
  <si>
    <t>Kim Kebaya Fashion</t>
  </si>
  <si>
    <t>Aim Max Media Sdn Bhd</t>
  </si>
  <si>
    <t>Suite 302, 3rd Floor, Penang Plaza</t>
  </si>
  <si>
    <t xml:space="preserve">126 Jalan Burmah </t>
  </si>
  <si>
    <t>Tel : 04-229 8617</t>
  </si>
  <si>
    <t>23th Oct 2014</t>
  </si>
  <si>
    <t>CNS Auto Supply Sales &amp; Services</t>
  </si>
  <si>
    <t>742, Jalan Sungai Dua</t>
  </si>
  <si>
    <t>11700 Gelugor</t>
  </si>
  <si>
    <t>Tel : 04-645 2595</t>
  </si>
  <si>
    <t>Fax : 04-641 1125</t>
  </si>
  <si>
    <t>Upkeep of M/Vehicle</t>
  </si>
  <si>
    <t>S30832</t>
  </si>
  <si>
    <t>Major Service - Including Break</t>
  </si>
  <si>
    <t>Air Filter</t>
  </si>
  <si>
    <t>Replace V/Cover Gasket</t>
  </si>
  <si>
    <t>Cooler Lumpur Sdn Bhd</t>
  </si>
  <si>
    <t>B.05.03, Menara Bata</t>
  </si>
  <si>
    <t>PJ Trade Centre</t>
  </si>
  <si>
    <t>No.8, Jalan PJU 8/8A</t>
  </si>
  <si>
    <t>Bandar Damansara Perdana</t>
  </si>
  <si>
    <t>47820 Petaling Jaya</t>
  </si>
  <si>
    <t>8 Marina View</t>
  </si>
  <si>
    <t>Asia Square 1 NO. 30-01</t>
  </si>
  <si>
    <t>018960</t>
  </si>
  <si>
    <t>V2014/807</t>
  </si>
  <si>
    <t>PGTEFT0086</t>
  </si>
  <si>
    <t>Hizwan Hamid Photography</t>
  </si>
  <si>
    <t>Hizwan Bin Hamid</t>
  </si>
  <si>
    <t>I/C : 880527-07-5155</t>
  </si>
  <si>
    <t>26/9/2014</t>
  </si>
  <si>
    <t>Ketupat Photo for WTM Ads</t>
  </si>
  <si>
    <t>28th Oct 2014</t>
  </si>
  <si>
    <t>15/10/2014</t>
  </si>
  <si>
    <t>V2014/825</t>
  </si>
  <si>
    <t>PGTEFT0102</t>
  </si>
  <si>
    <t>Televisi Republik Indonesia (TVRI) Shooting on 13-16 Oct 2014</t>
  </si>
  <si>
    <t>Folio 29693</t>
  </si>
  <si>
    <t>Hotel Accommodation x 1 night</t>
  </si>
  <si>
    <t>Folio 29692</t>
  </si>
  <si>
    <t>Folio 29695</t>
  </si>
  <si>
    <t>16/10/2014</t>
  </si>
  <si>
    <t>V2014/832</t>
  </si>
  <si>
    <t>687398</t>
  </si>
  <si>
    <t>Konatsu LGCC Trading</t>
  </si>
  <si>
    <t xml:space="preserve">Lot 77-2-14, Penang Time Square </t>
  </si>
  <si>
    <t>Jalan Dato Keramat</t>
  </si>
  <si>
    <t>11050 George Town</t>
  </si>
  <si>
    <t>Cospar on 7-8 Nov 2014</t>
  </si>
  <si>
    <t>Letter dated 8/10/2014</t>
  </si>
  <si>
    <t>Last Fri, Sat and Sun for the month - Oct'14</t>
  </si>
  <si>
    <t>Hot Air Balloon Fiesta</t>
  </si>
  <si>
    <t>V2014/860</t>
  </si>
  <si>
    <t>30th Oct 2014</t>
  </si>
  <si>
    <t>PGTEFT0121</t>
  </si>
  <si>
    <t>17th Nov 2014</t>
  </si>
  <si>
    <t>Google Malaysia Sdn Bhd</t>
  </si>
  <si>
    <t>687409</t>
  </si>
  <si>
    <t>V2014/871</t>
  </si>
  <si>
    <t>In Between Festival 2015</t>
  </si>
  <si>
    <t>24/10/2014</t>
  </si>
  <si>
    <t>GIG 14081</t>
  </si>
  <si>
    <t>Sponsorship fee for In Between Art Festival 2014</t>
  </si>
  <si>
    <t>Ho Jia Qian</t>
  </si>
  <si>
    <t>Mckenzie</t>
  </si>
  <si>
    <t>V2014/874</t>
  </si>
  <si>
    <t>Kwek Shen Chun</t>
  </si>
  <si>
    <t>PGTEFT0129</t>
  </si>
  <si>
    <t>USM Jazz Band</t>
  </si>
  <si>
    <t>11800 USM</t>
  </si>
  <si>
    <t>Letter dated 31/10/2014</t>
  </si>
  <si>
    <t>Music in the garden performance on 26/10/2014</t>
  </si>
  <si>
    <t>LiveWire Media Sdn Bhd</t>
  </si>
  <si>
    <t>87 Lebuh Bishop</t>
  </si>
  <si>
    <t>Tel : 04-261 3415</t>
  </si>
  <si>
    <t>V2014/879</t>
  </si>
  <si>
    <t>PGTEFT0134</t>
  </si>
  <si>
    <t>Phuket Tactical Campaign</t>
  </si>
  <si>
    <t>D000009</t>
  </si>
  <si>
    <t>Hologram Sticker - 1,000pcs</t>
  </si>
  <si>
    <t>Printing of postcard - 1,000pcs</t>
  </si>
  <si>
    <t>3th Nov 2014</t>
  </si>
  <si>
    <t>Event Publishing Services Ltd</t>
  </si>
  <si>
    <t xml:space="preserve">St Albans House </t>
  </si>
  <si>
    <t>St Albans Lane</t>
  </si>
  <si>
    <t>NW 117QE London</t>
  </si>
  <si>
    <t>World Travel Mart, London on 3-6 Nov 2014</t>
  </si>
  <si>
    <t>19/9/2014</t>
  </si>
  <si>
    <t>INV 15068</t>
  </si>
  <si>
    <t>1/2 page advertisement in WTM preview,</t>
  </si>
  <si>
    <t>1/2 page advertisement in WTM Catalogue</t>
  </si>
  <si>
    <t>(GBP3,450 @ 5.3413)</t>
  </si>
  <si>
    <t>Asia Itinerary Travel &amp; Tours Sdn Bhd</t>
  </si>
  <si>
    <t>11-1-14, New Bob Centre</t>
  </si>
  <si>
    <t>No.11 Gottlieb Road</t>
  </si>
  <si>
    <t>Tel : 04-305 1077</t>
  </si>
  <si>
    <t>AirAsia X Sri Langka Angents FAM Trip on 9-13th Nov 2014</t>
  </si>
  <si>
    <t>6/11/2014</t>
  </si>
  <si>
    <t>INV Ai 10012</t>
  </si>
  <si>
    <t>Transportation for 5 days</t>
  </si>
  <si>
    <t>Tour Guide for 5 days</t>
  </si>
  <si>
    <t>Tippings for 4 days</t>
  </si>
  <si>
    <t>V2014/898</t>
  </si>
  <si>
    <t>24th Nov 2014</t>
  </si>
  <si>
    <t>PGTEFT0151</t>
  </si>
  <si>
    <t>Instant Exposition Services Sdn Bhd</t>
  </si>
  <si>
    <t>V2014/907</t>
  </si>
  <si>
    <t>PGTEFT0160</t>
  </si>
  <si>
    <t>Ref : TWA/052-14</t>
  </si>
  <si>
    <t>Venue Security Deposit for Lot 16A</t>
  </si>
  <si>
    <t>Venue rental for Lot 16A (3 days)</t>
  </si>
  <si>
    <t xml:space="preserve"> - 10 features stories</t>
  </si>
  <si>
    <t>Translation of Eng to Chinese for PGT Website</t>
  </si>
  <si>
    <t>14300 Nibong Tebal, Pulau Pinang</t>
  </si>
  <si>
    <t>Taman Bukit Panchor</t>
  </si>
  <si>
    <t>61 Lorong Bukit Panchor 6</t>
  </si>
  <si>
    <t>Freelance Chinese Copywirter</t>
  </si>
  <si>
    <t>Khaw Shu Xiao</t>
  </si>
  <si>
    <t>V2014/913</t>
  </si>
  <si>
    <t>PGTEFT0166</t>
  </si>
  <si>
    <t>Keong Yeh Han</t>
  </si>
  <si>
    <t>52-9-5, Mutiara Indah</t>
  </si>
  <si>
    <t>Changkat Bukit Gambier</t>
  </si>
  <si>
    <t xml:space="preserve">George Town Literary Festival </t>
  </si>
  <si>
    <t>120141106/PGT/JK/001</t>
  </si>
  <si>
    <t xml:space="preserve">2 days rental of instrucment amplifier with monitors </t>
  </si>
  <si>
    <t>28th Nov 2014</t>
  </si>
  <si>
    <t>V2014/940</t>
  </si>
  <si>
    <t>PGTEFT0188</t>
  </si>
  <si>
    <t>20/11/2014</t>
  </si>
  <si>
    <t>LWI-14009</t>
  </si>
  <si>
    <t>Sound system package for The Bee x 2 nights</t>
  </si>
  <si>
    <t>PGTEFT0190</t>
  </si>
  <si>
    <t>1/12/2014</t>
  </si>
  <si>
    <t>10th Dec 2014</t>
  </si>
  <si>
    <t>V2014/947</t>
  </si>
  <si>
    <t>George Town Literart Festival 2014</t>
  </si>
  <si>
    <t>ITC/PGT/0333/2014</t>
  </si>
  <si>
    <t>Rental of table &amp; chairs on 28/11-30/11/2014</t>
  </si>
  <si>
    <t>V2014/948</t>
  </si>
  <si>
    <t>PGTEFT0191</t>
  </si>
  <si>
    <t>Kailarsh Shankar</t>
  </si>
  <si>
    <t>The Dhol Rhythms of Penang</t>
  </si>
  <si>
    <t>Last Fri, Sat and Sun for the month on Nov'14</t>
  </si>
  <si>
    <t>Letter dated 19/11/2014</t>
  </si>
  <si>
    <t>Dhol Performance @ Botanic Garden on 30/11/2014</t>
  </si>
  <si>
    <t>Team Building 2014</t>
  </si>
  <si>
    <t>V2014/950</t>
  </si>
  <si>
    <t>PGTEFT0193</t>
  </si>
  <si>
    <t>Love-A-Cupcake Ventures</t>
  </si>
  <si>
    <t>3A-1-3, Straits Quay</t>
  </si>
  <si>
    <t>Tel : 04-8904852</t>
  </si>
  <si>
    <t>27/11/2014</t>
  </si>
  <si>
    <t>100940</t>
  </si>
  <si>
    <t>Teambuilding on 13/12/2014 for 16 pax</t>
  </si>
  <si>
    <t>9/12/2014</t>
  </si>
  <si>
    <t>100955</t>
  </si>
  <si>
    <t>Teambuilding on 13/12/2014 for 1 pax</t>
  </si>
  <si>
    <t>V2014/951</t>
  </si>
  <si>
    <t>PGTEFT0194</t>
  </si>
  <si>
    <t>Lee Yoke Leng</t>
  </si>
  <si>
    <t>98-1A, Jalan Tan Sri Teh Ewe Lim</t>
  </si>
  <si>
    <t>30.11.2014</t>
  </si>
  <si>
    <t>on island and mainland for the month of Nov 2014</t>
  </si>
  <si>
    <t>Distribution of brochures covers 51 key locations</t>
  </si>
  <si>
    <t>(I/C : 520902-09-5061)</t>
  </si>
  <si>
    <t>Instant Trading Company</t>
  </si>
  <si>
    <t>17th Dec 2014</t>
  </si>
  <si>
    <t>V2014/958</t>
  </si>
  <si>
    <t>PGTEFT0197</t>
  </si>
  <si>
    <t>10/11/2014</t>
  </si>
  <si>
    <t>CSM/DM/2149</t>
  </si>
  <si>
    <t>Hosting account upgrade to 5GB disk Space &amp;</t>
  </si>
  <si>
    <t>50,000GB Bandwidth, SEO page set-up</t>
  </si>
  <si>
    <t>2/12/2014</t>
  </si>
  <si>
    <t>31st Dec 2014</t>
  </si>
  <si>
    <t>Welcoming Reception</t>
  </si>
  <si>
    <t>30th Dec 2014</t>
  </si>
  <si>
    <t>Hin Teik Enterprise</t>
  </si>
  <si>
    <t>BLK37-G-10 Tingkat Paya Terbong 3</t>
  </si>
  <si>
    <t>Paya Terbong</t>
  </si>
  <si>
    <t>17/12/2014</t>
  </si>
  <si>
    <t>Statement of claims</t>
  </si>
  <si>
    <t>V2014/1012</t>
  </si>
  <si>
    <t>PGTEFT0244</t>
  </si>
  <si>
    <t>Land Success Engingeering Sdn Bhd</t>
  </si>
  <si>
    <t>B-16-1 Maritime Suit</t>
  </si>
  <si>
    <t>Lebuh Sungai Pinang 5</t>
  </si>
  <si>
    <t>Tel : 04-376 2141</t>
  </si>
  <si>
    <t>INV 033</t>
  </si>
  <si>
    <t>Cupboard installation in TIC</t>
  </si>
  <si>
    <t>V2014/1026</t>
  </si>
  <si>
    <t>PGTEFT0257</t>
  </si>
  <si>
    <t>BN14-031</t>
  </si>
  <si>
    <t>Website Design - 70% of total RM2,000</t>
  </si>
  <si>
    <t>Print Design - 70% of total RM1,800</t>
  </si>
  <si>
    <t>V2014/1030</t>
  </si>
  <si>
    <t>PGTEFT0261</t>
  </si>
  <si>
    <t>15/12/2014</t>
  </si>
  <si>
    <t>15122014/002</t>
  </si>
  <si>
    <t>Reimbursement for GTLF 2014</t>
  </si>
  <si>
    <t>Food &amp; Beverages</t>
  </si>
  <si>
    <t>Transportation for Cooler Lumpur's team on 1/8/14</t>
  </si>
  <si>
    <t>Air Ticker for Cooler Lumpur's team on 13/10/14</t>
  </si>
  <si>
    <t>Transportation for Cooler Lumpur's team on 13/10/14</t>
  </si>
  <si>
    <t>Air Ticket for Cooler Lumpur's team on 1/12/14</t>
  </si>
  <si>
    <t>Transportation for Cooler Lumpur's team on 1/12/14</t>
  </si>
  <si>
    <t>Everest Promo Sdn Bhd</t>
  </si>
  <si>
    <t>25, Hilir Paya Terubong</t>
  </si>
  <si>
    <t>Relau</t>
  </si>
  <si>
    <t>9/1/2015</t>
  </si>
  <si>
    <t>16th Jan 2015</t>
  </si>
  <si>
    <t>Talent Fee</t>
  </si>
  <si>
    <t>84313-1</t>
  </si>
  <si>
    <t>84313-2</t>
  </si>
  <si>
    <t>84313-3</t>
  </si>
  <si>
    <t>84313-4</t>
  </si>
  <si>
    <t>V2015/011</t>
  </si>
  <si>
    <t>PGTEFT0282</t>
  </si>
  <si>
    <t>Publicity - New Year's Eve Countdown</t>
  </si>
  <si>
    <t>23722</t>
  </si>
  <si>
    <t>Distribution of brochures - 10,000pcs</t>
  </si>
  <si>
    <t>1412/TF092</t>
  </si>
  <si>
    <t>23th Jan 2015</t>
  </si>
  <si>
    <t>V2015/041</t>
  </si>
  <si>
    <t>PGTEFT0311</t>
  </si>
  <si>
    <t>Annamah A/P Ramasamy</t>
  </si>
  <si>
    <t>423 Jalan Bukit Puteri 11/13A</t>
  </si>
  <si>
    <t>Bandar Puteri Jaya</t>
  </si>
  <si>
    <t>08000 Sungai Petani, Kedah</t>
  </si>
  <si>
    <t>Tel : 014-9300813</t>
  </si>
  <si>
    <t>Translation/Copywriting</t>
  </si>
  <si>
    <t>6/1/2015</t>
  </si>
  <si>
    <t>Translation from Eng to Tamil - Fabulous February Fiesta</t>
  </si>
  <si>
    <t>Speak out Reload RM9.40 x 1</t>
  </si>
  <si>
    <t>Approved by :</t>
  </si>
  <si>
    <t>Historic Houses of Worship Postcard RM12 x 1</t>
  </si>
  <si>
    <t>Loke Siew Fook</t>
  </si>
  <si>
    <t>Reimbursement for :</t>
  </si>
  <si>
    <t>Media Transasia Ltd</t>
  </si>
  <si>
    <t>Room 1205, 12/F, Hollywood Centre</t>
  </si>
  <si>
    <t>233 Hollywood Road</t>
  </si>
  <si>
    <t>Shueng Wan</t>
  </si>
  <si>
    <t>Hong Kong</t>
  </si>
  <si>
    <t>Ads - Magazine</t>
  </si>
  <si>
    <t>Travel + Leusire magazine ads</t>
  </si>
  <si>
    <t>26/1/2015</t>
  </si>
  <si>
    <t>51-10-B, Menara BHL</t>
  </si>
  <si>
    <t>Penang Centre of Education Tourism (Yangoon Fair)</t>
  </si>
  <si>
    <t>C2-11, SPICE Arena</t>
  </si>
  <si>
    <t>11900 Relau , Penang</t>
  </si>
  <si>
    <t>Tel : 04-6433081</t>
  </si>
  <si>
    <t>1/3/2015</t>
  </si>
  <si>
    <t>V2015/151</t>
  </si>
  <si>
    <t>26th Feb 2015</t>
  </si>
  <si>
    <t>ActifeStyle Concept Sdn Bhd</t>
  </si>
  <si>
    <t>105, Lebuh Noordin</t>
  </si>
  <si>
    <t>Tel : 012428 1805</t>
  </si>
  <si>
    <t>PGTEFT0396</t>
  </si>
  <si>
    <t>Satte New Delhi India Sales Mission</t>
  </si>
  <si>
    <t>AB00024796</t>
  </si>
  <si>
    <t>Air Ticket - Sim Kok Jiun &amp; OCY</t>
  </si>
  <si>
    <t>PEN-SIN-DEL-SIN-Pen</t>
  </si>
  <si>
    <t>V2015/155</t>
  </si>
  <si>
    <t>PGTEFT0400</t>
  </si>
  <si>
    <t>Haron Alsomadi bin Md. Kamal</t>
  </si>
  <si>
    <t>35A - 1-3, Kompleks Inst. Pendidikan Tg</t>
  </si>
  <si>
    <t>Jalan Mount Erskine</t>
  </si>
  <si>
    <t>10470 Tanjung Tokong, Penang</t>
  </si>
  <si>
    <t>Translation of "Fiesta Belon Udara Panas P.Pinang 2015</t>
  </si>
  <si>
    <t>from Eng to Malay (2 pages)</t>
  </si>
  <si>
    <t>Fine Print Enterprise</t>
  </si>
  <si>
    <t>31, Jalan Perusahaan Jelutong 1</t>
  </si>
  <si>
    <t>Penang Centre of Education Tourism (Yangoon Trip)</t>
  </si>
  <si>
    <t>20/1/2015</t>
  </si>
  <si>
    <t>INV 10823</t>
  </si>
  <si>
    <t xml:space="preserve">Printing of name card </t>
  </si>
  <si>
    <t>Printing of flyers</t>
  </si>
  <si>
    <t>Printing of bookmark</t>
  </si>
  <si>
    <t>V2015/145</t>
  </si>
  <si>
    <t>17th Feb 2015</t>
  </si>
  <si>
    <t>3rd payment 20% of total fees AUD20,000</t>
  </si>
  <si>
    <t>V2015/146</t>
  </si>
  <si>
    <t>Indent Media Pty Ltd</t>
  </si>
  <si>
    <t>Level 6, 126 Wellington Parade</t>
  </si>
  <si>
    <t>East Melbourne</t>
  </si>
  <si>
    <t>3002 Australia</t>
  </si>
  <si>
    <t>DPS in Metrowest Magazine - January Isue</t>
  </si>
  <si>
    <t>(AUD900 @ 2.82390)</t>
  </si>
  <si>
    <t>INV PGT001</t>
  </si>
  <si>
    <t>FK Global Enterprise</t>
  </si>
  <si>
    <t>Pejabat Daerah Timur Lau Pulau Pinang</t>
  </si>
  <si>
    <t>Jabatan Sukarelawan Malaysia (RELA)</t>
  </si>
  <si>
    <t>Tingkati 5, Bangunan Tuanku Syed Putra</t>
  </si>
  <si>
    <t>10300 Lebuh Downing Pulau Pinang</t>
  </si>
  <si>
    <t>16th Mar 2015</t>
  </si>
  <si>
    <t>V2015/177</t>
  </si>
  <si>
    <t>PGTEFT0416</t>
  </si>
  <si>
    <t>687464</t>
  </si>
  <si>
    <t>V2015/178</t>
  </si>
  <si>
    <t>Tropfest SEA</t>
  </si>
  <si>
    <t>10/2/2015</t>
  </si>
  <si>
    <t>JSPSB/INV/024/14</t>
  </si>
  <si>
    <t>24 Full page colour on special supplement in Malay</t>
  </si>
  <si>
    <t>Mail on 1st Feb 2015</t>
  </si>
  <si>
    <t>PGTEFT0417</t>
  </si>
  <si>
    <t>DVD Duplication</t>
  </si>
  <si>
    <t>11/2/2015</t>
  </si>
  <si>
    <t>00003973</t>
  </si>
  <si>
    <t>DVD Duplication - 500pcs</t>
  </si>
  <si>
    <t>V2015/181</t>
  </si>
  <si>
    <t>PGTEFT0420</t>
  </si>
  <si>
    <t>dated 27.02.2015</t>
  </si>
  <si>
    <t xml:space="preserve">Payment of allowance for Security Guard at The Whiteaways </t>
  </si>
  <si>
    <t>Arcade</t>
  </si>
  <si>
    <t xml:space="preserve"> - Allowance for security guard</t>
  </si>
  <si>
    <t>V2015/182</t>
  </si>
  <si>
    <t>PGTEFT0421</t>
  </si>
  <si>
    <t>Marsh Takaful Brokers (Malaysia) Sdn Bhd</t>
  </si>
  <si>
    <t>B-9-1, Level 9, Tower B</t>
  </si>
  <si>
    <t>Menara UOA Bangsar</t>
  </si>
  <si>
    <t>5, Jalan Bangsar Utama 1</t>
  </si>
  <si>
    <t>59000 Kuala Lumpur</t>
  </si>
  <si>
    <t>Insurance - GTL</t>
  </si>
  <si>
    <t>I00176015</t>
  </si>
  <si>
    <t>Premium of GTL for 2015 (17 pax)</t>
  </si>
  <si>
    <t>Service tax</t>
  </si>
  <si>
    <t>Max-Airplay Sdn Bhd</t>
  </si>
  <si>
    <t>Sri Pentas</t>
  </si>
  <si>
    <t>No.3, Persiaran Bandar Utama</t>
  </si>
  <si>
    <t xml:space="preserve">Bandar Utama </t>
  </si>
  <si>
    <t>47800 Petaling Jaya</t>
  </si>
  <si>
    <t>V2015/195</t>
  </si>
  <si>
    <t>PGTEFT0426</t>
  </si>
  <si>
    <t>ThreeSixty Skybar</t>
  </si>
  <si>
    <t>Pro-forma Inv</t>
  </si>
  <si>
    <t xml:space="preserve">Appreciation Reception on 22/2/15 </t>
  </si>
  <si>
    <t>(Food &amp; Beverages)</t>
  </si>
  <si>
    <t>V2015/196</t>
  </si>
  <si>
    <t>PGTEFT0427</t>
  </si>
  <si>
    <t>6/3/2015</t>
  </si>
  <si>
    <t>CNET/15/0727</t>
  </si>
  <si>
    <t>Professional fees of preparing accounts for Feb</t>
  </si>
  <si>
    <t>Carolyn Ooi Ai Choo</t>
  </si>
  <si>
    <t>13, Lorong Kenari 7</t>
  </si>
  <si>
    <t>Sungai Ara</t>
  </si>
  <si>
    <t>28/2/2015</t>
  </si>
  <si>
    <t>Leong Kit Yeng</t>
  </si>
  <si>
    <t>25/2/2015</t>
  </si>
  <si>
    <t>27/2/2015</t>
  </si>
  <si>
    <t>CNET/15/0705</t>
  </si>
  <si>
    <t>Professional fees of preparing payroll for Feb</t>
  </si>
  <si>
    <t>ADR &amp; JNA Venture</t>
  </si>
  <si>
    <t>No.1 &amp; 3 Lebuh Bishop</t>
  </si>
  <si>
    <t>Auntie Gaik Lean's Old School Eatery</t>
  </si>
  <si>
    <t>Ernest's Streetart Postcard RM12 x 1</t>
  </si>
  <si>
    <t>Art is rubbish is Art RM24 x 1</t>
  </si>
  <si>
    <t>Ernest's Streetart Postcard RM12 x 3</t>
  </si>
  <si>
    <t>Street of G'town Sculptures Postcard RM12 x 2</t>
  </si>
  <si>
    <t>Food that makes you go mmm Postcard RM12 x 3</t>
  </si>
  <si>
    <t>Historic Houses of Worship Postcard RM12 x 2</t>
  </si>
  <si>
    <t>Streetart Notebook G'town RM30 x 2</t>
  </si>
  <si>
    <t>Street of G'town Sculptures Postcard RM12 x 1</t>
  </si>
  <si>
    <t>PGTEFT0450</t>
  </si>
  <si>
    <t>V2015/225</t>
  </si>
  <si>
    <t>17th Mar 2015</t>
  </si>
  <si>
    <t>Maqbul Sejati Enteprise</t>
  </si>
  <si>
    <t>No.33, Lorong Mahsuri 3</t>
  </si>
  <si>
    <t>Bayan Baru</t>
  </si>
  <si>
    <t>11950 Bayan Lepas</t>
  </si>
  <si>
    <t>20/2/2015</t>
  </si>
  <si>
    <t>INV 10053</t>
  </si>
  <si>
    <t>Food &amp; Beverage for Pilot &amp; Crew on 20/2/2015</t>
  </si>
  <si>
    <t>Food &amp; Beverage for Pilot &amp; Crew on 21/2/2015</t>
  </si>
  <si>
    <t>Food &amp; Beverage for Pilot &amp; Crew on 22/2/2015</t>
  </si>
  <si>
    <t>Trishaw Entourage</t>
  </si>
  <si>
    <t>New handmade Trishaw x 5 units</t>
  </si>
  <si>
    <t>RM6,500 per each unit</t>
  </si>
  <si>
    <t>Balance payment 50% of Total RM32,500</t>
  </si>
  <si>
    <t>20th March 2015</t>
  </si>
  <si>
    <t>32, Jalan Anson</t>
  </si>
  <si>
    <t>Tel : 04-2266368</t>
  </si>
  <si>
    <t>Penang Centre of Education Tourism</t>
  </si>
  <si>
    <t>Sentral Education Sdn Bhd</t>
  </si>
  <si>
    <t>Sentra College</t>
  </si>
  <si>
    <t xml:space="preserve">No. 3, Lebuh Penang, </t>
  </si>
  <si>
    <t>10200 Pulau Pinang</t>
  </si>
  <si>
    <t>Disted Pulau Pinang Sdn Bhd</t>
  </si>
  <si>
    <t>Jalan Cantonment, 10350 Pulau Pinang</t>
  </si>
  <si>
    <t>Kolej Universiti Tunku Abdul Rahman</t>
  </si>
  <si>
    <t>Penang Branch Campus</t>
  </si>
  <si>
    <t xml:space="preserve">77, Lorong Lembah Permai Tiga, </t>
  </si>
  <si>
    <t>11200, Tanjong Bungah</t>
  </si>
  <si>
    <t>INTI International College Pennag Sdn Bhd</t>
  </si>
  <si>
    <t>1, Lebuh Bukit Jambul</t>
  </si>
  <si>
    <t>Danny Tan Lee Keong</t>
  </si>
  <si>
    <t>I/C : 810729-07-5619</t>
  </si>
  <si>
    <t>V2015/549</t>
  </si>
  <si>
    <t>PGTEFT0467</t>
  </si>
  <si>
    <t>17/3/215</t>
  </si>
  <si>
    <t>MS-00376/15</t>
  </si>
  <si>
    <t>Renewal of Company Car Insurance - PJP1311</t>
  </si>
  <si>
    <t>Period : 22/3/2015 - 21/03/2016</t>
  </si>
  <si>
    <t>Sum Insured : RM30,000</t>
  </si>
  <si>
    <t>V2015/550</t>
  </si>
  <si>
    <t>PGTEFT0468</t>
  </si>
  <si>
    <t>23th Mar 2015</t>
  </si>
  <si>
    <t>CSSB Productions Sdn Bhd</t>
  </si>
  <si>
    <t>57, Jalan Radin Anum 1</t>
  </si>
  <si>
    <t>Pusat Bandar Seri Petaling</t>
  </si>
  <si>
    <t>57000 Kuala Lumpur</t>
  </si>
  <si>
    <t>Tel : 03-9058 4286</t>
  </si>
  <si>
    <t>INV1321/02/15</t>
  </si>
  <si>
    <t>Being outdoor media advertising charges</t>
  </si>
  <si>
    <t>(Productions, installation &amp; dismantling)</t>
  </si>
  <si>
    <t>31/3/2015</t>
  </si>
  <si>
    <t>687486</t>
  </si>
  <si>
    <t>PGTEFT0474</t>
  </si>
  <si>
    <t>24/1/2015</t>
  </si>
  <si>
    <t>6th Apr 2015</t>
  </si>
  <si>
    <t>V2015/260</t>
  </si>
  <si>
    <t>TM Taiwan Sales Mission on 12th - 17th Apr 2015</t>
  </si>
  <si>
    <t>28/3/2015</t>
  </si>
  <si>
    <t>CLL/PGT/15/03/01</t>
  </si>
  <si>
    <t>V2015/266</t>
  </si>
  <si>
    <t>PGTEFT0480</t>
  </si>
  <si>
    <t>ANZ Buyers meet sellers 7th Annual Conference on 19-22 Mar 2015</t>
  </si>
  <si>
    <t>Nature Guide fee on 20/3/15</t>
  </si>
  <si>
    <t>Boat fee</t>
  </si>
  <si>
    <t>Excelpolitan Sdn Bhd</t>
  </si>
  <si>
    <t>Tel : 04-818 3988</t>
  </si>
  <si>
    <t xml:space="preserve">3, Tingkat Bukit Dumbar, </t>
  </si>
  <si>
    <t>11600 Pulau Pinang</t>
  </si>
  <si>
    <t>Jelutong</t>
  </si>
  <si>
    <t xml:space="preserve">Statement of claims </t>
  </si>
  <si>
    <t>Excelpolitan International College</t>
  </si>
  <si>
    <t>V2015/276</t>
  </si>
  <si>
    <t>PGTEFT0487</t>
  </si>
  <si>
    <t>Mi 201501004</t>
  </si>
  <si>
    <t>Designing of backdrop for Penang Fair @ Yangoon</t>
  </si>
  <si>
    <t>Designing of banner for Education fair @ Alor Setar</t>
  </si>
  <si>
    <t>11/3/2015</t>
  </si>
  <si>
    <t>Mi201503004</t>
  </si>
  <si>
    <t>Designing of streamer for Education fair @ Alor Setar</t>
  </si>
  <si>
    <t>Designing of poster for Education fair @ Alor Setar</t>
  </si>
  <si>
    <t>V2015/278</t>
  </si>
  <si>
    <t>PGTEFT0488</t>
  </si>
  <si>
    <t>ANZ buyers meet sellers 7th Annual Conference 2015</t>
  </si>
  <si>
    <t>on 19-22 Mar 2015</t>
  </si>
  <si>
    <t>22/3/2015</t>
  </si>
  <si>
    <t>06137/3/2015</t>
  </si>
  <si>
    <t>Half day walking tour on 21/3/2015</t>
  </si>
  <si>
    <t>V2015/279</t>
  </si>
  <si>
    <t>PGTEFT0489</t>
  </si>
  <si>
    <t>Kapten Buehbossa Solutions</t>
  </si>
  <si>
    <t>B-1-2, Avenue 2</t>
  </si>
  <si>
    <t>Jalan Suarasa 3</t>
  </si>
  <si>
    <t>Bandar Tun Hussein Onn</t>
  </si>
  <si>
    <t>43200 Cheras, Selangor</t>
  </si>
  <si>
    <t>Hot Air Balloon Fiesta 2015</t>
  </si>
  <si>
    <t>V10012</t>
  </si>
  <si>
    <t>4/3/23015</t>
  </si>
  <si>
    <t>Giant bubble performance on 21/2 &amp; 22/2/2015</t>
  </si>
  <si>
    <t>Accommodation</t>
  </si>
  <si>
    <t>One FM Radio Sdn Bhd</t>
  </si>
  <si>
    <t>Pejabat Setiausaha Kerajaan Negeri Pulau Pinang</t>
  </si>
  <si>
    <t>Paras 25, Komtar</t>
  </si>
  <si>
    <t>Tel : 04-262 1957</t>
  </si>
  <si>
    <t>N/A</t>
  </si>
  <si>
    <t>30th Apr 2015</t>
  </si>
  <si>
    <t>Cake Experiential Communications (Asia) Sdn Bhd</t>
  </si>
  <si>
    <t>A-1-06, Block A/GF</t>
  </si>
  <si>
    <t>Jalan SS25/35</t>
  </si>
  <si>
    <t>Taman Mayang</t>
  </si>
  <si>
    <t>22/4/2015</t>
  </si>
  <si>
    <t>V2015/360</t>
  </si>
  <si>
    <t>PGTEFT0558</t>
  </si>
  <si>
    <t>Cost of Goods Sold - Feb'15</t>
  </si>
  <si>
    <t>PGT/2015/02/001</t>
  </si>
  <si>
    <t>Speak out Reload RM9.40 x 2</t>
  </si>
  <si>
    <t>Cost of Goods Sold - Mar'15</t>
  </si>
  <si>
    <t>PGT/2015/03/001</t>
  </si>
  <si>
    <t>Penang Anime Matsuri - Summer Party</t>
  </si>
  <si>
    <t>V2015/401</t>
  </si>
  <si>
    <t>Maps Hotel &amp; Resorts Sydney 1 Pty Ltd Trading</t>
  </si>
  <si>
    <t>18th May 2015</t>
  </si>
  <si>
    <t>as Four Season Hotel Sydney</t>
  </si>
  <si>
    <t>Australia Roadshow on 19-21 May 2015</t>
  </si>
  <si>
    <t>6/5/2015</t>
  </si>
  <si>
    <t>Banquet catering service for 90 pax</t>
  </si>
  <si>
    <t>(AUD11,250 x 2.89939)</t>
  </si>
  <si>
    <t>12/5/2015</t>
  </si>
  <si>
    <t>Audio &amp; Visual rental</t>
  </si>
  <si>
    <t>(AUD1,892 x 2.89939)</t>
  </si>
  <si>
    <t>31st May 2015</t>
  </si>
  <si>
    <t>28/4/2015</t>
  </si>
  <si>
    <t xml:space="preserve"> - Telephone and facsimile charges</t>
  </si>
  <si>
    <t xml:space="preserve"> - Printing &amp; Stationery</t>
  </si>
  <si>
    <t>V2015/416</t>
  </si>
  <si>
    <t>PGTEFT0600</t>
  </si>
  <si>
    <t>INV 220415</t>
  </si>
  <si>
    <t xml:space="preserve"> - 11 short listing</t>
  </si>
  <si>
    <t>PGTEFT0601</t>
  </si>
  <si>
    <t xml:space="preserve">Kilang Buah Pala Ghee Hup </t>
  </si>
  <si>
    <t>202A, Mukim 3, Sungai Pinang</t>
  </si>
  <si>
    <t>TM Arabian Travel Mart on 4-7th May 2015</t>
  </si>
  <si>
    <t>25/4/2015</t>
  </si>
  <si>
    <t>CLL/PGT/15/04/01</t>
  </si>
  <si>
    <t>12gm Nutmeg Balm - 100pcs</t>
  </si>
  <si>
    <t>TM Taiwan Sales Mission on 12-17th May 2015</t>
  </si>
  <si>
    <t>1B-04-17, Jalan Ru 1</t>
  </si>
  <si>
    <t>Bandar Baru</t>
  </si>
  <si>
    <t>11500 Ayer Itam, Malaysia</t>
  </si>
  <si>
    <t>Penang Trishaw Entourage</t>
  </si>
  <si>
    <t>V2015/419</t>
  </si>
  <si>
    <t xml:space="preserve">Premium Combo package airtime </t>
  </si>
  <si>
    <t>June, July &amp; Aug - 3 weeks</t>
  </si>
  <si>
    <t>V2015/432</t>
  </si>
  <si>
    <t>687516</t>
  </si>
  <si>
    <t>Banners/Streamers</t>
  </si>
  <si>
    <t>INV 93110</t>
  </si>
  <si>
    <t>Poster 2' x 3' A1 Size - 6pcs</t>
  </si>
  <si>
    <t>V2011/</t>
  </si>
  <si>
    <t>V2015/398</t>
  </si>
  <si>
    <t>Hugh Nicholas</t>
  </si>
  <si>
    <t>Email : hughanicholas@gmail.com</t>
  </si>
  <si>
    <t>13/5/2015</t>
  </si>
  <si>
    <t>Being emcee for 6 hours on 21/5/2015</t>
  </si>
  <si>
    <t>(AUD600 x 2.9075)</t>
  </si>
  <si>
    <t>GST on bank charges</t>
  </si>
  <si>
    <t>10th June 2015</t>
  </si>
  <si>
    <t>26/5/2015</t>
  </si>
  <si>
    <t>V2015/458</t>
  </si>
  <si>
    <t>PGTEFT0632</t>
  </si>
  <si>
    <t>Last FriSatSun for the month of Mar'15</t>
  </si>
  <si>
    <t>28/5/2015</t>
  </si>
  <si>
    <t>Performance on 29/3/2015</t>
  </si>
  <si>
    <t>Chai Chik Ying</t>
  </si>
  <si>
    <t>6, Jalan Setia Perdana U13/27D</t>
  </si>
  <si>
    <t>Alam Nusantara</t>
  </si>
  <si>
    <t>Setia Alam</t>
  </si>
  <si>
    <t>40170 Shah Alam</t>
  </si>
  <si>
    <t>Korean Brochure</t>
  </si>
  <si>
    <t>018</t>
  </si>
  <si>
    <t xml:space="preserve">Discover, Indulge, Explore brochure design </t>
  </si>
  <si>
    <t>16th June 2015</t>
  </si>
  <si>
    <t>on 19/6/2015</t>
  </si>
  <si>
    <t>V2015/487</t>
  </si>
  <si>
    <t>EC Square PR &amp; Events Co. Ltd</t>
  </si>
  <si>
    <t>Floor 10, 12 Wong Chung Hang Road</t>
  </si>
  <si>
    <t xml:space="preserve">PR Service fee - Media invitation and RSVP </t>
  </si>
  <si>
    <t>10/6/2015</t>
  </si>
  <si>
    <t>ECPR-1379-15</t>
  </si>
  <si>
    <t>V2015/491</t>
  </si>
  <si>
    <t>PGTEFT0657</t>
  </si>
  <si>
    <t>22nd June 2015</t>
  </si>
  <si>
    <t>5/6/2015</t>
  </si>
  <si>
    <t>2015/06/051</t>
  </si>
  <si>
    <t>(30 images) from 15 June 2015 - 15 June 2016</t>
  </si>
  <si>
    <t>(HKD8,800 @ 0.49540)</t>
  </si>
  <si>
    <t>801228-07-5616</t>
  </si>
  <si>
    <t>Seaw Hean Teik</t>
  </si>
  <si>
    <t>3rd July 2015</t>
  </si>
  <si>
    <t>@ Penang Port</t>
  </si>
  <si>
    <t>V2015/530</t>
  </si>
  <si>
    <t>PGTEFT0686</t>
  </si>
  <si>
    <t>V2015/489</t>
  </si>
  <si>
    <t xml:space="preserve">Crwone Plaza Hong Kong Kowloon East </t>
  </si>
  <si>
    <t>3, Tong Tak Street, Tsueung Kwan O</t>
  </si>
  <si>
    <t>Hong Kong Road Show on 19-21 May 2015</t>
  </si>
  <si>
    <t>Dinner with coacktail on 19/6/2015</t>
  </si>
  <si>
    <t>6% GST on BC</t>
  </si>
  <si>
    <t>Capital All Star Enterprise</t>
  </si>
  <si>
    <t>1B-12-01 Lilitan Sungai Ara</t>
  </si>
  <si>
    <t>Pangsapuri Lavender</t>
  </si>
  <si>
    <t>Professional Fee</t>
  </si>
  <si>
    <t xml:space="preserve">Withholding Tax </t>
  </si>
  <si>
    <t>Being payment of withholding tax on behalf Sozo</t>
  </si>
  <si>
    <t>Pte Ltd</t>
  </si>
  <si>
    <t>23th July 2015</t>
  </si>
  <si>
    <t>NO.24, Jalan U8/48C</t>
  </si>
  <si>
    <t>Seksyen U8</t>
  </si>
  <si>
    <t>40706 Shah Alam</t>
  </si>
  <si>
    <t>Selangor Darul Ehsan</t>
  </si>
  <si>
    <t>BBWeb Solutions</t>
  </si>
  <si>
    <t>V2015/546</t>
  </si>
  <si>
    <t>PGTEFT0699</t>
  </si>
  <si>
    <t>B&amp;W Food Products Sdn Bhd</t>
  </si>
  <si>
    <t>12, Lorong Jelawat Empat</t>
  </si>
  <si>
    <t>Seberang Jaya Industrial Park</t>
  </si>
  <si>
    <t>Seberang Jaua 13700 Prai</t>
  </si>
  <si>
    <t>Tel : 04-3978125</t>
  </si>
  <si>
    <t>15/6/2015</t>
  </si>
  <si>
    <t>INV 019107</t>
  </si>
  <si>
    <t>Hoya G'Town White Coffee - 24 pax</t>
  </si>
  <si>
    <t>8/7/2015</t>
  </si>
  <si>
    <t>PGTEFT0703</t>
  </si>
  <si>
    <t>Hunza Properties (Penang) Sdn Bhd</t>
  </si>
  <si>
    <t>163E-11-02, Hunza Tower</t>
  </si>
  <si>
    <t>Kelawei Road</t>
  </si>
  <si>
    <t>Tel : 04-2288266</t>
  </si>
  <si>
    <t xml:space="preserve">Desposits - DC Justice Leage Run </t>
  </si>
  <si>
    <t>Deposit for Promotion Booth @ Gurney Paragon</t>
  </si>
  <si>
    <t>Elang Wah Sdn Bhd</t>
  </si>
  <si>
    <t>No.17-&amp;2, Jalan 1/76</t>
  </si>
  <si>
    <t>Desa Pandan 55100</t>
  </si>
  <si>
    <t>Tel : 03-9282 2713</t>
  </si>
  <si>
    <t>Fax:03-9282 2713</t>
  </si>
  <si>
    <t>31st July 2015</t>
  </si>
  <si>
    <t>V2015/561</t>
  </si>
  <si>
    <t>PGTEFT0714</t>
  </si>
  <si>
    <t>My Nyonya Favaourites Restaurant</t>
  </si>
  <si>
    <t>20F Penang Street</t>
  </si>
  <si>
    <t>Tel : 04-262 6696</t>
  </si>
  <si>
    <t>JATA &amp; TM Tokyo Joint FAM Trip</t>
  </si>
  <si>
    <t>Bill # 7193</t>
  </si>
  <si>
    <t>Lunch hosting on 8/7/2015</t>
  </si>
  <si>
    <t xml:space="preserve">Dream River Vision Enterprise </t>
  </si>
  <si>
    <t>6-05-11, Kompleks Farlim</t>
  </si>
  <si>
    <t>Lebuhraya Thean Teik</t>
  </si>
  <si>
    <t>11500 Ayer Itam</t>
  </si>
  <si>
    <t>Tel : 012-411 8449</t>
  </si>
  <si>
    <t xml:space="preserve"> - George Town Night Trail </t>
  </si>
  <si>
    <t xml:space="preserve"> - Guide walk @ Penang Botanic Garden</t>
  </si>
  <si>
    <t xml:space="preserve"> - Francis Light Cemetery Tour</t>
  </si>
  <si>
    <t xml:space="preserve"> - Music in the garden</t>
  </si>
  <si>
    <t xml:space="preserve"> - An evening of light @ Khoo Kongsi</t>
  </si>
  <si>
    <t xml:space="preserve">DC Justice League Run </t>
  </si>
  <si>
    <t>Kam Seng Yew</t>
  </si>
  <si>
    <t>E-8-3 Taman Bukit Jambul</t>
  </si>
  <si>
    <t>Tel : 016-206 3638</t>
  </si>
  <si>
    <t>Duration : 5 hours</t>
  </si>
  <si>
    <t>Leong Wen Pin</t>
  </si>
  <si>
    <t>I/C : 690729-07-5017</t>
  </si>
  <si>
    <t>C229 Keranji Apt</t>
  </si>
  <si>
    <t>SS19/3A Subang Jaya</t>
  </si>
  <si>
    <t>47500 Selangor</t>
  </si>
  <si>
    <t>12th Aug 2015</t>
  </si>
  <si>
    <t xml:space="preserve">Heritage Walkabout Tour </t>
  </si>
  <si>
    <t xml:space="preserve">Ads - Radio </t>
  </si>
  <si>
    <t>V2015/633</t>
  </si>
  <si>
    <t>PGTEFT0771</t>
  </si>
  <si>
    <t>Magnum Leisure Sdn Bhd</t>
  </si>
  <si>
    <t xml:space="preserve">Jalan Tanjung Bungah </t>
  </si>
  <si>
    <t>Tel : 04-890 4111</t>
  </si>
  <si>
    <t>Fax : 04-890 4777</t>
  </si>
  <si>
    <t xml:space="preserve">CTV Taiwan Mr Player Penang Edition Shooting </t>
  </si>
  <si>
    <t>on 14-16 June 2015</t>
  </si>
  <si>
    <t>26/6/2015</t>
  </si>
  <si>
    <t>INV 510371</t>
  </si>
  <si>
    <t>Hotel Accommodation on 24-26/15</t>
  </si>
  <si>
    <t>RM167 x 26 rooms night</t>
  </si>
  <si>
    <t>Local Govt Fee RM3 x 26</t>
  </si>
  <si>
    <t>Buffet Dinner on 25/6/15 - 23 pax</t>
  </si>
  <si>
    <t>V2015/657</t>
  </si>
  <si>
    <t>PGTEFT0789</t>
  </si>
  <si>
    <t>20th Aug 2015</t>
  </si>
  <si>
    <t>British Council</t>
  </si>
  <si>
    <t>Suite 3A.1 and 3A.2</t>
  </si>
  <si>
    <t>Wisma Great Eastern</t>
  </si>
  <si>
    <t>25 Light Street</t>
  </si>
  <si>
    <t>Tel : 04-255 9000</t>
  </si>
  <si>
    <t>7/8/205</t>
  </si>
  <si>
    <t>INV 266405</t>
  </si>
  <si>
    <t>Public workshop for PGT - Grammar Foundations</t>
  </si>
  <si>
    <t xml:space="preserve"> - Meal allowance</t>
  </si>
  <si>
    <t>Actual usage for the month June'15 :</t>
  </si>
  <si>
    <t>Black &amp; White -  3,868pcs @ RM0.03</t>
  </si>
  <si>
    <t>Colour - 2,601pcs @ RM0.50</t>
  </si>
  <si>
    <t>Black &amp; White -  3,810pcs @ RM0.03</t>
  </si>
  <si>
    <t>Colour - 705pcs @ RM0.50</t>
  </si>
  <si>
    <t>31/8/2015</t>
  </si>
  <si>
    <t>11/8/2015</t>
  </si>
  <si>
    <t>13/8/2015</t>
  </si>
  <si>
    <t>V2015/670</t>
  </si>
  <si>
    <t>PGTEFT0802</t>
  </si>
  <si>
    <t>14/8/2015</t>
  </si>
  <si>
    <t>INV 239262</t>
  </si>
  <si>
    <t>Microsoft Excel 2010 (Foundation) on 26/8/15</t>
  </si>
  <si>
    <t xml:space="preserve"> - to attend by Noor Ramlee </t>
  </si>
  <si>
    <t>PGTEFT0821</t>
  </si>
  <si>
    <t>V2015/698</t>
  </si>
  <si>
    <t>26th Aug 2015</t>
  </si>
  <si>
    <t>Discover Orient Holidays Sdn Bhd</t>
  </si>
  <si>
    <t>B-9-5, 9th Floor, Megan Avenue 1 Block B</t>
  </si>
  <si>
    <t>189 Jalan Tun Razak</t>
  </si>
  <si>
    <t>50400 Kuala Lumpur</t>
  </si>
  <si>
    <t>Tel : 03-2166 2666</t>
  </si>
  <si>
    <t>Fax : 03-2166 2663</t>
  </si>
  <si>
    <t>Malaysia Airlines Taiwan &amp; Hong Kong Top Agents Appreciations</t>
  </si>
  <si>
    <t>FAM on 19-23th May 2015</t>
  </si>
  <si>
    <t>1/6/2015</t>
  </si>
  <si>
    <t>DIIBT500001027</t>
  </si>
  <si>
    <t>Dinner on 19/5/2015 (40pax)</t>
  </si>
  <si>
    <t>Handling fees</t>
  </si>
  <si>
    <t>V2015/713</t>
  </si>
  <si>
    <t>687565</t>
  </si>
  <si>
    <t>Visit to Taiwan HAB on 7-11th Aug 2015</t>
  </si>
  <si>
    <t>AB00025798</t>
  </si>
  <si>
    <t>Coach Rental on 7/8 &amp; 11/8/15</t>
  </si>
  <si>
    <t>Hotel Accommodation - 4 pax</t>
  </si>
  <si>
    <t>Insurance - Darren Ng, Lily Heng &amp; Akbar</t>
  </si>
  <si>
    <t>Air fare - OCY, Darren Ng , Lily Heng &amp; Akbar</t>
  </si>
  <si>
    <t>High speedy &amp; Train  - 4 pax</t>
  </si>
  <si>
    <t>Air fare  Domestic - 4 pax</t>
  </si>
  <si>
    <t>1/9/2015</t>
  </si>
  <si>
    <t>Hana Tour</t>
  </si>
  <si>
    <t>41, Insadong 5 Road</t>
  </si>
  <si>
    <t>Jongno-Gu Seoul</t>
  </si>
  <si>
    <t>Hong Kong Media Campaign</t>
  </si>
  <si>
    <t>UM-2015/127</t>
  </si>
  <si>
    <t>50% upfront of total cost SGD122,123.89 for :</t>
  </si>
  <si>
    <t xml:space="preserve"> - Tramcars (15 June - 6 Sept)</t>
  </si>
  <si>
    <t xml:space="preserve"> - Production cost</t>
  </si>
  <si>
    <t>(SGD 61,061.94 @ 2.7186 )</t>
  </si>
  <si>
    <t>Cicilia</t>
  </si>
  <si>
    <t>PT Gl Media</t>
  </si>
  <si>
    <t>Jln Cileungsir No.2A</t>
  </si>
  <si>
    <t>Cideng Barat</t>
  </si>
  <si>
    <t>Jakarta Pusat - Indonesia</t>
  </si>
  <si>
    <t>Indonesia Ad Campaign</t>
  </si>
  <si>
    <t>Indonesia Radio Ad Campaign</t>
  </si>
  <si>
    <t>50% of total IDR234,301,000.00</t>
  </si>
  <si>
    <t>V2015/723</t>
  </si>
  <si>
    <t>PGTEFT0842</t>
  </si>
  <si>
    <t>4th Sept 2015</t>
  </si>
  <si>
    <t>Actiontintoy Design Laboratory Sdn Bhd</t>
  </si>
  <si>
    <t>MN--3-5, Tiara Ampang</t>
  </si>
  <si>
    <t>KM-7 Jalan Ampang</t>
  </si>
  <si>
    <t>68000 Selangor, Malaysia</t>
  </si>
  <si>
    <t>Tel : 012-315 4666</t>
  </si>
  <si>
    <t>DC Justice League Run</t>
  </si>
  <si>
    <t>20/8/2015</t>
  </si>
  <si>
    <t>ATDL15PTDC01B</t>
  </si>
  <si>
    <t>To produce DC Superheroes wayang kulit puppet</t>
  </si>
  <si>
    <t>on 27-31st Aug 2015</t>
  </si>
  <si>
    <t>335, Jalan Dato Keramat</t>
  </si>
  <si>
    <t>Tel : 04-228 2106</t>
  </si>
  <si>
    <t>V2015/725</t>
  </si>
  <si>
    <t>PGTEFT0844</t>
  </si>
  <si>
    <t>AXA Affin General Insurance Bhd</t>
  </si>
  <si>
    <t>Wisma AXA No.1E</t>
  </si>
  <si>
    <t>Ground Floor Lebuh Penang</t>
  </si>
  <si>
    <t>Tel : 04-261 1595</t>
  </si>
  <si>
    <t>AA00403420</t>
  </si>
  <si>
    <t>Premium of Public Liability on 30/8/2015</t>
  </si>
  <si>
    <t>V2015/733</t>
  </si>
  <si>
    <t>PGTEFT0849</t>
  </si>
  <si>
    <t>14th Sept 2015</t>
  </si>
  <si>
    <t>Access Graphic Corporation Sdn Bhd</t>
  </si>
  <si>
    <t>No.34C,Lorong Abu Siti</t>
  </si>
  <si>
    <t>Fax : 04-229 0848</t>
  </si>
  <si>
    <t>Tel : 04-226 0848</t>
  </si>
  <si>
    <t>21/8/2015</t>
  </si>
  <si>
    <t>00002939</t>
  </si>
  <si>
    <t>Mesh Giant Banner - Size 20' x 65'</t>
  </si>
  <si>
    <t>Corporatenet Advisory Sdn Bhd</t>
  </si>
  <si>
    <t>30/8/2015</t>
  </si>
  <si>
    <t>V2015/740</t>
  </si>
  <si>
    <t>PGTEFT0856</t>
  </si>
  <si>
    <t>Fusion Daily Foodstuffs Sdn Bhd</t>
  </si>
  <si>
    <t>46 Lebuh Sungai Pinang 1</t>
  </si>
  <si>
    <t>Tel : 04-283 4149</t>
  </si>
  <si>
    <t>Fax : 04-283 4149</t>
  </si>
  <si>
    <t>CS001156</t>
  </si>
  <si>
    <t>Drinking water 500ml x 150 boxes</t>
  </si>
  <si>
    <t>Drinking water 220ml x 98 boxes</t>
  </si>
  <si>
    <t>V2015/741</t>
  </si>
  <si>
    <t>PGTEFT0857</t>
  </si>
  <si>
    <t>Jump Street Penang Sdn Bhd</t>
  </si>
  <si>
    <t>Atrium @ Dpiazza Mall</t>
  </si>
  <si>
    <t>70-1-80,  Jalan Mahsuri</t>
  </si>
  <si>
    <t>Sponsorship for Jump Street's National Trampoline</t>
  </si>
  <si>
    <t>Dodgeball Championship 2015</t>
  </si>
  <si>
    <t xml:space="preserve">Silver Sponsor </t>
  </si>
  <si>
    <t>V2015/748</t>
  </si>
  <si>
    <t>PGTEFT0864</t>
  </si>
  <si>
    <t>Training &amp; Development</t>
  </si>
  <si>
    <t>42015084</t>
  </si>
  <si>
    <t xml:space="preserve">MyCEB Business Event Week </t>
  </si>
  <si>
    <t>15th Sept 2015</t>
  </si>
  <si>
    <t>DC Justice League Run Penang</t>
  </si>
  <si>
    <t>V2015/772</t>
  </si>
  <si>
    <t>687570</t>
  </si>
  <si>
    <t>Chan Tang Eng</t>
  </si>
  <si>
    <t>Pejabat Rela Daerah Timur Laut Pulau Pinang</t>
  </si>
  <si>
    <t>Jabatan Sukarelawan Malaysia</t>
  </si>
  <si>
    <t>Kementerian Dalam Negeri</t>
  </si>
  <si>
    <t>Tingkat 5, Bangunan Tuanku Syed Putra</t>
  </si>
  <si>
    <t>10300 Leboh Downning Pulau Pinang</t>
  </si>
  <si>
    <t>27/8/2015</t>
  </si>
  <si>
    <t>RELA1/99/15/1/P-01(107)</t>
  </si>
  <si>
    <t>Allowance for rela on 29/8 - 2 pax</t>
  </si>
  <si>
    <t>Allowance for rela on 29/8 - 40 pax</t>
  </si>
  <si>
    <t>28th Sept 2015</t>
  </si>
  <si>
    <t>V2015/786</t>
  </si>
  <si>
    <t>Actual usage for the month Sept'15 :</t>
  </si>
  <si>
    <t>PGTEFT0890</t>
  </si>
  <si>
    <t>Heng Lee Lee</t>
  </si>
  <si>
    <t>Hot Air Balloon Reccee to Taiwan on 7-11th Aug 2015</t>
  </si>
  <si>
    <t>dated 4.9.2015</t>
  </si>
  <si>
    <t>790927-07-5104</t>
  </si>
  <si>
    <t>I/C : 790927-07-5104</t>
  </si>
  <si>
    <t>V2015/798</t>
  </si>
  <si>
    <t>687575</t>
  </si>
  <si>
    <t>INV1501007</t>
  </si>
  <si>
    <t xml:space="preserve">Being payment on behalf for volunteers allowance </t>
  </si>
  <si>
    <t>Volunteers allowance on 30/8/15</t>
  </si>
  <si>
    <t>on 25/8-29/8/15</t>
  </si>
  <si>
    <t>INV1501008</t>
  </si>
  <si>
    <t>Payment on behalf of refreshment on 30/8/15</t>
  </si>
  <si>
    <t>Payment of running bibs</t>
  </si>
  <si>
    <t>Penang Trishaw Entourage - Bangkok</t>
  </si>
  <si>
    <t>V2015/730</t>
  </si>
  <si>
    <t>Southern Media Ltd</t>
  </si>
  <si>
    <t>8th Sept 2015</t>
  </si>
  <si>
    <t>29/1 Chaofa Road</t>
  </si>
  <si>
    <t>Taladnua Muang</t>
  </si>
  <si>
    <t>83000 Phuket</t>
  </si>
  <si>
    <t>Thailad</t>
  </si>
  <si>
    <t>Tourism Media Campaign</t>
  </si>
  <si>
    <t>SM1508-036</t>
  </si>
  <si>
    <t>Billboard @ Clock Tower Phuket</t>
  </si>
  <si>
    <t xml:space="preserve">8.6m x 4.5m </t>
  </si>
  <si>
    <t>Vinyl Production Cost</t>
  </si>
  <si>
    <t>7% VAT</t>
  </si>
  <si>
    <t>6th Oct 2015</t>
  </si>
  <si>
    <t>Tip Toe Tapir RM30 x 1</t>
  </si>
  <si>
    <t>Food that makes you go mmm Postcard RM12 x 1</t>
  </si>
  <si>
    <t>Tanjong Life RM31.20 x 1</t>
  </si>
  <si>
    <t>17/8/2015</t>
  </si>
  <si>
    <t>5/10/2015</t>
  </si>
  <si>
    <t>V2015/818</t>
  </si>
  <si>
    <t>PGTEFT0917</t>
  </si>
  <si>
    <t>DC Justice League Run to Taiwan on 12-14th June 2015</t>
  </si>
  <si>
    <t>dated 11.9.2015</t>
  </si>
  <si>
    <t>V2015/821</t>
  </si>
  <si>
    <t>PGTEFT0920</t>
  </si>
  <si>
    <t>K-Pop Visit to Penang on 26-28 Sept 2015</t>
  </si>
  <si>
    <t>27/9/2015</t>
  </si>
  <si>
    <t>MC01436f</t>
  </si>
  <si>
    <t>MC Services for Media Conference with Korean Star</t>
  </si>
  <si>
    <t>on 27/9/2015</t>
  </si>
  <si>
    <t>V2015/854</t>
  </si>
  <si>
    <t>PGTEFT0948</t>
  </si>
  <si>
    <t>19th Oct 2015</t>
  </si>
  <si>
    <t>Absolute Vacation &amp; Adventure Sdn Bhd</t>
  </si>
  <si>
    <t>No.31-2A, Jalan Dwitasik 2</t>
  </si>
  <si>
    <t>Bandar Sri Permaisuri</t>
  </si>
  <si>
    <t>56000 Kuala Lumpur</t>
  </si>
  <si>
    <t>Tel :012-5071133</t>
  </si>
  <si>
    <t>Italy Travel Agent Familiarization Trip on 28-30th Oct 2015</t>
  </si>
  <si>
    <t>15026</t>
  </si>
  <si>
    <t>Guide fees for 3 days</t>
  </si>
  <si>
    <t>Transportation for 3 days</t>
  </si>
  <si>
    <t>Trishaw ride</t>
  </si>
  <si>
    <t>Lunch</t>
  </si>
  <si>
    <t>Publicity on Facebook</t>
  </si>
  <si>
    <t>10/10/2015</t>
  </si>
  <si>
    <t>Kementerian Pelancongan Malaysia</t>
  </si>
  <si>
    <t>Aras 9, NO.2, Menara 1</t>
  </si>
  <si>
    <t>Jalan P 5/6</t>
  </si>
  <si>
    <t>Presint 5, 62200 Putrajaya</t>
  </si>
  <si>
    <t>Participation fee</t>
  </si>
  <si>
    <t xml:space="preserve">Penang Centre Education of Tourism </t>
  </si>
  <si>
    <t>V2015/892</t>
  </si>
  <si>
    <t>687296</t>
  </si>
  <si>
    <t>3rd Nov 2015</t>
  </si>
  <si>
    <t>Fluxline Trading Sdn Bhd</t>
  </si>
  <si>
    <t>No.14, Jalan Kamunting</t>
  </si>
  <si>
    <t>Off Jalan Dang Wangi</t>
  </si>
  <si>
    <t>50300 Kuala Lumpur</t>
  </si>
  <si>
    <t>Tel : 03-2692 1088</t>
  </si>
  <si>
    <t>Fax : 03-2692 5088</t>
  </si>
  <si>
    <t>i2 Promotions Sdn Bhd</t>
  </si>
  <si>
    <t>Unit C110, 1st Floor, Block C</t>
  </si>
  <si>
    <t>Damansara Intan, No.1 Jalan SS20/27</t>
  </si>
  <si>
    <t>Tel : 03-7727 8585</t>
  </si>
  <si>
    <t>Fax : 03-7727 8552</t>
  </si>
  <si>
    <t>1507</t>
  </si>
  <si>
    <t>Licensing fee</t>
  </si>
  <si>
    <t xml:space="preserve">Royalty Fee </t>
  </si>
  <si>
    <t>(-) Sponsorship from BSN</t>
  </si>
  <si>
    <t>(-) Facebook Ads</t>
  </si>
  <si>
    <t>(-) RM0.50 for T-shirt printing</t>
  </si>
  <si>
    <t>V2015/893</t>
  </si>
  <si>
    <t>687297</t>
  </si>
  <si>
    <t>IN03493</t>
  </si>
  <si>
    <t>Superman Cape RM6.30 x 720</t>
  </si>
  <si>
    <t>Flash Mask RM4.50 x 720</t>
  </si>
  <si>
    <t>Batman Mask RM4.10 x 1070</t>
  </si>
  <si>
    <t>Green Lantern Mask RM4.20 x 370</t>
  </si>
  <si>
    <t>Wonder Women Mask RM4.15 x 720</t>
  </si>
  <si>
    <t>Drawstring bag RM6.80 x 3500</t>
  </si>
  <si>
    <t>Finisher's medal RM8.30 x 3500</t>
  </si>
  <si>
    <t>Dri-FIT T-shirt RM27.20 x 3688</t>
  </si>
  <si>
    <t>17th Nov 2015</t>
  </si>
  <si>
    <t>V2015/897</t>
  </si>
  <si>
    <t>PGTEFT0976</t>
  </si>
  <si>
    <t>10 Days 3 Festival Publicity</t>
  </si>
  <si>
    <t>13/10/2015</t>
  </si>
  <si>
    <t>5860</t>
  </si>
  <si>
    <t>Bus wrap for GTLF</t>
  </si>
  <si>
    <t>Bus wrap for PIJZ</t>
  </si>
  <si>
    <t>Cost of Goods Sold - Souvenirs</t>
  </si>
  <si>
    <t>Exabytes Networks Sdn Bhd</t>
  </si>
  <si>
    <t xml:space="preserve">1-18-8, Suntech @ Penang Cybercity </t>
  </si>
  <si>
    <t>11950 Bayan baru</t>
  </si>
  <si>
    <t>V2015/905</t>
  </si>
  <si>
    <t>PGTEFT0984</t>
  </si>
  <si>
    <t>Italy Travel Agent FAM Trip on 28-30th Oct 2015</t>
  </si>
  <si>
    <t>27/10/2015</t>
  </si>
  <si>
    <t>1005002</t>
  </si>
  <si>
    <t>Penang National Park Tour - Guide fee &amp; Boat Transfer</t>
  </si>
  <si>
    <t>V2015/908</t>
  </si>
  <si>
    <t>PGTEFT0987</t>
  </si>
  <si>
    <t>10/3/2015</t>
  </si>
  <si>
    <t>133/15</t>
  </si>
  <si>
    <t>Kaki Lima Coasters RM13 x 1</t>
  </si>
  <si>
    <t>I/C : 850115-07-5274</t>
  </si>
  <si>
    <t>16/11/2015</t>
  </si>
  <si>
    <t>V2015/916</t>
  </si>
  <si>
    <t>PGTEFT0995</t>
  </si>
  <si>
    <t>1320353</t>
  </si>
  <si>
    <t>Translation fee for Press Release DC Justice League</t>
  </si>
  <si>
    <t>Run</t>
  </si>
  <si>
    <t>DC Justice Leage Run</t>
  </si>
  <si>
    <t>V2015/920</t>
  </si>
  <si>
    <t>PGTEFT0999</t>
  </si>
  <si>
    <t>Masterpiece Awards Sdn Bhd</t>
  </si>
  <si>
    <t>48, Ground Floor</t>
  </si>
  <si>
    <t>Jalan Irradaddi</t>
  </si>
  <si>
    <t>Tel : 04-228 2603</t>
  </si>
  <si>
    <t>Cost of goods sold - Souvenirs (July'15)</t>
  </si>
  <si>
    <t>MA 006.15</t>
  </si>
  <si>
    <t>Vignettes of Malaysia - 1 book</t>
  </si>
  <si>
    <t>20th Nov 2015</t>
  </si>
  <si>
    <t>AB Print Works</t>
  </si>
  <si>
    <t xml:space="preserve">No.479-42A, Richmond Residences </t>
  </si>
  <si>
    <t xml:space="preserve">Jalan Jelutong </t>
  </si>
  <si>
    <t>Tel : 012-433 4382</t>
  </si>
  <si>
    <t>Fax : 018-623 3382</t>
  </si>
  <si>
    <t>V2015/961</t>
  </si>
  <si>
    <t>PGTEFT1033</t>
  </si>
  <si>
    <t>Subsidy for Out-of-State School Visit to Penang</t>
  </si>
  <si>
    <t>on 17/4/15 (43 pax)</t>
  </si>
  <si>
    <t>V2015/962</t>
  </si>
  <si>
    <t>PGTEFT1034</t>
  </si>
  <si>
    <t>Explorer Balik Pulau</t>
  </si>
  <si>
    <t>145(U-1) MK B, Sg Rusa</t>
  </si>
  <si>
    <t>Tel : 0164522100</t>
  </si>
  <si>
    <t>Malaysia Mega FAM Programme on 11/4-15/11/2015</t>
  </si>
  <si>
    <t>E10012</t>
  </si>
  <si>
    <t>Balik Pulau Customized Tour on 14/11/2015</t>
  </si>
  <si>
    <t>V2015/978</t>
  </si>
  <si>
    <t>24th Nov 2015</t>
  </si>
  <si>
    <t>Refund of Advance Taken for DC Justice League Run</t>
  </si>
  <si>
    <t>Staement of claims</t>
  </si>
  <si>
    <t xml:space="preserve"> - Being refund of advance taken for DC Justice League</t>
  </si>
  <si>
    <t>Run 2015</t>
  </si>
  <si>
    <t>687610</t>
  </si>
  <si>
    <t>30th Nov 2015</t>
  </si>
  <si>
    <t>12, Jalan Sungai Kelian, Hillside</t>
  </si>
  <si>
    <t>11200 Tanjong Bungah</t>
  </si>
  <si>
    <t>Tel : 004-899 2550</t>
  </si>
  <si>
    <t>V2015/1003</t>
  </si>
  <si>
    <t>687617</t>
  </si>
  <si>
    <t>IN-Between Festival</t>
  </si>
  <si>
    <t>Letter dated 17.9.2015</t>
  </si>
  <si>
    <t>Being organize of INBF event on 30/11-2/12/15</t>
  </si>
  <si>
    <t>FM Global Logistics (M) Sdn Bhd</t>
  </si>
  <si>
    <t>Lot 37, Lebuh Sultan Mohamed 1</t>
  </si>
  <si>
    <t>Kawasan Perindustrian Bandar Sultan Suleiman</t>
  </si>
  <si>
    <t>42000 Port Klang</t>
  </si>
  <si>
    <t>Penang Trishaw Entourge to Hong Kong</t>
  </si>
  <si>
    <t>29/6/2015</t>
  </si>
  <si>
    <t>FIN00012996</t>
  </si>
  <si>
    <t>Air Freight charges</t>
  </si>
  <si>
    <t>Local Charges</t>
  </si>
  <si>
    <t>Destination Charges from Pg - Hong Kong</t>
  </si>
  <si>
    <t>24/11/2015</t>
  </si>
  <si>
    <t>Tactical Campaign with Webjet Australia</t>
  </si>
  <si>
    <t>Webjet digital media</t>
  </si>
  <si>
    <t>Jetmax Media Limited</t>
  </si>
  <si>
    <t xml:space="preserve">P.O.Box 36343 Christchurch </t>
  </si>
  <si>
    <t>8146 New Zealand</t>
  </si>
  <si>
    <t>30/11/2015</t>
  </si>
  <si>
    <t>V2015/1020</t>
  </si>
  <si>
    <t>PGTEFT1078</t>
  </si>
  <si>
    <t>Raja Muda Selangor International Regatta 2015</t>
  </si>
  <si>
    <t>25/11/2015</t>
  </si>
  <si>
    <t>251115/01/pgt</t>
  </si>
  <si>
    <t>2 lion with 1 mascot GOP for opening and photo session</t>
  </si>
  <si>
    <t>1 lion dance on high pole on 25/11/15</t>
  </si>
  <si>
    <t>9th Dec 2015</t>
  </si>
  <si>
    <t>V2015/1022</t>
  </si>
  <si>
    <t>PGTEFT1080</t>
  </si>
  <si>
    <t>7/12/2015</t>
  </si>
  <si>
    <t>PGT-PTE-TPE0915</t>
  </si>
  <si>
    <t>Caricature session in Taipei on 11-13 December 2015</t>
  </si>
  <si>
    <t>V2015/1034</t>
  </si>
  <si>
    <t>PGTEFT1087</t>
  </si>
  <si>
    <t>15th Dec 2015</t>
  </si>
  <si>
    <t>2/12/15</t>
  </si>
  <si>
    <t>INV-0623</t>
  </si>
  <si>
    <t>Advertisement of LED For Dec</t>
  </si>
  <si>
    <t>17th Dec 2015</t>
  </si>
  <si>
    <t>25/11/15</t>
  </si>
  <si>
    <t>V2015/1042</t>
  </si>
  <si>
    <t>PGTEFT1095</t>
  </si>
  <si>
    <t>Raja Muda Selangor International Regatta</t>
  </si>
  <si>
    <t>INV 15112301</t>
  </si>
  <si>
    <t>Chinese Orchestra Peformance at Khoo Kongsi on</t>
  </si>
  <si>
    <t>HG Lim Electrical Engineering</t>
  </si>
  <si>
    <t>1-5-1 Lintang Gangsa</t>
  </si>
  <si>
    <t>11500 Jelutong</t>
  </si>
  <si>
    <t>Tel : 04-656 8562</t>
  </si>
  <si>
    <t xml:space="preserve">Welcome Reception </t>
  </si>
  <si>
    <t>Penang Trishaw Entourage to Taipei</t>
  </si>
  <si>
    <t>CAC Academy Sdn Bhd</t>
  </si>
  <si>
    <t>2-5-30 Harbour Trade Centre</t>
  </si>
  <si>
    <t>Gat Lebuh Macallum</t>
  </si>
  <si>
    <t>Tel : 016-446 9319</t>
  </si>
  <si>
    <t>28th Dec 2015</t>
  </si>
  <si>
    <t>V2015/1083</t>
  </si>
  <si>
    <t>687631</t>
  </si>
  <si>
    <t>Last Fri, Sat and Sun for the month of Nov'15</t>
  </si>
  <si>
    <t>IN015130</t>
  </si>
  <si>
    <t>Being payment of LFSS for Nov'15</t>
  </si>
  <si>
    <t>7, Jalan D.S Ramanathan Pulau Pinang</t>
  </si>
  <si>
    <t>Colonial Penang Museum Sdn Bhd</t>
  </si>
  <si>
    <t xml:space="preserve">Instant Dedicated server </t>
  </si>
  <si>
    <t>Fourth payment for Festivals in a Box video</t>
  </si>
  <si>
    <t>V2015/1088</t>
  </si>
  <si>
    <t>687636</t>
  </si>
  <si>
    <t>Kraken Interactive Sdn Bhd</t>
  </si>
  <si>
    <t>16-2, Jalan PJU 8/3A</t>
  </si>
  <si>
    <t>Damansara Perdana</t>
  </si>
  <si>
    <t>Ads - Social Media</t>
  </si>
  <si>
    <t>KRK-INV160002</t>
  </si>
  <si>
    <t>PGT Facebook Campaign 2015</t>
  </si>
  <si>
    <t>Neoh Suat Hoon</t>
  </si>
  <si>
    <t>I/C : 881001-07-5016</t>
  </si>
  <si>
    <t>Out of pocket expenses</t>
  </si>
  <si>
    <t>V2015/1091</t>
  </si>
  <si>
    <t>23rd Dec 2015</t>
  </si>
  <si>
    <t>GI/001/11-2015</t>
  </si>
  <si>
    <t>(IDR117,150,500 @ 0.000333)</t>
  </si>
  <si>
    <t>V2015/1092</t>
  </si>
  <si>
    <t>Ko Kai Kong</t>
  </si>
  <si>
    <t xml:space="preserve">2/F No.246 Fan Tin Tsuen </t>
  </si>
  <si>
    <t>San Tin</t>
  </si>
  <si>
    <t>Yuen Long</t>
  </si>
  <si>
    <t>N.T Hong Kong</t>
  </si>
  <si>
    <t xml:space="preserve">Local transportation on 19/6/15 </t>
  </si>
  <si>
    <t>(HKD1,580 @ 57.0600)</t>
  </si>
  <si>
    <t>V2016/004</t>
  </si>
  <si>
    <t>PGTEFT1134</t>
  </si>
  <si>
    <t>8th Jan 2016</t>
  </si>
  <si>
    <t>29/12/2015</t>
  </si>
  <si>
    <t>INV1512-001</t>
  </si>
  <si>
    <t>Being brochure distribution for the month of Dec'15</t>
  </si>
  <si>
    <t>Mini Hot Air Balloon</t>
  </si>
  <si>
    <t>Majlis Bandaraya Pulau Pinang</t>
  </si>
  <si>
    <t>18th Jan 2016</t>
  </si>
  <si>
    <t xml:space="preserve">Welcoming Reception </t>
  </si>
  <si>
    <t xml:space="preserve">Mini Hot Air Balloon </t>
  </si>
  <si>
    <t>23/12/2015</t>
  </si>
  <si>
    <t>V2016/024</t>
  </si>
  <si>
    <t>PGTEFT1151</t>
  </si>
  <si>
    <t>Felix Expo Logistics (M) Sdn Bhd</t>
  </si>
  <si>
    <t>No.2, Jalan PJS 7/16A</t>
  </si>
  <si>
    <t>Bandar Sunway 46150 Selangor</t>
  </si>
  <si>
    <t>Tel : 03-5636 5511</t>
  </si>
  <si>
    <t>Fax : 03-5632 7795</t>
  </si>
  <si>
    <t>12059</t>
  </si>
  <si>
    <t xml:space="preserve">Logisitc charges from DHL to Venue in Taipei </t>
  </si>
  <si>
    <t>Copywriting</t>
  </si>
  <si>
    <t>V2016/031</t>
  </si>
  <si>
    <t>PGTEFT1158</t>
  </si>
  <si>
    <t>Publicity - 10 days 3 Festival</t>
  </si>
  <si>
    <t>15/11/2015</t>
  </si>
  <si>
    <t>FP1511004</t>
  </si>
  <si>
    <t>Talen fee for Radio Ads in FlyFM - GTLF</t>
  </si>
  <si>
    <t>31/12/2015</t>
  </si>
  <si>
    <t>FP1512041</t>
  </si>
  <si>
    <t xml:space="preserve">Talen fee for Radio Ads in FlyFM </t>
  </si>
  <si>
    <t>V2016/032</t>
  </si>
  <si>
    <t>PGTEFT1159</t>
  </si>
  <si>
    <t>CP1511005</t>
  </si>
  <si>
    <t>Talen fee for Radio Ads in OneFM - GTLF</t>
  </si>
  <si>
    <t>31/12/015</t>
  </si>
  <si>
    <t>CP1512046</t>
  </si>
  <si>
    <t xml:space="preserve">Talen fee for Radio Ads in OneFM </t>
  </si>
  <si>
    <t>Kota Cornwallis Dine &amp; Coffee Sdn Bhd</t>
  </si>
  <si>
    <t>Jalan Tun Syed Sheh Barakbah</t>
  </si>
  <si>
    <t>Lunch/Dinner Hosting</t>
  </si>
  <si>
    <t>18/8/16</t>
  </si>
  <si>
    <t>507258</t>
  </si>
  <si>
    <t xml:space="preserve">Friends of Penang Adelaide Penang Lunch hosting </t>
  </si>
  <si>
    <t>on 18/8/16 (10 pax)</t>
  </si>
  <si>
    <t>V2016/806</t>
  </si>
  <si>
    <t>PGTEFT1763</t>
  </si>
  <si>
    <t>17th Oct 2016</t>
  </si>
  <si>
    <t>PGTEFT1775</t>
  </si>
  <si>
    <t>V2016/818</t>
  </si>
  <si>
    <t>International Travel Fair 2016</t>
  </si>
  <si>
    <t>18th Oct 2016</t>
  </si>
  <si>
    <t>Photostating</t>
  </si>
  <si>
    <t>V2016/835</t>
  </si>
  <si>
    <t>PGTEFT1789</t>
  </si>
  <si>
    <t>Malaysia Edu-Tourism Japanese Magazine Writer</t>
  </si>
  <si>
    <t>FAM Trip on 19-23th Oct 2016</t>
  </si>
  <si>
    <t>07/10/16</t>
  </si>
  <si>
    <t>Hotel Accommodation  RM438 x 4 room nights</t>
  </si>
  <si>
    <t>E-Plus Entertainement Productions (M) Sdn Bhd</t>
  </si>
  <si>
    <t>B806, Block B, Kelana Square</t>
  </si>
  <si>
    <t>No,17, Jalan SS7/26, Kelana Square</t>
  </si>
  <si>
    <t>Tel : 03-37499233</t>
  </si>
  <si>
    <t>United Buddy Bears Penang</t>
  </si>
  <si>
    <t>08/09/16</t>
  </si>
  <si>
    <t>00016055</t>
  </si>
  <si>
    <t>Countries Flag Plate - 151pcs</t>
  </si>
  <si>
    <t>Countries Name Plate - 151pcs</t>
  </si>
  <si>
    <t>Information Board</t>
  </si>
  <si>
    <t>Clear Lacquer Protection Layer for new bear</t>
  </si>
  <si>
    <t>Transportation &amp; Manpower</t>
  </si>
  <si>
    <t>15% Professional Fees</t>
  </si>
  <si>
    <t>Marina Bay Sands Pte Ltd</t>
  </si>
  <si>
    <t xml:space="preserve">10 Bayfront Avenue </t>
  </si>
  <si>
    <t>018956 Singapore</t>
  </si>
  <si>
    <t>ITB Asia Singapore</t>
  </si>
  <si>
    <t xml:space="preserve">25, International Business Park </t>
  </si>
  <si>
    <t>#03-79 German Centre</t>
  </si>
  <si>
    <t>V2016/867</t>
  </si>
  <si>
    <t>28th Oct 2016</t>
  </si>
  <si>
    <t>3rd Nov 2016</t>
  </si>
  <si>
    <t>V2016/909</t>
  </si>
  <si>
    <t>687818</t>
  </si>
  <si>
    <t>Participation fee (USD309.28 @ 4.27499)</t>
  </si>
  <si>
    <t>1/8/2016</t>
  </si>
  <si>
    <t>INV-0888</t>
  </si>
  <si>
    <t>AUD 15,000 @ 3.2438</t>
  </si>
  <si>
    <t>V2016/925</t>
  </si>
  <si>
    <t>PGTEFT1848</t>
  </si>
  <si>
    <t>21st Nov 2016</t>
  </si>
  <si>
    <t>Bastion Design</t>
  </si>
  <si>
    <t>AE-02-16, Subang Perdana Court 10</t>
  </si>
  <si>
    <t>47620 Selangor Malaysia</t>
  </si>
  <si>
    <t>8/11/2016</t>
  </si>
  <si>
    <t>16/pgt_02</t>
  </si>
  <si>
    <t>Image purchasing for deepavali greetings</t>
  </si>
  <si>
    <t>Flagstaff Holdings Sdn Bhd</t>
  </si>
  <si>
    <t>Unit 1110 Block A</t>
  </si>
  <si>
    <t>Pusat Daganan Phileo Damansara II</t>
  </si>
  <si>
    <t>15, Jalan 16/11, Off Jalan Damansara</t>
  </si>
  <si>
    <t>46350 Petaling Jaya</t>
  </si>
  <si>
    <t>The Habitat Penang Hill</t>
  </si>
  <si>
    <t>Ken Ray Communications Sdn Bhd</t>
  </si>
  <si>
    <t>16, Jalan Jones</t>
  </si>
  <si>
    <t>Tel : 04-226 1226</t>
  </si>
  <si>
    <t>Fax ; 04-229 6121</t>
  </si>
  <si>
    <t>22th Nov 2016</t>
  </si>
  <si>
    <t>V2016/955</t>
  </si>
  <si>
    <t>PGTEFT1878</t>
  </si>
  <si>
    <t>World Tourism Conference</t>
  </si>
  <si>
    <t>Entrance ticket on 19/10/16 (38 pax)</t>
  </si>
  <si>
    <t>29th Nov 2016</t>
  </si>
  <si>
    <t>Art Gallery Connections</t>
  </si>
  <si>
    <t>45, Lebuh Kimberly</t>
  </si>
  <si>
    <t xml:space="preserve">Tel : 04-6561234 </t>
  </si>
  <si>
    <t>Fax : 04-6571234</t>
  </si>
  <si>
    <t>Taiwan Tactical Campaign</t>
  </si>
  <si>
    <t>21/11/16</t>
  </si>
  <si>
    <t>V2016/966</t>
  </si>
  <si>
    <t>PGTEFT1883</t>
  </si>
  <si>
    <t>Focus Malaysia Sdn Bhd</t>
  </si>
  <si>
    <t>No.6, Jalan 19/1B, Section 19</t>
  </si>
  <si>
    <t>46300 Petaling Jaya, Selangor</t>
  </si>
  <si>
    <t xml:space="preserve">Tel : 03-7968 8668 </t>
  </si>
  <si>
    <t>Fax : 03-79542152</t>
  </si>
  <si>
    <t xml:space="preserve">Publicity - 10 days 3 Festival </t>
  </si>
  <si>
    <t>FM1116-049</t>
  </si>
  <si>
    <t>Print ads - half page full folour for GTLF</t>
  </si>
  <si>
    <t>IPK College</t>
  </si>
  <si>
    <t xml:space="preserve">1664 Jalan Kulim, </t>
  </si>
  <si>
    <t>My Passion Travel Sdn Bhd</t>
  </si>
  <si>
    <t>8G-1-9S, Gat Lebuh Macallum</t>
  </si>
  <si>
    <t>10300 George town</t>
  </si>
  <si>
    <t>Tel : 04-250 2238</t>
  </si>
  <si>
    <t>Fax : 04-250 2239</t>
  </si>
  <si>
    <t>1/12/2016</t>
  </si>
  <si>
    <t>V2016/994</t>
  </si>
  <si>
    <t>PGTEFT1901</t>
  </si>
  <si>
    <t>7th Dec 2016</t>
  </si>
  <si>
    <t>Apollo Vista Sdn Bhd</t>
  </si>
  <si>
    <t>1A, MK 11, Jalan Perindustrian Nibong Tebal 3</t>
  </si>
  <si>
    <t>Taman Perindustrian Nibong Tebal</t>
  </si>
  <si>
    <t>14300 Nibong Tebal, Penang</t>
  </si>
  <si>
    <t>Tel : 012-935 8788</t>
  </si>
  <si>
    <t>1085</t>
  </si>
  <si>
    <t>Publicity - Hot Air Balloon</t>
  </si>
  <si>
    <t>LED Ads for 1 month</t>
  </si>
  <si>
    <t>(period : 1/12-31/12/16)</t>
  </si>
  <si>
    <t>ET Hospitality Ventures Sdn Bhd</t>
  </si>
  <si>
    <t>15, Lebuh Leith, George Town</t>
  </si>
  <si>
    <t>Tel : 04-262 2990</t>
  </si>
  <si>
    <t>Fax : 04-262 2998</t>
  </si>
  <si>
    <t>Local Govt Fee</t>
  </si>
  <si>
    <t>2/12/16</t>
  </si>
  <si>
    <t>(15 sets)</t>
  </si>
  <si>
    <t>To service 2 set 2.5 Condensor out door unit</t>
  </si>
  <si>
    <t>Evercool Air-Conditioner &amp; Refrigerator Service</t>
  </si>
  <si>
    <t>V2016/1019</t>
  </si>
  <si>
    <t>PGTEFT1923</t>
  </si>
  <si>
    <t>6/12/16</t>
  </si>
  <si>
    <t xml:space="preserve">Copy writing for G'town free list leaflet </t>
  </si>
  <si>
    <t>V2016/1025</t>
  </si>
  <si>
    <t>3/10/2016</t>
  </si>
  <si>
    <t>TLS 12126</t>
  </si>
  <si>
    <t>V2016/1027</t>
  </si>
  <si>
    <t>APL Media Ltd</t>
  </si>
  <si>
    <t>Unit 310</t>
  </si>
  <si>
    <t>Highgate Studios</t>
  </si>
  <si>
    <t>53-79 Highgate Road</t>
  </si>
  <si>
    <t>London NW5 1TL</t>
  </si>
  <si>
    <t>27/10/16</t>
  </si>
  <si>
    <t>61725</t>
  </si>
  <si>
    <t>National Geography Traveller Magazine</t>
  </si>
  <si>
    <t>(GBP7,600@ 5.6870)</t>
  </si>
  <si>
    <t>V2016/1029</t>
  </si>
  <si>
    <t>PGTEFT1929</t>
  </si>
  <si>
    <t>INV000001</t>
  </si>
  <si>
    <t>Entrance to upside down &amp; Pg time tunnel RM8 x 70</t>
  </si>
  <si>
    <t>Marziah Binti Mohamed Mukhtar</t>
  </si>
  <si>
    <t>Block J3-24</t>
  </si>
  <si>
    <t>Rifle Range Flats</t>
  </si>
  <si>
    <t>11400 Air Itam</t>
  </si>
  <si>
    <t>Publicity - 10 days 3 festivals</t>
  </si>
  <si>
    <t>AB0001</t>
  </si>
  <si>
    <t>Katak Creation</t>
  </si>
  <si>
    <t>Butterfly House (PG) Sdn Bhd</t>
  </si>
  <si>
    <t>No. 830, Jalan Teluk Bahang</t>
  </si>
  <si>
    <t>11050 Penang</t>
  </si>
  <si>
    <t>Tel : 04-888 8111</t>
  </si>
  <si>
    <t>Fax : 04-885 2011</t>
  </si>
  <si>
    <t>Fukusu Design</t>
  </si>
  <si>
    <t xml:space="preserve">29 Halaman Batu Maung </t>
  </si>
  <si>
    <t>H/P : 012-428 6261</t>
  </si>
  <si>
    <t>Display cabinet and temered glass white board</t>
  </si>
  <si>
    <t>Hop On Media Sdn Bhd</t>
  </si>
  <si>
    <t>18-16-D&amp;E, Gurney Tower</t>
  </si>
  <si>
    <t>Persiaran Gurney</t>
  </si>
  <si>
    <t>Tel : 04-899 2713</t>
  </si>
  <si>
    <t>Fax : 04-899 2713</t>
  </si>
  <si>
    <t>Last Fri, Sat &amp; Sun for the month</t>
  </si>
  <si>
    <t>19th Jan 2017</t>
  </si>
  <si>
    <t>V2017/044</t>
  </si>
  <si>
    <t>PGTEFT2039</t>
  </si>
  <si>
    <t>30/12/2016</t>
  </si>
  <si>
    <t>F16-IMPG0013-2</t>
  </si>
  <si>
    <t>60% Balance of total RM8,500</t>
  </si>
  <si>
    <t>V2017/045</t>
  </si>
  <si>
    <t>PGTEFT2040</t>
  </si>
  <si>
    <t>Gem's Restaurant (pg) Sdn Bhd</t>
  </si>
  <si>
    <t>No.66 Bishop Street</t>
  </si>
  <si>
    <t>Tel : 04-262 4070</t>
  </si>
  <si>
    <t>Ark Travels Superstar Libra FAM Trip</t>
  </si>
  <si>
    <t>8/1/17</t>
  </si>
  <si>
    <t>0204</t>
  </si>
  <si>
    <t>Hosting of lunch on 8/1/17 - 44pax</t>
  </si>
  <si>
    <t>Heritage Walkabout Tour</t>
  </si>
  <si>
    <t xml:space="preserve"> - Danny Tan</t>
  </si>
  <si>
    <t>RedQ, Jalan Pekeliling 5</t>
  </si>
  <si>
    <t>Lapangan Terbang Antarabangsa Kuala Lumpur</t>
  </si>
  <si>
    <t>(KLIA2) 64000 Selangor Darul Ehsan</t>
  </si>
  <si>
    <t>03-8660 4333</t>
  </si>
  <si>
    <t>26th Jan 2017</t>
  </si>
  <si>
    <t>Didadee Sdn Bhd</t>
  </si>
  <si>
    <t>65-3, Jalan Puteri 2/3</t>
  </si>
  <si>
    <t>Bandar Puteri</t>
  </si>
  <si>
    <t>China Digital Marketing campaign</t>
  </si>
  <si>
    <t>V2017/063</t>
  </si>
  <si>
    <t>PGTEFT2050</t>
  </si>
  <si>
    <t>Chew Win Win</t>
  </si>
  <si>
    <t>No.98-2-36B Prima Tanjung Business Centre</t>
  </si>
  <si>
    <t xml:space="preserve">Jalan Fettes </t>
  </si>
  <si>
    <t>28/12/2016</t>
  </si>
  <si>
    <t>16026_IN_PGT</t>
  </si>
  <si>
    <t>Food photography service</t>
  </si>
  <si>
    <t>(50% balance of total RM6,000)</t>
  </si>
  <si>
    <t>Joanne Khoo Rou Yan</t>
  </si>
  <si>
    <t>I/C : 880820-07-5082</t>
  </si>
  <si>
    <t>Travelscape, LLC</t>
  </si>
  <si>
    <t>Expedia Travel</t>
  </si>
  <si>
    <t>10190 Covington Cross Drive</t>
  </si>
  <si>
    <t>Suite 300 Las Vegas</t>
  </si>
  <si>
    <t>NV 89144-7043</t>
  </si>
  <si>
    <t>Advertising - Social Media</t>
  </si>
  <si>
    <t>2nd Feb 2017</t>
  </si>
  <si>
    <t>V2017/088</t>
  </si>
  <si>
    <t>PGTEFT2067</t>
  </si>
  <si>
    <t>Mirzal Marketing</t>
  </si>
  <si>
    <t>C-2-3 Sunway Business Centre</t>
  </si>
  <si>
    <t>Jalan Todak 4</t>
  </si>
  <si>
    <t xml:space="preserve">13700 Seberang Jaya </t>
  </si>
  <si>
    <t>26/1/17</t>
  </si>
  <si>
    <t>MZL0002</t>
  </si>
  <si>
    <t>Catering service on 4/2/17 &amp; 5/2/17</t>
  </si>
  <si>
    <t>Chong Lee Choo</t>
  </si>
  <si>
    <t>306-6-10, Taman Jelutong</t>
  </si>
  <si>
    <t>11600 Peanng</t>
  </si>
  <si>
    <t>8th Feb 2017</t>
  </si>
  <si>
    <t>5  staff in attendance</t>
  </si>
  <si>
    <t>10th Feb 2017</t>
  </si>
  <si>
    <t>V2017/115</t>
  </si>
  <si>
    <t>PGTEFT2083</t>
  </si>
  <si>
    <t>Laskar Sonas Productions</t>
  </si>
  <si>
    <t>Suite 1606, Casa Mila</t>
  </si>
  <si>
    <t>Jalan Bukit Idaman 3/1</t>
  </si>
  <si>
    <t>68100 Batu Caves</t>
  </si>
  <si>
    <t>Penang Hot Air Balloon Fiesta</t>
  </si>
  <si>
    <t>8/2/2017</t>
  </si>
  <si>
    <t>LSP17003</t>
  </si>
  <si>
    <t>Entertainmetn management &amp; Night Glot on</t>
  </si>
  <si>
    <t xml:space="preserve"> 4&amp;5th Feb 2017</t>
  </si>
  <si>
    <t>21st Feb 2017</t>
  </si>
  <si>
    <t>Cost of Goods Sold - Jan'17</t>
  </si>
  <si>
    <t>V2017/122</t>
  </si>
  <si>
    <t>6/2/2017</t>
  </si>
  <si>
    <t>V2017/125</t>
  </si>
  <si>
    <t>PGTEFT2092</t>
  </si>
  <si>
    <t>23/1/2017</t>
  </si>
  <si>
    <t>INV001/2017</t>
  </si>
  <si>
    <t>Guide fee on 21/1/2017 (26 pax)</t>
  </si>
  <si>
    <t>Tour Guide TG3408</t>
  </si>
  <si>
    <t>Magnificent Empire Sdn Bhd</t>
  </si>
  <si>
    <t>No.10, Jalan Pelukis U1</t>
  </si>
  <si>
    <t>Temasnya Industrial Park</t>
  </si>
  <si>
    <t>40150 Shah Alam, Selangor Darul Ehsan</t>
  </si>
  <si>
    <t>Tel : 03-5566 8000</t>
  </si>
  <si>
    <t>Fax : 03-5566 8006</t>
  </si>
  <si>
    <t>Malaysia Airlines Berhad</t>
  </si>
  <si>
    <t>247/249 Cromwell Road</t>
  </si>
  <si>
    <t>London SW5 9GA</t>
  </si>
  <si>
    <t>Gullivers Travel Associates</t>
  </si>
  <si>
    <t>Unit 708A, 7th Floor, Tower B</t>
  </si>
  <si>
    <t>Manulife Financial Centre</t>
  </si>
  <si>
    <t>223-231 Wai Yip Street, Kwun Tong</t>
  </si>
  <si>
    <t>Kowloon Hong Kong</t>
  </si>
  <si>
    <t>Tactical Campaign - Hong Kong</t>
  </si>
  <si>
    <t xml:space="preserve">Marketing campaign from June - Oct 2016 </t>
  </si>
  <si>
    <t>Akaun Pungutan Potongan Gaji Agensi</t>
  </si>
  <si>
    <t>Perbadanan Tabung Pendidikan Tinggi Nasional (PTPTN)</t>
  </si>
  <si>
    <t>Tingkat Bawah, Menara PTPTN</t>
  </si>
  <si>
    <t>Block D, Megan Avenue II</t>
  </si>
  <si>
    <t>No.12, Jalan Yap Kwan Seng</t>
  </si>
  <si>
    <t xml:space="preserve"> - Joanna Khoo Rou Yan (I/C : 880820075082)</t>
  </si>
  <si>
    <t>No. Pinjaman 864615</t>
  </si>
  <si>
    <t>No. Pinjaman 117430</t>
  </si>
  <si>
    <t>Ruj : PTPTN/BPG-880820075092-i864615</t>
  </si>
  <si>
    <t>Ruj : PTPTN/BPG-880820075092-i117430</t>
  </si>
  <si>
    <t>Heritage Walkabout Tour Brochure</t>
  </si>
  <si>
    <t>Reprint of Walkabout tour brochure - 10,000pcs</t>
  </si>
  <si>
    <t>Professional fees of preparing payroll for Feb' 17</t>
  </si>
  <si>
    <t>16/2/2017</t>
  </si>
  <si>
    <t>CA/17/0018</t>
  </si>
  <si>
    <t>Renewal of Motor Car Insurance (PG-86350359-MPC)</t>
  </si>
  <si>
    <t>Period : 22/3/2017 - 21/3/2018</t>
  </si>
  <si>
    <t>Renewal of Drivers Personal Accident (PG-86643163-DPA)</t>
  </si>
  <si>
    <t>OAP @ Lite FM</t>
  </si>
  <si>
    <t>AR1702-21</t>
  </si>
  <si>
    <t>AR1702-22</t>
  </si>
  <si>
    <t>OAP @ Sinar FM</t>
  </si>
  <si>
    <t>OAP @ Mix FM</t>
  </si>
  <si>
    <t>15th March 2017</t>
  </si>
  <si>
    <t>V2017/203</t>
  </si>
  <si>
    <t>PGTEFT2147</t>
  </si>
  <si>
    <t>KL Metro Land Development Sdn Bhd</t>
  </si>
  <si>
    <t>Lexis Suites Penang</t>
  </si>
  <si>
    <t>28 Jalan Teluk Kumbar</t>
  </si>
  <si>
    <t>11920 Bayan Lepas</t>
  </si>
  <si>
    <t>AirAsia China &amp; Breadtrip KOL Fam on 13-17th Feb 2017</t>
  </si>
  <si>
    <t>Japanese Buffet Lunch on 16/2/17 RM40 x 9 pax</t>
  </si>
  <si>
    <t>Professional fees of preparing EA &amp; E</t>
  </si>
  <si>
    <t>15/3/2017</t>
  </si>
  <si>
    <t>CA/17/0036</t>
  </si>
  <si>
    <t xml:space="preserve">Professional fees for preparing EA form &amp; E form for </t>
  </si>
  <si>
    <t>YE 2016</t>
  </si>
  <si>
    <t>28/2/2017</t>
  </si>
  <si>
    <t>KKCN17-IV010</t>
  </si>
  <si>
    <t>Books (Sketching Penang) RM17.5 x 1</t>
  </si>
  <si>
    <t>Postcards (Street series) RM14 x 1</t>
  </si>
  <si>
    <t>Print RM35 x 1</t>
  </si>
  <si>
    <t>6/3/2017</t>
  </si>
  <si>
    <t>KKCN17-IV014</t>
  </si>
  <si>
    <t>Cost of Goods Sold - Feb'17</t>
  </si>
  <si>
    <t>Postcards (Clan Jetty series) RM14 x 1</t>
  </si>
  <si>
    <t>Ernest's Streetart Postcard RM16 x 4</t>
  </si>
  <si>
    <t>Streetart Notebook G'town RM24 x 1</t>
  </si>
  <si>
    <t>23rd March 2017</t>
  </si>
  <si>
    <t>V2017/219</t>
  </si>
  <si>
    <t>PGTEFT2157</t>
  </si>
  <si>
    <t>27/3/2017</t>
  </si>
  <si>
    <t>EW-P/CHARTER-0327/17</t>
  </si>
  <si>
    <t>PGT-18</t>
  </si>
  <si>
    <t>Additional Hop on Hop off on 26/3/17</t>
  </si>
  <si>
    <t>Bold Inspiration Sdn bhd</t>
  </si>
  <si>
    <t>Udini Square</t>
  </si>
  <si>
    <t>02-03-03 Lebuh Turku Kudin 3</t>
  </si>
  <si>
    <t>11700 Gelugor Penang</t>
  </si>
  <si>
    <t>Tel : 04-376 3000</t>
  </si>
  <si>
    <t>Fax : 04-376 3600</t>
  </si>
  <si>
    <t>687912</t>
  </si>
  <si>
    <t>V2017/280</t>
  </si>
  <si>
    <t>PGTEFT2206</t>
  </si>
  <si>
    <t>4th April 2017</t>
  </si>
  <si>
    <t>Arabian Travel Mart Dubai 2017</t>
  </si>
  <si>
    <t xml:space="preserve">Participation fee </t>
  </si>
  <si>
    <t xml:space="preserve"> - Azfalyza Abd Aziz</t>
  </si>
  <si>
    <t>V2017/281</t>
  </si>
  <si>
    <t>Capitol Prosper (Utilities) Sdn Bhd</t>
  </si>
  <si>
    <t>Palm Mall Management Office</t>
  </si>
  <si>
    <t>Level 4, Palm Mall, Jalan Sungai Ujong</t>
  </si>
  <si>
    <t>70200 Seremban, Negeri Sembilan</t>
  </si>
  <si>
    <t xml:space="preserve">Tel : 06-765 6688 </t>
  </si>
  <si>
    <t>Fax : 06-765 6064</t>
  </si>
  <si>
    <t>Penang Trishaw Entourage 2017</t>
  </si>
  <si>
    <t>MI10007974</t>
  </si>
  <si>
    <t xml:space="preserve">PTE Seremban - Rental </t>
  </si>
  <si>
    <t>Refundable Deposit</t>
  </si>
  <si>
    <t>28/3/2017</t>
  </si>
  <si>
    <t>Makamewah Sdn Bhd</t>
  </si>
  <si>
    <t>9-3, 9th Floor, Suriai Sabah Shopping Mall</t>
  </si>
  <si>
    <t>1, Jalan Tun Fuad Stephens</t>
  </si>
  <si>
    <t>88000 Kota Kinabalu, Sabah</t>
  </si>
  <si>
    <t>Tel : 088-238 949</t>
  </si>
  <si>
    <t>Fax : 088-239 040</t>
  </si>
  <si>
    <t xml:space="preserve"> - Hotel Accommodation</t>
  </si>
  <si>
    <t>10150 Pulau Pinang</t>
  </si>
  <si>
    <t xml:space="preserve"> - Hotel accommodation</t>
  </si>
  <si>
    <t xml:space="preserve"> - Contingency</t>
  </si>
  <si>
    <t xml:space="preserve"> - Photo &amp; Visa Application</t>
  </si>
  <si>
    <t>6/4/2017</t>
  </si>
  <si>
    <t>11th April 2017</t>
  </si>
  <si>
    <t>V2017/305</t>
  </si>
  <si>
    <t>PGTEFT2216</t>
  </si>
  <si>
    <t>20/3/2017</t>
  </si>
  <si>
    <t>01775</t>
  </si>
  <si>
    <t>Being canopy, stalls and electrical set up on 18/2/2017</t>
  </si>
  <si>
    <t>(balance of 30%)</t>
  </si>
  <si>
    <t>7th April 2017</t>
  </si>
  <si>
    <t>V2017/293</t>
  </si>
  <si>
    <t>Consulate General of Malaysia-Tourism Section</t>
  </si>
  <si>
    <t>Unit 1109, Level 11, Citic Square</t>
  </si>
  <si>
    <t>No.1168, Janjing West Road</t>
  </si>
  <si>
    <t>Jingan District</t>
  </si>
  <si>
    <t>Shanghai World Travel Fair</t>
  </si>
  <si>
    <t>(USD1,449.99 @ 4.4833)</t>
  </si>
  <si>
    <t>Johdaya Karya Sdn Bhd</t>
  </si>
  <si>
    <t>Lot J3-12A, Level 3, Johor Bahru City Square</t>
  </si>
  <si>
    <t>106-108, Jalan Wong Ah Fook</t>
  </si>
  <si>
    <t>80000 Johor Bahru</t>
  </si>
  <si>
    <t>Tel : 07-221 9989</t>
  </si>
  <si>
    <t>Fax : 07-226 9989</t>
  </si>
  <si>
    <t>14th April 2017</t>
  </si>
  <si>
    <t>31/3/2017</t>
  </si>
  <si>
    <t>12/4/2017</t>
  </si>
  <si>
    <t>V2017/346</t>
  </si>
  <si>
    <t>PGTEFT2245</t>
  </si>
  <si>
    <t>Hekty Publishing Sdn Bhd</t>
  </si>
  <si>
    <t>Suite 1-04, Wisma Sri Weld</t>
  </si>
  <si>
    <t>Josh Lee Fragrances Sdn Bhd</t>
  </si>
  <si>
    <t>56-B, Siam Road</t>
  </si>
  <si>
    <t>George Town</t>
  </si>
  <si>
    <t>Tel : 04-229 3479</t>
  </si>
  <si>
    <t>Fax : 04-229 0336</t>
  </si>
  <si>
    <t>APMG Team Member Obverse Programme to World Master</t>
  </si>
  <si>
    <t>Games 2017</t>
  </si>
  <si>
    <t>IN0417-006</t>
  </si>
  <si>
    <t>G'town perfume - 3 units</t>
  </si>
  <si>
    <t>13/4/2017</t>
  </si>
  <si>
    <t>28th April 2017</t>
  </si>
  <si>
    <t>V2017/365</t>
  </si>
  <si>
    <t>PGTEFT2263</t>
  </si>
  <si>
    <t>16/3/2017</t>
  </si>
  <si>
    <t>Doc. No.9-11/L-01 (A0000)/CS 006885</t>
  </si>
  <si>
    <t>Penang Trishaw Entourage Johor - Security Deposit</t>
  </si>
  <si>
    <t xml:space="preserve"> - PGT BOD Meeting on 24/1/2017</t>
  </si>
  <si>
    <t xml:space="preserve"> - Meeting with TM on National Tourism CNY Open House 13/2/17</t>
  </si>
  <si>
    <t xml:space="preserve"> - TM National CNY Open House on 24/2/2017</t>
  </si>
  <si>
    <t xml:space="preserve"> - PIFF Opening Ceremony on 15/4/2017</t>
  </si>
  <si>
    <t xml:space="preserve"> - Opening ceremony of The Top, Komtar on 18/12/2016</t>
  </si>
  <si>
    <t xml:space="preserve"> - Accommodation on 18/12/16</t>
  </si>
  <si>
    <t xml:space="preserve"> - Petrol &amp; Toll on 18/12/16</t>
  </si>
  <si>
    <t xml:space="preserve"> - Accommodation on 24/1/17</t>
  </si>
  <si>
    <t xml:space="preserve"> - Petrol &amp; Toll on 24/2/17</t>
  </si>
  <si>
    <t xml:space="preserve"> - Accommodation on 13/2/17</t>
  </si>
  <si>
    <t xml:space="preserve"> - Petrol &amp; Toll on 13/2/17</t>
  </si>
  <si>
    <t xml:space="preserve"> - Petrol &amp; Toll on 24/1/17</t>
  </si>
  <si>
    <t xml:space="preserve"> - Accommodation on 24/2/17</t>
  </si>
  <si>
    <t xml:space="preserve"> - Accommodation on 15/4/17</t>
  </si>
  <si>
    <t xml:space="preserve"> - Petrol &amp; Toll on 15/4/17</t>
  </si>
  <si>
    <t>14/4/2017</t>
  </si>
  <si>
    <t>731618</t>
  </si>
  <si>
    <t>Welcome Dinner @ Penang Hill on 17/5/2017</t>
  </si>
  <si>
    <t>Networking Dinner @ Parkroyal Penang on 18/5/2017</t>
  </si>
  <si>
    <t>731617</t>
  </si>
  <si>
    <t>Transportation &amp; Tours</t>
  </si>
  <si>
    <t>(Budget from Local Govt Fee)</t>
  </si>
  <si>
    <t>11th May 2017</t>
  </si>
  <si>
    <t>AR1704-23</t>
  </si>
  <si>
    <t>AR1703-1977</t>
  </si>
  <si>
    <t>PIFF @ Hitz FM</t>
  </si>
  <si>
    <t>AR1703-1978</t>
  </si>
  <si>
    <t>AR1703-1979</t>
  </si>
  <si>
    <t>AR1703-1980</t>
  </si>
  <si>
    <t>AR1703-1981</t>
  </si>
  <si>
    <t>PIFF @ Meolody FM</t>
  </si>
  <si>
    <t>PIFF @ MIX FM</t>
  </si>
  <si>
    <t>PIFF @ MY FM</t>
  </si>
  <si>
    <t>PIFF @ Sinar FM</t>
  </si>
  <si>
    <t>AR1704-24</t>
  </si>
  <si>
    <t>AR1704-25</t>
  </si>
  <si>
    <t>AR1704-26</t>
  </si>
  <si>
    <t>AR1704-27</t>
  </si>
  <si>
    <t>AR1704-21</t>
  </si>
  <si>
    <t>Deejay Appearance fee - MIX FM</t>
  </si>
  <si>
    <t>AR1704-22</t>
  </si>
  <si>
    <t>Deejay Appearance fee - MY FM</t>
  </si>
  <si>
    <t>V2017/382</t>
  </si>
  <si>
    <t>687945</t>
  </si>
  <si>
    <t>Bandar Utama City Sdn Bhd</t>
  </si>
  <si>
    <t>1 Dataran Bandar Utama</t>
  </si>
  <si>
    <t>PJU 6, 47800 Petaling Jaya</t>
  </si>
  <si>
    <t xml:space="preserve"> Tel : 03-7726 4788</t>
  </si>
  <si>
    <t>Fax : 03-7728 8878</t>
  </si>
  <si>
    <t>19/4/2017</t>
  </si>
  <si>
    <t>AD101012</t>
  </si>
  <si>
    <t>PTE - Selangor Venue Rental</t>
  </si>
  <si>
    <t>Letter dated 21.3.2017</t>
  </si>
  <si>
    <t>Creathink Solutions</t>
  </si>
  <si>
    <t>BLK B-3-13, Pangsapuri Widuri</t>
  </si>
  <si>
    <t>Lorong Widuri 1</t>
  </si>
  <si>
    <t>Butterworth 12200 Penang</t>
  </si>
  <si>
    <t>Lim Woi Hong (TG4555)</t>
  </si>
  <si>
    <t>Tour Guide</t>
  </si>
  <si>
    <t>(I/C : 440628-07-5147)</t>
  </si>
  <si>
    <t>PGTEFT2315</t>
  </si>
  <si>
    <t>V2017/429</t>
  </si>
  <si>
    <t>23th May 2017</t>
  </si>
  <si>
    <t>L&amp;O Standard Sdn Bhd</t>
  </si>
  <si>
    <t>68, Jalan Gurdwara</t>
  </si>
  <si>
    <t>10300 Georgetown</t>
  </si>
  <si>
    <t>Tel : 04-2551000</t>
  </si>
  <si>
    <t>Fax : 04-2631002</t>
  </si>
  <si>
    <t>20/4/2017</t>
  </si>
  <si>
    <t>Accommodation voucher - 30pcs</t>
  </si>
  <si>
    <t>31st May 2017</t>
  </si>
  <si>
    <t>Lim Yee Harng</t>
  </si>
  <si>
    <t>I/C : 900208-12-5309</t>
  </si>
  <si>
    <t>29th May 2017</t>
  </si>
  <si>
    <t>(5% of total RM440,000)</t>
  </si>
  <si>
    <t>V2017/444</t>
  </si>
  <si>
    <t>687951</t>
  </si>
  <si>
    <t>Astro Shaw Sdn Bhd</t>
  </si>
  <si>
    <t xml:space="preserve">All Asia Broadcast Centre, Technology Park Malaysia </t>
  </si>
  <si>
    <t>Lebuhraya Puchong - Sungai Besi, Bukit Jalil</t>
  </si>
  <si>
    <t>Tel : 03-9543 6688</t>
  </si>
  <si>
    <t>Fax : 03-9549 1060</t>
  </si>
  <si>
    <t>Being sponsorship of Hai Ki Xin Lor</t>
  </si>
  <si>
    <t>30th May 2017</t>
  </si>
  <si>
    <t>PGTSB-06</t>
  </si>
  <si>
    <t>V2017/452</t>
  </si>
  <si>
    <t>687958</t>
  </si>
  <si>
    <t>Omni Prodcution Sdn Bhd</t>
  </si>
  <si>
    <t>Lot 9673C, Taman Desa Aman</t>
  </si>
  <si>
    <t>Batu 11, Jalan Kuala Selangor</t>
  </si>
  <si>
    <t>47000 Sungai Buloh, Selangor</t>
  </si>
  <si>
    <t>Tel : 03-6142 1197</t>
  </si>
  <si>
    <t>Fax : 03-6148 2197</t>
  </si>
  <si>
    <t>OP-0789</t>
  </si>
  <si>
    <t>PTE Johor - Poster Lobby A</t>
  </si>
  <si>
    <t>PTE Johor - Poster Lobby B &amp; C</t>
  </si>
  <si>
    <t>PTE Johor - Car Park Ramp x 4</t>
  </si>
  <si>
    <t>PTE Johor - Car Park Ramp</t>
  </si>
  <si>
    <t xml:space="preserve">PTE Johor - Light box </t>
  </si>
  <si>
    <t>PTE Johor - Transport, setup &amp; dismantle</t>
  </si>
  <si>
    <t>Abdul Shukor bin Aboo Bakar</t>
  </si>
  <si>
    <t>I/C: 660806-07-5073</t>
  </si>
  <si>
    <t xml:space="preserve">Aljeffri Dean </t>
  </si>
  <si>
    <t>2nd Floor, Acctax Corporate Centre</t>
  </si>
  <si>
    <t>No.2, Jalan Bawasah</t>
  </si>
  <si>
    <t>Printing/stationary/telephone/postage &amp; misc charges</t>
  </si>
  <si>
    <t>15/5/2017</t>
  </si>
  <si>
    <t>V2017/468</t>
  </si>
  <si>
    <t>PGTEFT2330</t>
  </si>
  <si>
    <t>Izzardzafli Bin Padzil</t>
  </si>
  <si>
    <t>49, Lebuh Muntri</t>
  </si>
  <si>
    <t>Tel : 017-461 6107</t>
  </si>
  <si>
    <t>INV13042017</t>
  </si>
  <si>
    <t>Translation of PGT Website, English &gt; Malay</t>
  </si>
  <si>
    <t>Louise Goss-Custard</t>
  </si>
  <si>
    <t>Passport : 761290974</t>
  </si>
  <si>
    <t xml:space="preserve">31, Jalan Chow Thye </t>
  </si>
  <si>
    <t>10050 George Town</t>
  </si>
  <si>
    <t>Copywriting/Translation</t>
  </si>
  <si>
    <t>14 Minden Heights 2</t>
  </si>
  <si>
    <t xml:space="preserve"> - Meal alloawnce</t>
  </si>
  <si>
    <t>29/5/2017</t>
  </si>
  <si>
    <t>A. Sani KW Sdn Bhd</t>
  </si>
  <si>
    <t xml:space="preserve">101-09-03 Menara Perdana </t>
  </si>
  <si>
    <t>George Town 10300 Penang</t>
  </si>
  <si>
    <t>Tel : 04--226 1550</t>
  </si>
  <si>
    <t>Publicity - Penang Yosakoi Parade</t>
  </si>
  <si>
    <t>1/5/2017</t>
  </si>
  <si>
    <t>EW-P/CHAPTER-0501/17</t>
  </si>
  <si>
    <t>PGT-21</t>
  </si>
  <si>
    <t>Hop of Hop Off on 30/4/2017</t>
  </si>
  <si>
    <t>EW-P/CHAPTER-0529/17</t>
  </si>
  <si>
    <t>PGT-23</t>
  </si>
  <si>
    <t>EW-P/CHAPTER-0512/17</t>
  </si>
  <si>
    <t>PGT-22</t>
  </si>
  <si>
    <t>Additional Hop of Hop Off on 10/5/2017</t>
  </si>
  <si>
    <t>Hop of Hop Off on 28/5/2017</t>
  </si>
  <si>
    <t>9th June 2017</t>
  </si>
  <si>
    <t>Courier</t>
  </si>
  <si>
    <t>V2017/521</t>
  </si>
  <si>
    <t>Hana Tour Int Travel Show</t>
  </si>
  <si>
    <t>Premium Booth (USD5,370.82 @ 4.3113)</t>
  </si>
  <si>
    <t>Air Media International (S) Pte Ltd</t>
  </si>
  <si>
    <t>160, Robinson Road</t>
  </si>
  <si>
    <t>#25-08, SBF Center</t>
  </si>
  <si>
    <t>Media Campaign in Singapore</t>
  </si>
  <si>
    <t>V2017/536</t>
  </si>
  <si>
    <t>PGTEFT2380</t>
  </si>
  <si>
    <t>22th June 2017</t>
  </si>
  <si>
    <t>Ameba Art</t>
  </si>
  <si>
    <t>227, Taman AST, Jalan Sungai Ujong</t>
  </si>
  <si>
    <t>Tel : 06-775 2081</t>
  </si>
  <si>
    <t>Fax : 07775 2082</t>
  </si>
  <si>
    <t>Publicity - Trishaw Entourage</t>
  </si>
  <si>
    <t>IV-05577</t>
  </si>
  <si>
    <t>PTE - Seremban mall Int banting - 5 pcs</t>
  </si>
  <si>
    <t>PTE - Seremban mall Outdoor banting - 14pcs</t>
  </si>
  <si>
    <t xml:space="preserve">PTE - Seremban mall entrance banner </t>
  </si>
  <si>
    <t xml:space="preserve">PTE - Seremban Sg Ujong banner </t>
  </si>
  <si>
    <t>Rounding Adj</t>
  </si>
  <si>
    <t>Hana Tour Service (M) Sdn Bhd</t>
  </si>
  <si>
    <t>Unit No. C-01-01, Block C, First Floor Warisan Square</t>
  </si>
  <si>
    <t>Jalan Fuad Stephens</t>
  </si>
  <si>
    <t>Kota Kinabalu, Sabah</t>
  </si>
  <si>
    <t>Tel : 088-448420</t>
  </si>
  <si>
    <t>Fax : 088-448 594</t>
  </si>
  <si>
    <t>V2017/549</t>
  </si>
  <si>
    <t>PGTEFT2393</t>
  </si>
  <si>
    <t>for year of assessment 2016</t>
  </si>
  <si>
    <t>V2017/550</t>
  </si>
  <si>
    <t>PGTEFT2394</t>
  </si>
  <si>
    <t>Balance of Tax to be paid for year assessment 2016</t>
  </si>
  <si>
    <t>30/5/2017</t>
  </si>
  <si>
    <t>Prof services for completion and lodgement of YOA 2016</t>
  </si>
  <si>
    <t>tax return form e-C &amp; tax computation</t>
  </si>
  <si>
    <t>12th July 2017</t>
  </si>
  <si>
    <t xml:space="preserve">Adeline Chua Shu Ting </t>
  </si>
  <si>
    <t>I/C: 880709-05-5526</t>
  </si>
  <si>
    <t>Dev of PGT Website</t>
  </si>
  <si>
    <t>27/6/2017</t>
  </si>
  <si>
    <t>4/7/2017</t>
  </si>
  <si>
    <t>Ezone Computer Centre</t>
  </si>
  <si>
    <t>2616, 2619 &amp; 2620 Jalan Maju</t>
  </si>
  <si>
    <t>Pusat Perniagaan Maju Jaya</t>
  </si>
  <si>
    <t>14000 Bukit Mertajam, Penang</t>
  </si>
  <si>
    <t>Tel : 04-539 6288</t>
  </si>
  <si>
    <t>19/6/2017</t>
  </si>
  <si>
    <t>Sage Cover renewal - 1 year</t>
  </si>
  <si>
    <t>User pack 3 PC</t>
  </si>
  <si>
    <t>22/6/2017</t>
  </si>
  <si>
    <t>V2017/594</t>
  </si>
  <si>
    <t>PGTEFT2431</t>
  </si>
  <si>
    <t xml:space="preserve">Guide fee on 6/6/17 (2 hours) </t>
  </si>
  <si>
    <t xml:space="preserve">Guide fee on 13/6/17 (2 hours) </t>
  </si>
  <si>
    <t xml:space="preserve">Guide fee on 16/6/17 (2 hours) </t>
  </si>
  <si>
    <t>Trade Consumer Leaflet - Eng to Japanese</t>
  </si>
  <si>
    <t>Trade Booklet &amp; Consumer Leaflet- English to Korean</t>
  </si>
  <si>
    <t>Trade Booklet &amp; Consumer Leaflet- English to Vietnamese</t>
  </si>
  <si>
    <t>Trade Booklet &amp; Consumer Leaflet- Typesetting</t>
  </si>
  <si>
    <t>19th July 2017</t>
  </si>
  <si>
    <t>V2017/624</t>
  </si>
  <si>
    <t>PGTEFT2449</t>
  </si>
  <si>
    <t>Golden Sands Beach Resor Sdn Bhd</t>
  </si>
  <si>
    <t>Jalan Batu Ferringhi, Kampung Tanjung Huma</t>
  </si>
  <si>
    <t>11100 George Town, Penang</t>
  </si>
  <si>
    <t>SQ Fukuoka Agents, Airlines &amp; Media FAM Trip</t>
  </si>
  <si>
    <t>on 24-26th July 2017</t>
  </si>
  <si>
    <t>10% Service Charge</t>
  </si>
  <si>
    <t>Hotel Accommodation RM501.72 x 8 rooms</t>
  </si>
  <si>
    <t>20th July 2017</t>
  </si>
  <si>
    <t>V2017/626</t>
  </si>
  <si>
    <t>PGTEFT2451</t>
  </si>
  <si>
    <t>Joy Chan Advertising Sdn Bhd</t>
  </si>
  <si>
    <t>355-L &amp; M, Jalan Melor</t>
  </si>
  <si>
    <t>Taman Peringgit Jaya</t>
  </si>
  <si>
    <t>Tel : 06-281 8999</t>
  </si>
  <si>
    <t>INV 64031</t>
  </si>
  <si>
    <t xml:space="preserve">To supply &amp; install poster around The Shore Shopping </t>
  </si>
  <si>
    <t>Mall</t>
  </si>
  <si>
    <t xml:space="preserve">To supply &amp; install PVC bunting around The Shore </t>
  </si>
  <si>
    <t>Shopping Mall</t>
  </si>
  <si>
    <t>To supply &amp; install lift sticker @ The Shore Shopping Mall</t>
  </si>
  <si>
    <t>JWL Resources Asia Sdn Bhd</t>
  </si>
  <si>
    <t>46, Lorong Edgecume</t>
  </si>
  <si>
    <t>10250 George Town</t>
  </si>
  <si>
    <t>Tel/Fax : 04-2264084</t>
  </si>
  <si>
    <t>Penang Fun Experiences with DM 3</t>
  </si>
  <si>
    <t>2/6/2017</t>
  </si>
  <si>
    <t>25th July 2017</t>
  </si>
  <si>
    <t>V2017/650</t>
  </si>
  <si>
    <t>PGTEFT2468</t>
  </si>
  <si>
    <t>4952</t>
  </si>
  <si>
    <t>Floral &amp; Fruit arrangement for Deiwayani A/P Ramoo</t>
  </si>
  <si>
    <t>4/8/2017</t>
  </si>
  <si>
    <t>Renewal of Travel Insurance - Yoon Pauline</t>
  </si>
  <si>
    <t>Leader Asia-Pacific Sdn Bhd</t>
  </si>
  <si>
    <t>The Northerm All Suite Penang</t>
  </si>
  <si>
    <t>55, Jalan Sultan Ahmad Shah</t>
  </si>
  <si>
    <t>Tel : 04-370 1111</t>
  </si>
  <si>
    <t>Informa Exhibitions Pte Ltd</t>
  </si>
  <si>
    <t>111, Somerset Road</t>
  </si>
  <si>
    <t>#101-05, Triple One Somerset</t>
  </si>
  <si>
    <t>238164 Singapore</t>
  </si>
  <si>
    <t>ITE Vietnam</t>
  </si>
  <si>
    <t>V2017/675</t>
  </si>
  <si>
    <t>28th Jul 2017</t>
  </si>
  <si>
    <t>Mediacorp Pte Ltd</t>
  </si>
  <si>
    <t>Shared Services Centre</t>
  </si>
  <si>
    <t>1 Stars Avenue, Mediacorp Campus</t>
  </si>
  <si>
    <t>Singapore 138507</t>
  </si>
  <si>
    <t>Media Campaign - Singapore</t>
  </si>
  <si>
    <t>30/6/2017</t>
  </si>
  <si>
    <t>2117001320</t>
  </si>
  <si>
    <t>Radio Advertising Campaign in Singapore</t>
  </si>
  <si>
    <t>(SGD 50,000.01 @ 3.183899)</t>
  </si>
  <si>
    <t>V2017/682</t>
  </si>
  <si>
    <t>PGTEFT2489</t>
  </si>
  <si>
    <t>4th Aug 2017</t>
  </si>
  <si>
    <t>28/7/2017</t>
  </si>
  <si>
    <t>000313/0717</t>
  </si>
  <si>
    <t>V2017/683</t>
  </si>
  <si>
    <t>PGTEFT2490</t>
  </si>
  <si>
    <t>Bee Hee Lai</t>
  </si>
  <si>
    <t>I/C: 600613-07-5339</t>
  </si>
  <si>
    <t>10, Lorong Hijau 6</t>
  </si>
  <si>
    <t>Greenlane, 11600 Penang</t>
  </si>
  <si>
    <t xml:space="preserve">SQ Fukoka Agents, Airlines &amp; Media FAM Trip </t>
  </si>
  <si>
    <t>on 24-26th June 2017</t>
  </si>
  <si>
    <t>MB001</t>
  </si>
  <si>
    <t>Guide fee from 24/7-27/7/2017</t>
  </si>
  <si>
    <t>V2017/685</t>
  </si>
  <si>
    <t>PGTEFT2492</t>
  </si>
  <si>
    <t xml:space="preserve">Subsidy for Pg G'town Heritage Education Cycling </t>
  </si>
  <si>
    <t>Tour on 20/6/2017</t>
  </si>
  <si>
    <t>10th Aug 2017</t>
  </si>
  <si>
    <t>30% of total RM179,200</t>
  </si>
  <si>
    <t>V2017/700</t>
  </si>
  <si>
    <t>PGTEFT2501</t>
  </si>
  <si>
    <t>25/7/2017</t>
  </si>
  <si>
    <t>INV17000736</t>
  </si>
  <si>
    <t>Email accpunt renewal</t>
  </si>
  <si>
    <t>(10 July - 9 July 2018)</t>
  </si>
  <si>
    <t>V2017/727</t>
  </si>
  <si>
    <t>PGTEFT2527</t>
  </si>
  <si>
    <t>15th Aug 2017</t>
  </si>
  <si>
    <t xml:space="preserve">Malaysian Institute of Accountants </t>
  </si>
  <si>
    <t>Suite 3-4, Wisma Great Eastern</t>
  </si>
  <si>
    <t xml:space="preserve">25 Lebuh Light </t>
  </si>
  <si>
    <t>Tel : 04-261 3320</t>
  </si>
  <si>
    <t>9/8/2017</t>
  </si>
  <si>
    <t>Payment Advice</t>
  </si>
  <si>
    <t>A0060267</t>
  </si>
  <si>
    <t>Practical Guide to The New Withholding Tax Regime</t>
  </si>
  <si>
    <t>Participation fee - Seow Ai See</t>
  </si>
  <si>
    <t>V2017/693</t>
  </si>
  <si>
    <t>Daehong Communications Inc</t>
  </si>
  <si>
    <t>8th Fl. Severance Bldg 84-11</t>
  </si>
  <si>
    <t>Namdaemunro-5Ka</t>
  </si>
  <si>
    <t>Chung-Ku, Seoul Korea</t>
  </si>
  <si>
    <t>Tactical Campaign - Korea</t>
  </si>
  <si>
    <t>DAS4-20170630-P</t>
  </si>
  <si>
    <t>Media Cost &amp; Ad Material Production Cost with</t>
  </si>
  <si>
    <t>AirAsia (USD13,500 @ 4.3218)</t>
  </si>
  <si>
    <t>22th Aug 2017</t>
  </si>
  <si>
    <t>V2017/730</t>
  </si>
  <si>
    <t>PGTEFT2528</t>
  </si>
  <si>
    <t>Copywriting for myPenang Website - Food &amp; Lifestyle</t>
  </si>
  <si>
    <t>Copywriting for myPenang Website - Butterworth Art</t>
  </si>
  <si>
    <t>Walk</t>
  </si>
  <si>
    <t>V2017/731</t>
  </si>
  <si>
    <t>PGTEFT2529</t>
  </si>
  <si>
    <t>26/7/2017</t>
  </si>
  <si>
    <t>20170726-005</t>
  </si>
  <si>
    <t>Pendulum Editorial Sponsorship</t>
  </si>
  <si>
    <t>Archy Publishing</t>
  </si>
  <si>
    <t>No.37, Jalan SS19/6Q</t>
  </si>
  <si>
    <t>47500 Subang Jaya</t>
  </si>
  <si>
    <t>30th Aug 2017</t>
  </si>
  <si>
    <t>Lim Guan Eng</t>
  </si>
  <si>
    <t>I/C : 601208-01-5177</t>
  </si>
  <si>
    <t>Being BOD meeting allowance for year 2016</t>
  </si>
  <si>
    <t>24th Aug 2017</t>
  </si>
  <si>
    <t>Law Heng Kiang</t>
  </si>
  <si>
    <t>I/C : 611220-08-6399</t>
  </si>
  <si>
    <t>Abdul Malik Bin Abdul Kassim</t>
  </si>
  <si>
    <t>I/C : 540513-07-5041</t>
  </si>
  <si>
    <t>Mustafa Kamal Bin Mohd Yusoff</t>
  </si>
  <si>
    <t>I/C : 530419-08-6295</t>
  </si>
  <si>
    <t>Danny Goon Siew Cheang</t>
  </si>
  <si>
    <t>I/C : 510921-07-5323</t>
  </si>
  <si>
    <t>Tan Sam Soon</t>
  </si>
  <si>
    <t>I/C : 480810-14-5101</t>
  </si>
  <si>
    <t>Dato' Seri R. Arunasalam s/o V. Ramasamy</t>
  </si>
  <si>
    <t>I/C : 510701-07-5161</t>
  </si>
  <si>
    <t>V2017/757</t>
  </si>
  <si>
    <t>PGTEFT2549</t>
  </si>
  <si>
    <t>Kenneth Tan Teong Keen</t>
  </si>
  <si>
    <t>I/C: 731002-07-5401</t>
  </si>
  <si>
    <t>I/C : 770428-05-5709</t>
  </si>
  <si>
    <t>Khoo Boo Lim</t>
  </si>
  <si>
    <t>I/C : 630623-07-5655</t>
  </si>
  <si>
    <t>Streetart Notebook G'town x 1</t>
  </si>
  <si>
    <t>V2017/782</t>
  </si>
  <si>
    <t>PGTEFT2568</t>
  </si>
  <si>
    <t>Long Fong Music Sound &amp; Light</t>
  </si>
  <si>
    <t>31, Lorong Sejahtera 15</t>
  </si>
  <si>
    <t>Taman Sejahtera</t>
  </si>
  <si>
    <t>Tel : 012-4242 932</t>
  </si>
  <si>
    <t>Pg Fun Experiences with DM3</t>
  </si>
  <si>
    <t>5/7/2017</t>
  </si>
  <si>
    <t>2017/702</t>
  </si>
  <si>
    <t xml:space="preserve">Being rental of sound system for soft launching </t>
  </si>
  <si>
    <t>on 22/6/2017</t>
  </si>
  <si>
    <t>2017/703</t>
  </si>
  <si>
    <t>on 1/7/2017</t>
  </si>
  <si>
    <t>Being rental of sound system for Dome launching</t>
  </si>
  <si>
    <t>1/9/2017</t>
  </si>
  <si>
    <t>13th Sept 2017</t>
  </si>
  <si>
    <t>PGTEFT2584</t>
  </si>
  <si>
    <t>Creative People Sdn Bhd</t>
  </si>
  <si>
    <t>Lot T3-1A, Level 3, KPMG Tower</t>
  </si>
  <si>
    <t>First Avenue, Bandar Utama</t>
  </si>
  <si>
    <t>0335</t>
  </si>
  <si>
    <t>PTE - Selangor Advertisement space (Channel One)</t>
  </si>
  <si>
    <t>V2017/807</t>
  </si>
  <si>
    <t>PGTEFT2588</t>
  </si>
  <si>
    <t>Media Uno Sdn Bhd</t>
  </si>
  <si>
    <t>A-5-10, Empire Tower</t>
  </si>
  <si>
    <t>Jalan SS 16/1</t>
  </si>
  <si>
    <t>PTE - Selangor LED Lightboxes @ 1 Utama</t>
  </si>
  <si>
    <t xml:space="preserve">Penang Centre of Medical Toursim </t>
  </si>
  <si>
    <t>dated 29.8.2017</t>
  </si>
  <si>
    <t xml:space="preserve"> - Meal Allowance </t>
  </si>
  <si>
    <t>PMED HCM Exhibition on 1-2nd Apr 2017</t>
  </si>
  <si>
    <t>YES2 Malaysia Education Expo in Myanmar on 17 &amp; 18th June</t>
  </si>
  <si>
    <t>101, 10-02 Menara Perdana</t>
  </si>
  <si>
    <t>H/P : 019-409 4663</t>
  </si>
  <si>
    <t>28/8/2017</t>
  </si>
  <si>
    <t>20170828-001</t>
  </si>
  <si>
    <t>11/5/2016</t>
  </si>
  <si>
    <t>UM-2016/218</t>
  </si>
  <si>
    <t>50% of balance SGD143,074.52 for :</t>
  </si>
  <si>
    <t xml:space="preserve"> - Tramcars (13 June - 30 Oct)</t>
  </si>
  <si>
    <t>(SGD 71,537.26 @  )</t>
  </si>
  <si>
    <t>Penang Tram Launching in Hong Kong</t>
  </si>
  <si>
    <t>UM-2017/00000339</t>
  </si>
  <si>
    <t>Rental of Party Tram x 2 (SGD4,316.54 @ 3.1221)</t>
  </si>
  <si>
    <t>Production cost (SGD1,402.88 @ 3.1221)</t>
  </si>
  <si>
    <t>Ctrip Business (Shanghai) Co. td</t>
  </si>
  <si>
    <t>No.99, Fuquan Road</t>
  </si>
  <si>
    <t xml:space="preserve">Shanghai 200335 </t>
  </si>
  <si>
    <t>PRC</t>
  </si>
  <si>
    <t xml:space="preserve">5F, Chiyooa Building </t>
  </si>
  <si>
    <t>1-6-4 Yurakucho Chiyoda-Ku</t>
  </si>
  <si>
    <t>Tokyo</t>
  </si>
  <si>
    <t>JATA Tourism Expo Japan</t>
  </si>
  <si>
    <t>Being cost sharing for Networking Cocktail</t>
  </si>
  <si>
    <t>(JPY76,171 @ 0.037895)</t>
  </si>
  <si>
    <t>V2017/830</t>
  </si>
  <si>
    <t>21st Sept 2017</t>
  </si>
  <si>
    <t>V2017/831</t>
  </si>
  <si>
    <t>25th Sept 2017</t>
  </si>
  <si>
    <t>2/F, Central Tower, Cathay Pacific City</t>
  </si>
  <si>
    <t>8, Scenic Road, Hong Kong International Airport</t>
  </si>
  <si>
    <t>Lantau, Hong Kong</t>
  </si>
  <si>
    <t xml:space="preserve">CX &amp; PGT Joint Promotion Campaign </t>
  </si>
  <si>
    <t>14/8/2017</t>
  </si>
  <si>
    <t>M-0000338961</t>
  </si>
  <si>
    <t>Joint Promotional Campaign Fee</t>
  </si>
  <si>
    <t>(HKD67,331.25 @ 0.546844)</t>
  </si>
  <si>
    <t>Being payment to CIMB Purchasing Card :</t>
  </si>
  <si>
    <t>Bank Charges 1% (foreign currency)</t>
  </si>
  <si>
    <t>Card # 5344-5120--0860-0007</t>
  </si>
  <si>
    <t>688034</t>
  </si>
  <si>
    <t>V2017/833</t>
  </si>
  <si>
    <t>Being payment of withholding tax on behalf Ctrip Business</t>
  </si>
  <si>
    <t>(Shanghai) Co. Ltd</t>
  </si>
  <si>
    <t>(10% of total RM95,003.15)</t>
  </si>
  <si>
    <t>V2017/840</t>
  </si>
  <si>
    <t>PGTEFT2609</t>
  </si>
  <si>
    <t>28th Sept 2017</t>
  </si>
  <si>
    <t>62-3-11, Lebuh Sungai Pinang</t>
  </si>
  <si>
    <t>AB 001</t>
  </si>
  <si>
    <t>kabour fee</t>
  </si>
  <si>
    <t xml:space="preserve">Replacement of light bulbs (8 units) at airport rack &amp; </t>
  </si>
  <si>
    <t>Convep Mobilogy Sdn Bhd</t>
  </si>
  <si>
    <t xml:space="preserve">A-7-3, Capital 1, Oasis Square </t>
  </si>
  <si>
    <t>No.2 Jalan PJU1A, 7A Oasis Damansara</t>
  </si>
  <si>
    <t>Mobile Application</t>
  </si>
  <si>
    <t>I/C : 991005-07-5651</t>
  </si>
  <si>
    <t xml:space="preserve">Cheong Yang Guang </t>
  </si>
  <si>
    <t>Publicity - Penang Trishaw Entourage</t>
  </si>
  <si>
    <t>12/9/2017</t>
  </si>
  <si>
    <t>V2017/847</t>
  </si>
  <si>
    <t>PGTEFT2616</t>
  </si>
  <si>
    <t>KY Trading</t>
  </si>
  <si>
    <t>2nd Floor, Phase 2, Wisma Merderka Complex</t>
  </si>
  <si>
    <t>INV00359</t>
  </si>
  <si>
    <t>Welcome Banner Printing</t>
  </si>
  <si>
    <t>Giant Banner Printing &amp; Installation</t>
  </si>
  <si>
    <t>Fish Tail Banner Printing</t>
  </si>
  <si>
    <t>Lift Poster Printing - 5pcs</t>
  </si>
  <si>
    <t>Standee Sticker Supply - 2units</t>
  </si>
  <si>
    <t>Billboard Printing 202" x 290"</t>
  </si>
  <si>
    <t>dated 25.9.2017</t>
  </si>
  <si>
    <t>GL0000001335560</t>
  </si>
  <si>
    <t>V2017/853</t>
  </si>
  <si>
    <t>PGTEFT2622</t>
  </si>
  <si>
    <t>MC0048</t>
  </si>
  <si>
    <t>PTE Sabah - Rental of Ads Space for billboard</t>
  </si>
  <si>
    <t>V2017/855</t>
  </si>
  <si>
    <t>PGTEFT2624</t>
  </si>
  <si>
    <t>Pg G'town Heritage Cycling Tour on 20/8/2017 - 28pax</t>
  </si>
  <si>
    <t>Pg G'town Heritage Cycling Tour on 27/8/2017 - 23pax</t>
  </si>
  <si>
    <t>Noor Azman bin Ahmad</t>
  </si>
  <si>
    <t>I/C : 730531-07-5293</t>
  </si>
  <si>
    <t>Renewal of Travel Insurance - OCY</t>
  </si>
  <si>
    <t>6th Oct 2017</t>
  </si>
  <si>
    <t>Being refund of participation fee for ITF 2017</t>
  </si>
  <si>
    <t>Publicity - 10 Days 3 Festival</t>
  </si>
  <si>
    <t>3/10/2017</t>
  </si>
  <si>
    <t>EW-HM/RENT-1003/17</t>
  </si>
  <si>
    <t>HoHo Bus Ads for rear side - Oct &amp; Nov</t>
  </si>
  <si>
    <t>23, Jalan Bulan</t>
  </si>
  <si>
    <t xml:space="preserve">Fettes Park </t>
  </si>
  <si>
    <t>11200 Tanjung Bungah, Penang</t>
  </si>
  <si>
    <t>Tel : 04-892 3999</t>
  </si>
  <si>
    <t xml:space="preserve">Vignettes Malaysia Book </t>
  </si>
  <si>
    <t>V2017/900</t>
  </si>
  <si>
    <t>688048</t>
  </si>
  <si>
    <t>DSB/PGT9-01/2017</t>
  </si>
  <si>
    <t>Social Media Marketing Campaign (3rd  payment)</t>
  </si>
  <si>
    <t>V2017/</t>
  </si>
  <si>
    <t>PGTEFT</t>
  </si>
  <si>
    <t>Development of Website</t>
  </si>
  <si>
    <t>16th Oct 2017</t>
  </si>
  <si>
    <t>V2017/917</t>
  </si>
  <si>
    <t>PGTEFT2672</t>
  </si>
  <si>
    <t>6/10/2017</t>
  </si>
  <si>
    <t>V2017/921</t>
  </si>
  <si>
    <t>PGTEFT2676</t>
  </si>
  <si>
    <t>V2017/922</t>
  </si>
  <si>
    <t>PGTEFT2677</t>
  </si>
  <si>
    <t>World Tourism Cities Federation (WTCF) L.A Fragrant Hills</t>
  </si>
  <si>
    <t>Tourism Summit 2017 on 17-22th Sept 2017</t>
  </si>
  <si>
    <t xml:space="preserve"> - US Visa application</t>
  </si>
  <si>
    <t xml:space="preserve"> - Air fare (PEN-SZB-PEN)</t>
  </si>
  <si>
    <t xml:space="preserve"> - Air fare (PEN-CAN-LAX-CAN-PEN)</t>
  </si>
  <si>
    <t>George Town Heritage Hotels Sdn Bhd</t>
  </si>
  <si>
    <t>52, Jalan Muntri</t>
  </si>
  <si>
    <t>Tel : 017-2722004</t>
  </si>
  <si>
    <t xml:space="preserve">Proforma </t>
  </si>
  <si>
    <t>23th Oct 2017</t>
  </si>
  <si>
    <t>V2017/941</t>
  </si>
  <si>
    <t>PGTEFT2688</t>
  </si>
  <si>
    <t xml:space="preserve">Asia Pacific Economic Cooperation Tourism Working </t>
  </si>
  <si>
    <t>Group 2017</t>
  </si>
  <si>
    <t>0578</t>
  </si>
  <si>
    <t>Deluxe Room - Single x 2 nights</t>
  </si>
  <si>
    <t>Hotel accommodation:</t>
  </si>
  <si>
    <t>Deluxe Room - Twin x 13 nights</t>
  </si>
  <si>
    <t>Local Govt Fee (RM3 x 17 nights)</t>
  </si>
  <si>
    <t>Deluxe Room - Extra bed x 2 nights</t>
  </si>
  <si>
    <t>V2017/961</t>
  </si>
  <si>
    <t>688056</t>
  </si>
  <si>
    <t>30th Oct 2017</t>
  </si>
  <si>
    <t>15/7/2017</t>
  </si>
  <si>
    <t>PGT0004</t>
  </si>
  <si>
    <t>4th payment for Hari Raya Celebration DM3</t>
  </si>
  <si>
    <t>20% of total RM750,000</t>
  </si>
  <si>
    <t>V2017/877</t>
  </si>
  <si>
    <t>5th Oct 2017</t>
  </si>
  <si>
    <t>30/8/2017</t>
  </si>
  <si>
    <t>AM00084</t>
  </si>
  <si>
    <t>Extension of Bus Media campaign - Decker Wholly Painted</t>
  </si>
  <si>
    <t>V2017/878</t>
  </si>
  <si>
    <t>Nanjing Tuniu International Travel Service Co.</t>
  </si>
  <si>
    <t>Tuniu Building, No.699-32 Xuanwu Avenue</t>
  </si>
  <si>
    <t>Xuanwu District, Nanjing JiangSu</t>
  </si>
  <si>
    <t>China</t>
  </si>
  <si>
    <t>Tactical Campaign - China</t>
  </si>
  <si>
    <t>14/9/2017</t>
  </si>
  <si>
    <t xml:space="preserve">Campaign fee with Tuniu China </t>
  </si>
  <si>
    <t>(USD 16,200 @ 4.2748)</t>
  </si>
  <si>
    <t>Level 3, Administration Building</t>
  </si>
  <si>
    <t>Southern Support Zone, KLIA</t>
  </si>
  <si>
    <t>64000 Sepang, Selangor Darul Ehsan</t>
  </si>
  <si>
    <t>Mohd Izuddin Helmi Bin Adnan</t>
  </si>
  <si>
    <t>I/C : 880114-07-5063</t>
  </si>
  <si>
    <t>No3, Lorong Sg Isap Damai 15</t>
  </si>
  <si>
    <t xml:space="preserve">Kuantan </t>
  </si>
  <si>
    <t>25150 Pahang</t>
  </si>
  <si>
    <t>(50% of total RM19,500)</t>
  </si>
  <si>
    <t>Video Production</t>
  </si>
  <si>
    <t>V2017/978</t>
  </si>
  <si>
    <t>PGTEFT2710</t>
  </si>
  <si>
    <t>Refund of cost sharing for Phnom Penh Exhibition</t>
  </si>
  <si>
    <t>V2017/985</t>
  </si>
  <si>
    <t>PGTEFT2717</t>
  </si>
  <si>
    <t>V2017/986</t>
  </si>
  <si>
    <t>PGTEFT2718</t>
  </si>
  <si>
    <t>(SGD19,485.40 @ 3.1384)</t>
  </si>
  <si>
    <t>KDU University College (PG) Sdn Bhd</t>
  </si>
  <si>
    <t>2nd Nov 2017</t>
  </si>
  <si>
    <t>1/11/2017</t>
  </si>
  <si>
    <t>V2017/1001</t>
  </si>
  <si>
    <t>PGTEFT2730</t>
  </si>
  <si>
    <t>Khoo Swee Heang</t>
  </si>
  <si>
    <t>56 Jalan Goh Guan Ho</t>
  </si>
  <si>
    <t>Tel : 017-484 1767</t>
  </si>
  <si>
    <t>Copywriting/ Translation</t>
  </si>
  <si>
    <t>1PGT/17</t>
  </si>
  <si>
    <t>Editing fee for Pg Trade Booklet</t>
  </si>
  <si>
    <t>23/10/2017</t>
  </si>
  <si>
    <t>Lim Wooi Hong</t>
  </si>
  <si>
    <t>35, Jalan Besi</t>
  </si>
  <si>
    <t>Greenlane 11600 Penang</t>
  </si>
  <si>
    <t>Tel : 016-421 6577</t>
  </si>
  <si>
    <t>31/10/2017</t>
  </si>
  <si>
    <t>Ebuzz - Email Marketing Renewal</t>
  </si>
  <si>
    <t>(Period : 8/12/2017 - 7/12/2018)</t>
  </si>
  <si>
    <t>AR1709-1769</t>
  </si>
  <si>
    <t>PSFF OAP @ Lite FM</t>
  </si>
  <si>
    <t>AR1709-1770</t>
  </si>
  <si>
    <t>AR1709-1771</t>
  </si>
  <si>
    <t>AR1709-1772</t>
  </si>
  <si>
    <t>PSFF OAP @ Melody FM</t>
  </si>
  <si>
    <t>PSFF OAP @ Mix FM</t>
  </si>
  <si>
    <t>PSFF OAP @ Sinar FM</t>
  </si>
  <si>
    <t>AR1709-1773</t>
  </si>
  <si>
    <t>AR1709-1774</t>
  </si>
  <si>
    <t>AR1709-1775</t>
  </si>
  <si>
    <t>AR1709-1776</t>
  </si>
  <si>
    <t xml:space="preserve">PSFF @ Lite FM </t>
  </si>
  <si>
    <t>PSFF @ Melody FM + Talent Fee</t>
  </si>
  <si>
    <t>PSFF @ Mix FM + Talent Fee</t>
  </si>
  <si>
    <t>PSFF @ Sinar FM + Talent Fee</t>
  </si>
  <si>
    <t>AR1708-1890</t>
  </si>
  <si>
    <t>AR1708-1891</t>
  </si>
  <si>
    <t>AR1708-1892</t>
  </si>
  <si>
    <t>AR1708-1893</t>
  </si>
  <si>
    <t>AR1708-1894</t>
  </si>
  <si>
    <t>AR1708-1895</t>
  </si>
  <si>
    <t>AR1708-1896</t>
  </si>
  <si>
    <t>AR1708-1897</t>
  </si>
  <si>
    <t xml:space="preserve">PSFF @ Melody FM </t>
  </si>
  <si>
    <t xml:space="preserve">PSFF @ Mix FM </t>
  </si>
  <si>
    <t xml:space="preserve">PSFF @ Sinar FM </t>
  </si>
  <si>
    <t>(-) Deduction of Credit Note</t>
  </si>
  <si>
    <t>AR1710-1874</t>
  </si>
  <si>
    <t>30th Nov 2017</t>
  </si>
  <si>
    <t>8/11/2017</t>
  </si>
  <si>
    <t>V2017/1062</t>
  </si>
  <si>
    <t>688080</t>
  </si>
  <si>
    <t xml:space="preserve">Asia Pacific Economic Conference </t>
  </si>
  <si>
    <t>103755</t>
  </si>
  <si>
    <t>Lunch on 8/10/2017</t>
  </si>
  <si>
    <t>Hotel accommodation for VIP, TKSU Motac &amp; Secretariat</t>
  </si>
  <si>
    <t>Meeting packages</t>
  </si>
  <si>
    <t>Rental of meeting halls</t>
  </si>
  <si>
    <t>Secretariat diiner on 9/10/2017</t>
  </si>
  <si>
    <t>Service charge</t>
  </si>
  <si>
    <t>Laundry &amp; Spa</t>
  </si>
  <si>
    <t>Local Govt fee</t>
  </si>
  <si>
    <t>Iron Man Trading</t>
  </si>
  <si>
    <t>8-10-12, Ground Floor</t>
  </si>
  <si>
    <t>Gat Lebuh Cecil</t>
  </si>
  <si>
    <t>V2017/1064</t>
  </si>
  <si>
    <t>Last Fri, Sat and Sun for the month</t>
  </si>
  <si>
    <t>1536</t>
  </si>
  <si>
    <t>Printing of LFSS brochure - 10,000pcs</t>
  </si>
  <si>
    <t>1537</t>
  </si>
  <si>
    <t>Printing of 10D3F brochure - 10,000pcs</t>
  </si>
  <si>
    <t xml:space="preserve">Trade Brochure </t>
  </si>
  <si>
    <t>1538</t>
  </si>
  <si>
    <t>Printing of new trade brochure (Eng) - 2,000pcs</t>
  </si>
  <si>
    <t>1539</t>
  </si>
  <si>
    <t>Printing of new trade brochure (Trad. Chinese) - 2,000pcs</t>
  </si>
  <si>
    <t>Marking G'town</t>
  </si>
  <si>
    <t>1540</t>
  </si>
  <si>
    <t>Printing of marking G'town - 50,000pcs</t>
  </si>
  <si>
    <t>688086</t>
  </si>
  <si>
    <t xml:space="preserve">Two Pro Print </t>
  </si>
  <si>
    <t>14th Dec 2017</t>
  </si>
  <si>
    <t>9/11/2017</t>
  </si>
  <si>
    <t>V2017/1086</t>
  </si>
  <si>
    <t>PGTEFT2793</t>
  </si>
  <si>
    <t>Cost of Goods Sold - Oct'17</t>
  </si>
  <si>
    <t>PGT10-17INV</t>
  </si>
  <si>
    <t>Tanjong Life x 1</t>
  </si>
  <si>
    <t>Cost of Goods Sold - Nov'17</t>
  </si>
  <si>
    <t>30/11/2017</t>
  </si>
  <si>
    <t>PGT11-17INV</t>
  </si>
  <si>
    <t>Ernest's Streetart Postcard x 4</t>
  </si>
  <si>
    <t>Food that makes you go mmm Postcard x 1</t>
  </si>
  <si>
    <t>V2017/1087</t>
  </si>
  <si>
    <t>PGTEFT2794</t>
  </si>
  <si>
    <t>Subsidy for hosting to Sek Men Sin Min Kedah</t>
  </si>
  <si>
    <t>on 13/10/2017</t>
  </si>
  <si>
    <t>Mini Selfie Stick - 3,000units</t>
  </si>
  <si>
    <t>(50% upfront of total - RM17,808)</t>
  </si>
  <si>
    <t xml:space="preserve">Electrical installation for HAB @ Esplanade </t>
  </si>
  <si>
    <t>50% upfront of total RM19,325</t>
  </si>
  <si>
    <t>15h Dec 2017</t>
  </si>
  <si>
    <t>Electrical installation for HAB @ Butterworth Art Walk</t>
  </si>
  <si>
    <t>50% upfront of total RM15,320</t>
  </si>
  <si>
    <t>Nyonya Inspiration Greetings Card x 2</t>
  </si>
  <si>
    <t>V2017/1097</t>
  </si>
  <si>
    <t>PGTEFT2803</t>
  </si>
  <si>
    <t>6th - 8th Oct 2017</t>
  </si>
  <si>
    <t xml:space="preserve">Subsidy for International Student Based Conference on </t>
  </si>
  <si>
    <t>V2017/1103</t>
  </si>
  <si>
    <t>PGTEFT2809</t>
  </si>
  <si>
    <t>20171031-001</t>
  </si>
  <si>
    <t>Pg G'town Heritage Cycling Tour on 1/10/17 - 29 pax</t>
  </si>
  <si>
    <t>Pg G'town Heritage Cycling Tour on 29/10/17 - 18 pax</t>
  </si>
  <si>
    <t>20171109-001</t>
  </si>
  <si>
    <t>Pg G'town Heritage Cycling Tour on 5/11/17 - 11 pax</t>
  </si>
  <si>
    <t>Muntri Mews Sdn Bhd</t>
  </si>
  <si>
    <t>No.77, Muntri Street</t>
  </si>
  <si>
    <t>Copywriting/ Translations</t>
  </si>
  <si>
    <t>Heartwork Group Co Ltd</t>
  </si>
  <si>
    <t>474 Prachautid 98</t>
  </si>
  <si>
    <t>Thung Kru Thung Kru</t>
  </si>
  <si>
    <t>Bangkok 10140</t>
  </si>
  <si>
    <t>Thailand</t>
  </si>
  <si>
    <t xml:space="preserve">Dragon Airlines Limited Hangzhou Office </t>
  </si>
  <si>
    <t>Unit 1203, Area A, EAC</t>
  </si>
  <si>
    <t>18 Jiao Gong Road</t>
  </si>
  <si>
    <t>Hang Zhou, PRC</t>
  </si>
  <si>
    <t>Marketing collaboration with PGT in China Social Media</t>
  </si>
  <si>
    <t xml:space="preserve">Chee Seng Brothers </t>
  </si>
  <si>
    <t>No.27, 29A, 29B Jalan Dato Keramat</t>
  </si>
  <si>
    <t>Tel : 04-227 8727</t>
  </si>
  <si>
    <t>18/12/2017</t>
  </si>
  <si>
    <t>29/12/2017</t>
  </si>
  <si>
    <t>for YE 2018</t>
  </si>
  <si>
    <t>Prof services for preparation &amp; submission of CP-204</t>
  </si>
  <si>
    <t>CIMB Credit Card Centre (Ooi Chok Yan)</t>
  </si>
  <si>
    <t>27th Dec 2017</t>
  </si>
  <si>
    <t>Black &amp; White -  5,568pcs @ RM0.03</t>
  </si>
  <si>
    <t>Colour - 4,851pcs @ RM0.50</t>
  </si>
  <si>
    <t>V2017/1163</t>
  </si>
  <si>
    <t>PGTEFT2857</t>
  </si>
  <si>
    <t>Komtar Hotel Sdn Bhd</t>
  </si>
  <si>
    <t>Hotel Jen Penang</t>
  </si>
  <si>
    <t>Magazine Road</t>
  </si>
  <si>
    <t>Tel : 04 - 262 2622</t>
  </si>
  <si>
    <t>Fax : 04 - 262 6526</t>
  </si>
  <si>
    <t>12/12/2017</t>
  </si>
  <si>
    <t>Farewell dinner for Dr. Mary Ann - PCET President</t>
  </si>
  <si>
    <t>(50pax @ RM70)</t>
  </si>
  <si>
    <t>Canopy &amp; Table</t>
  </si>
  <si>
    <t>40% balance of total RM19,325</t>
  </si>
  <si>
    <t xml:space="preserve"> - Visa application</t>
  </si>
  <si>
    <t>10th Jan2018</t>
  </si>
  <si>
    <t>Checking &amp; normal service ceiling cassette air-cond</t>
  </si>
  <si>
    <t>George Town's Renaissance Greetings Cards xx 1</t>
  </si>
  <si>
    <t>V2018/017</t>
  </si>
  <si>
    <t>PGTEFT2888</t>
  </si>
  <si>
    <t>Being payment for fruits catering on 18/12/2017</t>
  </si>
  <si>
    <t>AR1706-1932</t>
  </si>
  <si>
    <t>DM3, PAM &amp; HC OAP @ Melody FM</t>
  </si>
  <si>
    <t>AR1706-1947</t>
  </si>
  <si>
    <t>AR1707-1778-1781</t>
  </si>
  <si>
    <t>GTF OAP @ Lite FM, Mel FM, Mix FM, Sinar FM GST</t>
  </si>
  <si>
    <t>HC, PAM Sinar FM Talent Fee</t>
  </si>
  <si>
    <t>AR1711-2091</t>
  </si>
  <si>
    <t>AR1711-2092</t>
  </si>
  <si>
    <t>AR1711-2093</t>
  </si>
  <si>
    <t>AR1711-2094</t>
  </si>
  <si>
    <t>10D3F OAP @ Lite FM</t>
  </si>
  <si>
    <t>10D3F OAP @ Mel FM</t>
  </si>
  <si>
    <t>10D3F OAP @ Sinar FM</t>
  </si>
  <si>
    <t>10D3F OAP @ Mix FM</t>
  </si>
  <si>
    <t>AR1711-2095</t>
  </si>
  <si>
    <t>10D3F @ Lite FM</t>
  </si>
  <si>
    <t>10D3F @ Mel FM + Talent Fee</t>
  </si>
  <si>
    <t>10D3F @ Mix FM + Talent Fee</t>
  </si>
  <si>
    <t>10D3F @ Sinar FM + Talent Fee</t>
  </si>
  <si>
    <t>Goche Corporation Sdn Bhd</t>
  </si>
  <si>
    <t>8, 10 &amp; 12, Gat Lebuh Cecil</t>
  </si>
  <si>
    <t>Tel : 04-263 3877</t>
  </si>
  <si>
    <t>24th Jan 2018</t>
  </si>
  <si>
    <t xml:space="preserve">Adstream </t>
  </si>
  <si>
    <t>Internet Charges</t>
  </si>
  <si>
    <t>V2018/083</t>
  </si>
  <si>
    <t>688118</t>
  </si>
  <si>
    <t>Akauntan Negara Malaysia-MOTAC-T</t>
  </si>
  <si>
    <t>Email dated 18.1.2018</t>
  </si>
  <si>
    <t>Asia Pacific Economic Conference</t>
  </si>
  <si>
    <t>Being refund of unutilsed grant to MOTAC</t>
  </si>
  <si>
    <t>V2018/085</t>
  </si>
  <si>
    <t>688120</t>
  </si>
  <si>
    <t>Malaysia Association of Tour &amp; Travel Agents</t>
  </si>
  <si>
    <t>Wisma Matta, No.6, Jalan Metro Pudu 2,</t>
  </si>
  <si>
    <t>Fraser Business Park</t>
  </si>
  <si>
    <t xml:space="preserve">Tel : 03-9222 1155 </t>
  </si>
  <si>
    <t>Fax : 03-9222 1837</t>
  </si>
  <si>
    <t>ITB Berlin Germany</t>
  </si>
  <si>
    <t>17/1/2018</t>
  </si>
  <si>
    <t>HQ-2018ITB027</t>
  </si>
  <si>
    <t>Sponsorship for ITB Advertisement Booth Backdrop</t>
  </si>
  <si>
    <t>V2018/086</t>
  </si>
  <si>
    <t>688121</t>
  </si>
  <si>
    <t>KLIA &amp; KLIA 2 Billboard</t>
  </si>
  <si>
    <t>2/1/2016</t>
  </si>
  <si>
    <t>106672</t>
  </si>
  <si>
    <t>AA/18/1761</t>
  </si>
  <si>
    <t>Digital LED Advertising in KLIA &amp; KLIA2</t>
  </si>
  <si>
    <t>(Period : 15/1/2018 - 14/12/2018) - HAB</t>
  </si>
  <si>
    <t>(Period : 28/2/2018 - 27/3/2018) - PIFF</t>
  </si>
  <si>
    <t>(Period : 22/6/2018 - 21/7/2018) - GTF</t>
  </si>
  <si>
    <t>10/1/2018</t>
  </si>
  <si>
    <t>5th Feb 2018</t>
  </si>
  <si>
    <t>Exotic Printer Sdn Bhd</t>
  </si>
  <si>
    <t>101-E, Lintang Kampung Jawa</t>
  </si>
  <si>
    <t>MIEL Ind Estate</t>
  </si>
  <si>
    <t>11900 Bayan Lepas Penang</t>
  </si>
  <si>
    <t>V2018/100</t>
  </si>
  <si>
    <t>PGTEFT2945</t>
  </si>
  <si>
    <t>25/1/2018</t>
  </si>
  <si>
    <t>0000002</t>
  </si>
  <si>
    <t xml:space="preserve">50% balance for Penang Promotional Video </t>
  </si>
  <si>
    <t>V2018/109</t>
  </si>
  <si>
    <t>688126</t>
  </si>
  <si>
    <t>4191360</t>
  </si>
  <si>
    <t>Online advertising in Expedia for UK</t>
  </si>
  <si>
    <t>Online advertising in Expedia for Aus</t>
  </si>
  <si>
    <t>19/12/2018</t>
  </si>
  <si>
    <t>4191313</t>
  </si>
  <si>
    <t>Online advertising in Expedia for US</t>
  </si>
  <si>
    <t>13th Feb 2018</t>
  </si>
  <si>
    <t>V2018/126</t>
  </si>
  <si>
    <t>PGTEFT2962</t>
  </si>
  <si>
    <t>INV20180110001</t>
  </si>
  <si>
    <t>Designing fee for LED board -Pg Yosakoi Parade</t>
  </si>
  <si>
    <t>Publicity - Pg Yosakoi Parade</t>
  </si>
  <si>
    <t>12/2/2018</t>
  </si>
  <si>
    <t>Me Sketch Enterprise</t>
  </si>
  <si>
    <t>3-3-16, Solok Angsana</t>
  </si>
  <si>
    <t>7/2/2018</t>
  </si>
  <si>
    <t>Friendship Holidays Sdn Bhd</t>
  </si>
  <si>
    <t>64-C, Lorong Selamat</t>
  </si>
  <si>
    <t>Tel : 04-227 1251</t>
  </si>
  <si>
    <t>22th Feb 2018</t>
  </si>
  <si>
    <t>V2018/163</t>
  </si>
  <si>
    <t>PGTEFT2988</t>
  </si>
  <si>
    <t>IO29762</t>
  </si>
  <si>
    <t>Printing of Walkabout Tour Brochure - 10,000pcs</t>
  </si>
  <si>
    <t>28th Feb 2018</t>
  </si>
  <si>
    <t>Jackie Macedo</t>
  </si>
  <si>
    <t>Unit 17, No. 28 French St</t>
  </si>
  <si>
    <t>Kogarah NSW</t>
  </si>
  <si>
    <t>2217 Australia</t>
  </si>
  <si>
    <t>V2018/181</t>
  </si>
  <si>
    <t>Partnership with Australia Celebrity Chef Jackie M</t>
  </si>
  <si>
    <t>Work Around Asia on 9-15th Jan 2018</t>
  </si>
  <si>
    <t>30/1/2018</t>
  </si>
  <si>
    <t>Flight cost and return airfares from Sydney to Penang</t>
  </si>
  <si>
    <t>V2018/116</t>
  </si>
  <si>
    <t>7th Feb 2018</t>
  </si>
  <si>
    <t>Tactical Campaign - Australia</t>
  </si>
  <si>
    <t>21070003</t>
  </si>
  <si>
    <t>Joint marketing with MH &amp; Helloworld on 26/11-10/12/2017</t>
  </si>
  <si>
    <t>(AUD 22,000 @ 3.124)</t>
  </si>
  <si>
    <t>V2018/117</t>
  </si>
  <si>
    <t>22/12/2018</t>
  </si>
  <si>
    <t>PT-91041-194</t>
  </si>
  <si>
    <t>Tactical Campaign - Europe</t>
  </si>
  <si>
    <t>Joint Tactical Promotion with TM Paris &amp; Qatar</t>
  </si>
  <si>
    <t>AB &amp; Artho Sarl</t>
  </si>
  <si>
    <t>Level 5, 101 Ave Fes Champs Elysees</t>
  </si>
  <si>
    <t>75008 Paris - France</t>
  </si>
  <si>
    <t>(EUR 18000 @ 4.9032)</t>
  </si>
  <si>
    <t>27th Feb 2018</t>
  </si>
  <si>
    <t>V2018/187</t>
  </si>
  <si>
    <t>PGTEFT3001</t>
  </si>
  <si>
    <t>InfoColor Sdn Bhd</t>
  </si>
  <si>
    <t>N0.25, Jalan Dato Keramat</t>
  </si>
  <si>
    <t>10150 George Town</t>
  </si>
  <si>
    <t xml:space="preserve">Tel : 04-226 0020 </t>
  </si>
  <si>
    <t>Fax : 04 - 226 0030</t>
  </si>
  <si>
    <t>INV4262</t>
  </si>
  <si>
    <t>Streamer 2.5' x 6' - 93pcs</t>
  </si>
  <si>
    <t>Banner 4' x 12' - 1pc</t>
  </si>
  <si>
    <t>Banner 3' x 12' - 7pcs</t>
  </si>
  <si>
    <t>Banner 5' x 5' - 1pc</t>
  </si>
  <si>
    <t>Banner 3' x 18' - 1pc</t>
  </si>
  <si>
    <t>Banner 4' x 24' - 1pc</t>
  </si>
  <si>
    <t>(-) Rounding Adj</t>
  </si>
  <si>
    <t>13/2/2018</t>
  </si>
  <si>
    <t>INV4263</t>
  </si>
  <si>
    <t>License Fee to MBPP - 25pcs</t>
  </si>
  <si>
    <t>License Fee to MPSP - 4pcs</t>
  </si>
  <si>
    <t>Dewan Bahasan Fee</t>
  </si>
  <si>
    <t>26/2/2018</t>
  </si>
  <si>
    <t>V2018/189</t>
  </si>
  <si>
    <t>PGTEFT3003</t>
  </si>
  <si>
    <t>Malaysian Hub</t>
  </si>
  <si>
    <t>Malaysia Tourism Hub</t>
  </si>
  <si>
    <t>NO. 183B, Wisma MAA Medicare</t>
  </si>
  <si>
    <t>Jalan Sultan Azlah Shah (Jalan Ipoh)</t>
  </si>
  <si>
    <t>51200 Kuala Lumpur</t>
  </si>
  <si>
    <t>Tel : 03-4041 9000</t>
  </si>
  <si>
    <t>RD/2002</t>
  </si>
  <si>
    <t>Full page advertisement (Colour) in Malaysian</t>
  </si>
  <si>
    <t>Tourism Hub Publication</t>
  </si>
  <si>
    <t>Eja Venture</t>
  </si>
  <si>
    <t>No. 54, Jalan Jelutong</t>
  </si>
  <si>
    <t>V2018/201</t>
  </si>
  <si>
    <t>PGTEFT3013</t>
  </si>
  <si>
    <t>20/12/2018</t>
  </si>
  <si>
    <t>PI-SO-170329</t>
  </si>
  <si>
    <t>(AUD 756.29 @ 3.1013)</t>
  </si>
  <si>
    <t>2 staff VIP/Drink Server</t>
  </si>
  <si>
    <t>V2018/229</t>
  </si>
  <si>
    <t>14th Dec 2018</t>
  </si>
  <si>
    <t>27/2/2018</t>
  </si>
  <si>
    <t>20180227_01</t>
  </si>
  <si>
    <t>V2018/234</t>
  </si>
  <si>
    <t>PGTEFT3036</t>
  </si>
  <si>
    <t>15th Mar 2018</t>
  </si>
  <si>
    <t>Asmadi Bin Mohd Salleh</t>
  </si>
  <si>
    <t>9-8-3 Halaman Damai</t>
  </si>
  <si>
    <t>Lintang Kampung Rawa 1</t>
  </si>
  <si>
    <t>23/2/2018</t>
  </si>
  <si>
    <t>1/2018</t>
  </si>
  <si>
    <t>Guide fee on 15/2/2018</t>
  </si>
  <si>
    <t>I/C : 780914-07-5261</t>
  </si>
  <si>
    <t>Colotech Plus A3 205gsm x 2 reams</t>
  </si>
  <si>
    <t>V2018/242</t>
  </si>
  <si>
    <t>PGTEFT3044</t>
  </si>
  <si>
    <t>Haze Chacko Events</t>
  </si>
  <si>
    <t>19, Jalan Enggang 4</t>
  </si>
  <si>
    <t>Puchong Selangor</t>
  </si>
  <si>
    <t>Tel : 010-781 8294</t>
  </si>
  <si>
    <t>15/2/2018</t>
  </si>
  <si>
    <t>QI-013/18</t>
  </si>
  <si>
    <t>Event Emcee on 24/2-25/2/2018</t>
  </si>
  <si>
    <t>V2018/247</t>
  </si>
  <si>
    <t>PGTEFT3049</t>
  </si>
  <si>
    <t>Hot Air Balloon</t>
  </si>
  <si>
    <t>Emcee Service on 23/2/2018 @ Butterworth</t>
  </si>
  <si>
    <t>Enchanced Private Car Insurance (PG-87331714-MPD)</t>
  </si>
  <si>
    <t>Period : 22/3/2018 - 21/3/2019</t>
  </si>
  <si>
    <t>(USD1,708 @ 3.976)</t>
  </si>
  <si>
    <t>Berjaya Sompo Insurance Berhad</t>
  </si>
  <si>
    <t>Lot G 072G, Ground Floor, Podium Block</t>
  </si>
  <si>
    <t xml:space="preserve">Menara BGI, Plaza Berjaya </t>
  </si>
  <si>
    <t xml:space="preserve">12, Jalan Imbi </t>
  </si>
  <si>
    <t>Tel  : 03-2141 3323</t>
  </si>
  <si>
    <t>Insurance</t>
  </si>
  <si>
    <t>31st Mar 2018</t>
  </si>
  <si>
    <t>688176</t>
  </si>
  <si>
    <t>V2018/280</t>
  </si>
  <si>
    <t>Serga Events</t>
  </si>
  <si>
    <t>Malathi D/O Muniandy</t>
  </si>
  <si>
    <t>23/3/2018</t>
  </si>
  <si>
    <t>Being hosting &amp; support service for PGT mobile apps</t>
  </si>
  <si>
    <t>Emilia binti Ismail</t>
  </si>
  <si>
    <t>I/C : 820818-07-5302</t>
  </si>
  <si>
    <t>8, Pesiaran Sungai Ara 4</t>
  </si>
  <si>
    <t>Desa Ara</t>
  </si>
  <si>
    <t>Ginncons Construction Sdn Bhd</t>
  </si>
  <si>
    <t>88-2-33, Sri Wonder Complex</t>
  </si>
  <si>
    <t>Lintang Sungai Pinang</t>
  </si>
  <si>
    <t xml:space="preserve">11600 Penang </t>
  </si>
  <si>
    <t>Tel : 016-448 0233</t>
  </si>
  <si>
    <t>Publicity - Yosakoi Parade</t>
  </si>
  <si>
    <t>V2018/281</t>
  </si>
  <si>
    <t>20th Mar 2018</t>
  </si>
  <si>
    <t>Conference Online Pty Ltd</t>
  </si>
  <si>
    <t>ASEAN Focus Group Pty Ltd</t>
  </si>
  <si>
    <t>Level 15</t>
  </si>
  <si>
    <t>9 Castleagh Street</t>
  </si>
  <si>
    <t>Sydnet NSW2000</t>
  </si>
  <si>
    <t>4/3/2018</t>
  </si>
  <si>
    <t>B520756-1</t>
  </si>
  <si>
    <t>Asean Australian Education Dialogue Gala Dinner</t>
  </si>
  <si>
    <t>(AUD10,000 @ 3.0626)</t>
  </si>
  <si>
    <t>V2018/282</t>
  </si>
  <si>
    <t>Thai International Travel Fair</t>
  </si>
  <si>
    <t>19/2/2018</t>
  </si>
  <si>
    <t>BL000061</t>
  </si>
  <si>
    <t>Tactical Campaign with AirAsia Go in conjunction with</t>
  </si>
  <si>
    <t>TITF 2018</t>
  </si>
  <si>
    <t>(THB 328,276 @ 7.5987)</t>
  </si>
  <si>
    <t>Bang Phuong Advertising Trading Company Limited</t>
  </si>
  <si>
    <t>55, Truong Quocdung Ward 10 Phu</t>
  </si>
  <si>
    <t>Nhuan District , Ho Chi Minh</t>
  </si>
  <si>
    <t>Penang Fair At Ho Chi Minh</t>
  </si>
  <si>
    <t>(Inclusive License &amp; Insunrace, Planning &amp; Creative,</t>
  </si>
  <si>
    <t>Venue rental, Production, Technical Equipment</t>
  </si>
  <si>
    <t>Human Power &amp; Logistic)</t>
  </si>
  <si>
    <t>Beyond Multimedia Plt</t>
  </si>
  <si>
    <t>16 Armenian Street</t>
  </si>
  <si>
    <t xml:space="preserve">10300 Gerogetown </t>
  </si>
  <si>
    <t>Tel : 04 - 251 9828</t>
  </si>
  <si>
    <t>Professional Fees</t>
  </si>
  <si>
    <t>Advance taken for :</t>
  </si>
  <si>
    <t>Arabian Travel Mart Dubai on 21-26th April 2018</t>
  </si>
  <si>
    <t xml:space="preserve"> - Meal Allowance - Domestic</t>
  </si>
  <si>
    <t xml:space="preserve"> - Meal Allowance - Overseas</t>
  </si>
  <si>
    <t xml:space="preserve"> - Tourism Fee</t>
  </si>
  <si>
    <t>Black &amp; White - 3,777pcs @ RM0.03</t>
  </si>
  <si>
    <t>Colour - 1,559pcs @ RM0.50</t>
  </si>
  <si>
    <t>Copywriting / Translation</t>
  </si>
  <si>
    <t>ArtisTari Production</t>
  </si>
  <si>
    <t>Blok 11, Tingkat 13, No.11</t>
  </si>
  <si>
    <t>Pangsapuri Pelangi</t>
  </si>
  <si>
    <t>Lintang Macallum 2</t>
  </si>
  <si>
    <t>Inbois</t>
  </si>
  <si>
    <t>dated 9.4.2018</t>
  </si>
  <si>
    <t>ITB China Coordination Meeting in KL on 5-7th April 2018</t>
  </si>
  <si>
    <t xml:space="preserve"> - Air fare </t>
  </si>
  <si>
    <t xml:space="preserve"> - Dinner with JTB KL</t>
  </si>
  <si>
    <t>V2018/376</t>
  </si>
  <si>
    <t>19th Apr 2018</t>
  </si>
  <si>
    <t>1108 Nanjing Road West</t>
  </si>
  <si>
    <t>Jing An District, Shanghai</t>
  </si>
  <si>
    <t>ITB China 2018</t>
  </si>
  <si>
    <t>ITB China Partnership Campaign</t>
  </si>
  <si>
    <t>(USD 16,130 @ 3.9313)</t>
  </si>
  <si>
    <t>Asialife Media (Thailand) Co.Ltd</t>
  </si>
  <si>
    <t>94, Chinnawatr Silk Building</t>
  </si>
  <si>
    <t>Sukhumvit 23, Klongtoey Nua, Watthana</t>
  </si>
  <si>
    <t>Bangkok, Thailand</t>
  </si>
  <si>
    <t>HotelnAir.Com</t>
  </si>
  <si>
    <t>13F, Seoul Centre</t>
  </si>
  <si>
    <t>B/D 116 Sogong-Ro</t>
  </si>
  <si>
    <t>Jung-Gu Seoul</t>
  </si>
  <si>
    <t>V2018/419</t>
  </si>
  <si>
    <t>PGTEFT3172</t>
  </si>
  <si>
    <t>3rd May 2018</t>
  </si>
  <si>
    <t>Iranian Food Blogger on 4-6th May 2018</t>
  </si>
  <si>
    <t>Memo dated 2/5/2018</t>
  </si>
  <si>
    <t xml:space="preserve"> - Meals on 4/5/2018</t>
  </si>
  <si>
    <t xml:space="preserve"> - Meals on 5/5/2018</t>
  </si>
  <si>
    <t xml:space="preserve"> - Meals on 6/5/2018</t>
  </si>
  <si>
    <t>30/4/2018</t>
  </si>
  <si>
    <t>Lee Ick Joo</t>
  </si>
  <si>
    <t>SG Tour</t>
  </si>
  <si>
    <t>23/4/2018</t>
  </si>
  <si>
    <t>31st May 2018</t>
  </si>
  <si>
    <t>V2018/451</t>
  </si>
  <si>
    <t>15th May 2018</t>
  </si>
  <si>
    <t>SQ/17P0000021</t>
  </si>
  <si>
    <t>Final payment for Penang Fair @ HCM</t>
  </si>
  <si>
    <t>(USD 19,258 @ 4.0133)</t>
  </si>
  <si>
    <t>V2018/452</t>
  </si>
  <si>
    <t>PGTEFT3196</t>
  </si>
  <si>
    <t>16th May 2018</t>
  </si>
  <si>
    <t>Citilink Airlines Media FAM on 27-29th Apr 2018</t>
  </si>
  <si>
    <t>INV10623</t>
  </si>
  <si>
    <t>Being transportation arrangement on 27/4-29/4/2018</t>
  </si>
  <si>
    <t>Local Culinary Experiences Sdn Bhd</t>
  </si>
  <si>
    <t>23, Jalan SS2/78</t>
  </si>
  <si>
    <t>47300 Petaling Jaya</t>
  </si>
  <si>
    <t>Loh Yen Peng</t>
  </si>
  <si>
    <t>I/C : 901216 - 07 - 5246</t>
  </si>
  <si>
    <t>Salary for the month of May'18</t>
  </si>
  <si>
    <t>Deduct :</t>
  </si>
  <si>
    <t xml:space="preserve"> - KWSP </t>
  </si>
  <si>
    <t xml:space="preserve"> - Socso</t>
  </si>
  <si>
    <t xml:space="preserve"> - Insurance</t>
  </si>
  <si>
    <t xml:space="preserve"> - EIS</t>
  </si>
  <si>
    <t>V2018/463</t>
  </si>
  <si>
    <t>PGTEFT3206</t>
  </si>
  <si>
    <t>14/5/2018</t>
  </si>
  <si>
    <t>V2018/475</t>
  </si>
  <si>
    <t>PGTEFT3214</t>
  </si>
  <si>
    <t>31/5/2018</t>
  </si>
  <si>
    <t>22/5/2018</t>
  </si>
  <si>
    <t>V2018/479</t>
  </si>
  <si>
    <t>PGTEFT3218</t>
  </si>
  <si>
    <t>0256/2018</t>
  </si>
  <si>
    <t>Supply labour, materials, tools &amp; equipments to carry</t>
  </si>
  <si>
    <t>general servicing and checking on existing ceiling cassette</t>
  </si>
  <si>
    <t xml:space="preserve"> - Repair of company car - CAM &amp; Crank sensor</t>
  </si>
  <si>
    <t xml:space="preserve"> - Purchase of coffee machine</t>
  </si>
  <si>
    <t xml:space="preserve"> - Plastic container</t>
  </si>
  <si>
    <t xml:space="preserve"> - Repair of fan at TIC</t>
  </si>
  <si>
    <t xml:space="preserve"> - First aid kid for office</t>
  </si>
  <si>
    <t>V2018/519</t>
  </si>
  <si>
    <t>4th June 2018</t>
  </si>
  <si>
    <t>Penang Anime Matsuri</t>
  </si>
  <si>
    <t xml:space="preserve">Banker's cheque to LHDN - Income tax on behalf foreign </t>
  </si>
  <si>
    <t xml:space="preserve">artist from Japan </t>
  </si>
  <si>
    <t>688223</t>
  </si>
  <si>
    <t>V2018/521</t>
  </si>
  <si>
    <t>688224</t>
  </si>
  <si>
    <t>6th June 2018</t>
  </si>
  <si>
    <t>Pejabat Kutipan Hasil, Jabatan Perbendaharaan M.B.P.P</t>
  </si>
  <si>
    <t>jabatan Kawalan Bangunan, Tingkat 4</t>
  </si>
  <si>
    <t>KOMTAR, Jalan Penang, 10675 Penang</t>
  </si>
  <si>
    <t>BL1805510072</t>
  </si>
  <si>
    <t>Application for Pentas Hiburan at Spice Convention</t>
  </si>
  <si>
    <t>Centre on 7/7/2018 - 8/7/2018</t>
  </si>
  <si>
    <t>Balik Pulau Map</t>
  </si>
  <si>
    <t>JN 0425</t>
  </si>
  <si>
    <t>50% downpayment of total RM16,000</t>
  </si>
  <si>
    <t>(Information gathering, content development, creative design)</t>
  </si>
  <si>
    <t>V2018/525</t>
  </si>
  <si>
    <t>31/05/2018</t>
  </si>
  <si>
    <t>No. Ruj : JKNPP/06/08/15/3 Jld..4(78)</t>
  </si>
  <si>
    <t xml:space="preserve">Duti Hiburan bagi Penang Anime Matsuri </t>
  </si>
  <si>
    <t>688225</t>
  </si>
  <si>
    <t>V2018/529</t>
  </si>
  <si>
    <t>PGTEFT3253</t>
  </si>
  <si>
    <t>14th June 2018</t>
  </si>
  <si>
    <t>M Summit Sdn Bhd</t>
  </si>
  <si>
    <t>Menara M Summit, Level 21</t>
  </si>
  <si>
    <t>191-21-1, Jalan Magazine</t>
  </si>
  <si>
    <t>AirAsia Vietnam Bountiful Malaysia Campaign</t>
  </si>
  <si>
    <t>INV048/5</t>
  </si>
  <si>
    <t>Hotel accommodation x 9 rooms nights</t>
  </si>
  <si>
    <t>V2018/530</t>
  </si>
  <si>
    <t>PGTEFT3254</t>
  </si>
  <si>
    <t>Harbour Trade Centre, 2-5-05 Gat Lebuh Macallum</t>
  </si>
  <si>
    <t>11/6/2018</t>
  </si>
  <si>
    <t>911453</t>
  </si>
  <si>
    <t>Alarm system checking and fixing</t>
  </si>
  <si>
    <t>Cost of Goods Sold - May'18</t>
  </si>
  <si>
    <t>V2018/541</t>
  </si>
  <si>
    <t>PGTEFT3265</t>
  </si>
  <si>
    <t>4/6/2018</t>
  </si>
  <si>
    <t>Recollections by Tan Tiong Liat - 1 unit</t>
  </si>
  <si>
    <t>Loo Chee Khuan</t>
  </si>
  <si>
    <t>I/C : 810703-02-5461</t>
  </si>
  <si>
    <t>Photographer</t>
  </si>
  <si>
    <t>00010</t>
  </si>
  <si>
    <t>AirAsia Indonesia Media FAM on 29 Apr -2 May 2018</t>
  </si>
  <si>
    <t>29/5/2018</t>
  </si>
  <si>
    <t>P16560</t>
  </si>
  <si>
    <t>Transportation &amp; Guide for 4 days (4 pax)</t>
  </si>
  <si>
    <t>Meals arrangement</t>
  </si>
  <si>
    <t>AirAsia Vietnam Bountiful Campaign 20-22 May 2018</t>
  </si>
  <si>
    <t>P16595</t>
  </si>
  <si>
    <t>Transportation &amp; Guide for 3 days (11 pax)</t>
  </si>
  <si>
    <t>Tourism Malaysia &amp; Qatar OSLO Agents FAM on 2-5 June 2018</t>
  </si>
  <si>
    <t>7/6/2018</t>
  </si>
  <si>
    <t>P16621</t>
  </si>
  <si>
    <t>Transportation &amp; Guide for 4 days (10 pax)</t>
  </si>
  <si>
    <t>V2018/528</t>
  </si>
  <si>
    <t>14th July 2018</t>
  </si>
  <si>
    <t>Monthly Platinum Plus Business Commitment Fee (018-390 4600)</t>
  </si>
  <si>
    <t>30/6/2018</t>
  </si>
  <si>
    <t>Qatar Airways - Oryx (June'18)</t>
  </si>
  <si>
    <t>(SGD4,050 @ 2.9926)</t>
  </si>
  <si>
    <t>(SGD9,300 @ 2.9926)</t>
  </si>
  <si>
    <t>Silk Air - Silkwinds (June'18)</t>
  </si>
  <si>
    <t>4th July 2018</t>
  </si>
  <si>
    <t>13/6/2018</t>
  </si>
  <si>
    <t>Hotel Fee</t>
  </si>
  <si>
    <t>Tourism Tax</t>
  </si>
  <si>
    <t>V2018/589</t>
  </si>
  <si>
    <t>PGTEFT3308</t>
  </si>
  <si>
    <t>Copthorne Orchid Penang Sdn Bhd</t>
  </si>
  <si>
    <t>Jalan Tanjung Bungah</t>
  </si>
  <si>
    <t>Sponsorship/Contribution</t>
  </si>
  <si>
    <t>21/6/2018</t>
  </si>
  <si>
    <t>072-2017-10000042</t>
  </si>
  <si>
    <t>Welcoming dinner for MCTA Annual GM on 21/6/2018</t>
  </si>
  <si>
    <t>Prof services for completion and lodgement of YOA 2017</t>
  </si>
  <si>
    <t>Calvin Cheong Production</t>
  </si>
  <si>
    <t>13th July 2018</t>
  </si>
  <si>
    <t>V2018/616</t>
  </si>
  <si>
    <t>PGTEFT3334</t>
  </si>
  <si>
    <t>22/3/2018</t>
  </si>
  <si>
    <t>Cun_2018</t>
  </si>
  <si>
    <t>Translation fee for Penang Cun Media Release</t>
  </si>
  <si>
    <t>Cost of goods sold - June'18</t>
  </si>
  <si>
    <t>V2018/624</t>
  </si>
  <si>
    <t>PGTEFT3342</t>
  </si>
  <si>
    <t>‘7/7/2018</t>
  </si>
  <si>
    <t>Guide fee on 7/7/2018</t>
  </si>
  <si>
    <t>Period : 1/8/2018 - 31/7/2019</t>
  </si>
  <si>
    <t>Travel Insurance - Thoy Siew Ping</t>
  </si>
  <si>
    <t>AR1806-1908</t>
  </si>
  <si>
    <t>AR1806-1909</t>
  </si>
  <si>
    <t>Ads Radio - Penang Anime Matsuri</t>
  </si>
  <si>
    <t>AR1806-1904</t>
  </si>
  <si>
    <t>Broadcasting @ Mix FM + Talent Fee</t>
  </si>
  <si>
    <t>Broadcasting @ Melody FM + Talent Fee</t>
  </si>
  <si>
    <t>Broadcasting @ Sinar FM + Talent Fee</t>
  </si>
  <si>
    <t>Hana Tour Korea</t>
  </si>
  <si>
    <t>31st July 2018</t>
  </si>
  <si>
    <t>V2018/658</t>
  </si>
  <si>
    <t>PGTEFT3362</t>
  </si>
  <si>
    <t>27th July 2018</t>
  </si>
  <si>
    <t>Lunch / Dinner Hosting</t>
  </si>
  <si>
    <t>00022812</t>
  </si>
  <si>
    <t xml:space="preserve">China Travel Agent Lunch hosting on 13/6/2018 </t>
  </si>
  <si>
    <t>Tactical Campaign - Japan</t>
  </si>
  <si>
    <t>V2018/663</t>
  </si>
  <si>
    <t>PGTEFT3367</t>
  </si>
  <si>
    <t>B179551</t>
  </si>
  <si>
    <t>Hotel Accommodation - Siew Ping &amp; YP</t>
  </si>
  <si>
    <t>Hotel Accommodation - OCY</t>
  </si>
  <si>
    <t>10/7/2018</t>
  </si>
  <si>
    <t>V2018/678</t>
  </si>
  <si>
    <t>PGTEFT3380</t>
  </si>
  <si>
    <t>dated 2.5.2018</t>
  </si>
  <si>
    <t xml:space="preserve"> - Meal Allowance (Dubai)</t>
  </si>
  <si>
    <t xml:space="preserve"> - Meal Allowance (KL)</t>
  </si>
  <si>
    <t xml:space="preserve"> - SIM Card</t>
  </si>
  <si>
    <t xml:space="preserve"> - Tourism Tax in Dubai </t>
  </si>
  <si>
    <t xml:space="preserve"> - Entertainment </t>
  </si>
  <si>
    <t xml:space="preserve">(-) Advances taken </t>
  </si>
  <si>
    <t>dated 25.5.2018</t>
  </si>
  <si>
    <t>ITB China Pre-Briefing Session on 11-12th May 2018</t>
  </si>
  <si>
    <t xml:space="preserve"> - Air fare (PEN-KUL-PEN)</t>
  </si>
  <si>
    <t>ITB China Tradeshow on 14-19th May 2018</t>
  </si>
  <si>
    <t xml:space="preserve"> - Entertainment</t>
  </si>
  <si>
    <t xml:space="preserve"> - VPN Registration</t>
  </si>
  <si>
    <t xml:space="preserve"> - Souvenirs</t>
  </si>
  <si>
    <t xml:space="preserve"> - Visa Application Photo (OCY &amp; DT)</t>
  </si>
  <si>
    <t>(-) Dinner entertainment with Japan Agency JTB on 4/5/2018</t>
  </si>
  <si>
    <t>V2018/683</t>
  </si>
  <si>
    <t>PGTEFT3384</t>
  </si>
  <si>
    <t>of July 2018</t>
  </si>
  <si>
    <t>2nd Aug 2018</t>
  </si>
  <si>
    <t>V2018/709</t>
  </si>
  <si>
    <t>aabcin-00011488</t>
  </si>
  <si>
    <t xml:space="preserve">Digital Campaign with AirAsia Malaysia </t>
  </si>
  <si>
    <t>from Mar to June 2018</t>
  </si>
  <si>
    <t>V2018/714</t>
  </si>
  <si>
    <t>9th Aug 2018</t>
  </si>
  <si>
    <t>Fine Winner Holdings Limited T/A Hotel Jen Hong Kong</t>
  </si>
  <si>
    <t>508, Queen's Road, West Western District</t>
  </si>
  <si>
    <t>Penang Seminar @ Hong Kong</t>
  </si>
  <si>
    <t>Pro-forma Invoice</t>
  </si>
  <si>
    <t>Buffet lunch on 17th Aug 2018 in Café Malacca</t>
  </si>
  <si>
    <t>(HKD49,500 @ 0.5289)</t>
  </si>
  <si>
    <t>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k,</t>
  </si>
  <si>
    <t>10th Aug 2018</t>
  </si>
  <si>
    <t>7/8/2018</t>
  </si>
  <si>
    <t>MAS UK Chef Gizzi FAM on 29th Jul - 2nd Aug 2018</t>
  </si>
  <si>
    <t>2/8/2018</t>
  </si>
  <si>
    <t>Copywriting &amp; Translation</t>
  </si>
  <si>
    <t>V2018/723</t>
  </si>
  <si>
    <t>PGTEFT3408</t>
  </si>
  <si>
    <t xml:space="preserve">Jurutera Daerah JKR Daerah Timur Laut Pulau </t>
  </si>
  <si>
    <t>Pengarah Kerja Raya Pulau Pinang</t>
  </si>
  <si>
    <t>Jabatan Kerja Raya</t>
  </si>
  <si>
    <t>Daerah Timur Laut</t>
  </si>
  <si>
    <t>2851-N, Jalan J.K.R. Sungai Pinang</t>
  </si>
  <si>
    <t>Hot Air Balloon 2018</t>
  </si>
  <si>
    <t>10/2/2018</t>
  </si>
  <si>
    <t>Prepare of chair for TYT</t>
  </si>
  <si>
    <t>Prepare carper for VIP</t>
  </si>
  <si>
    <t>Prepare chairs for CM &amp; VVIP</t>
  </si>
  <si>
    <t>V2018/725</t>
  </si>
  <si>
    <t>PGTEFT3410</t>
  </si>
  <si>
    <t>Mark Ng Ti Chien</t>
  </si>
  <si>
    <t>42, Lengkok Halia</t>
  </si>
  <si>
    <t>Georgetown 10470 Penang</t>
  </si>
  <si>
    <t>INV-000019</t>
  </si>
  <si>
    <t>Food Guide for 5 days</t>
  </si>
  <si>
    <t>21st Aug 2018</t>
  </si>
  <si>
    <t>13/8/2018</t>
  </si>
  <si>
    <t>V2018/761</t>
  </si>
  <si>
    <t>6665281620</t>
  </si>
  <si>
    <t>Additional Appoinment set for Co-exhibitors</t>
  </si>
  <si>
    <t>(USD2,470 @ 4.1393)</t>
  </si>
  <si>
    <t>23rd Aug 2018</t>
  </si>
  <si>
    <t>14/8/2018</t>
  </si>
  <si>
    <t>Flatplan Publisher</t>
  </si>
  <si>
    <t>8 Pesiaran Sungai Ara 4</t>
  </si>
  <si>
    <t>Desa Ara, 11900 Bayan Lepas</t>
  </si>
  <si>
    <t>Tel : 017-556 1004</t>
  </si>
  <si>
    <t>Innogen Sdn Bhd</t>
  </si>
  <si>
    <t>No.1, Jalan Perusahaan 1</t>
  </si>
  <si>
    <t>Taman Industri Selesa Jaya</t>
  </si>
  <si>
    <t>43300 Balakong, Selangor</t>
  </si>
  <si>
    <t>Tel : 03-8961 1108</t>
  </si>
  <si>
    <t>PATA Travel Mart Langkawi on 12-14th Sept 2018</t>
  </si>
  <si>
    <t>IP18-1860</t>
  </si>
  <si>
    <t>Adninistration fee for Booth</t>
  </si>
  <si>
    <t>Rental of Flood Light</t>
  </si>
  <si>
    <t>Rental of Halogen Down Light</t>
  </si>
  <si>
    <t>Rental of Single Phase Power Point</t>
  </si>
  <si>
    <t>PTM-18/TAB/</t>
  </si>
  <si>
    <t>CBD-002</t>
  </si>
  <si>
    <t>Contractor Badges Deposit (Refundable)</t>
  </si>
  <si>
    <t>RPB-002</t>
  </si>
  <si>
    <t>Performance bond Deposit (Refundable)</t>
  </si>
  <si>
    <t>V2018/770</t>
  </si>
  <si>
    <t>PGTEFT3444</t>
  </si>
  <si>
    <t>Malaysia Airlines UK Chef Jimmy FAM on 8-11th Aug 2018</t>
  </si>
  <si>
    <t>FA1808-0517</t>
  </si>
  <si>
    <t>Transportation, guides &amp; meals for 3 days (3 pax)</t>
  </si>
  <si>
    <t>8/8/2018</t>
  </si>
  <si>
    <t>V2018/779</t>
  </si>
  <si>
    <t>688267</t>
  </si>
  <si>
    <t>24th Aug 2018</t>
  </si>
  <si>
    <t>24/7/2018</t>
  </si>
  <si>
    <t>Debit Note</t>
  </si>
  <si>
    <t>18DPG/SHSZ007776-030</t>
  </si>
  <si>
    <t>Group Hospital &amp; Surgical - Low Yen Peng</t>
  </si>
  <si>
    <t>Period - 24/5/2018 - 31/12/2018</t>
  </si>
  <si>
    <t>V2018/780</t>
  </si>
  <si>
    <t>688268</t>
  </si>
  <si>
    <t>Publicity - Comic Fiesta Mini</t>
  </si>
  <si>
    <t>16/8/2018</t>
  </si>
  <si>
    <t>HM/WRAP(REAR)-160818</t>
  </si>
  <si>
    <t>Bus Wrapping on HoHo (Rear Side) - 4 buses</t>
  </si>
  <si>
    <t>V2018/781</t>
  </si>
  <si>
    <t>688269</t>
  </si>
  <si>
    <t xml:space="preserve">Voucher No.:    </t>
  </si>
  <si>
    <t>Focus Marketing &amp; Communications Company</t>
  </si>
  <si>
    <t xml:space="preserve">Unit 402E, Lai Cheong Factory Building </t>
  </si>
  <si>
    <t>479 Castle Peak Road</t>
  </si>
  <si>
    <t>Lai Chi Kok, Kowloon Hong Kong</t>
  </si>
  <si>
    <t>PR &amp; Event Management on 17/8/2018</t>
  </si>
  <si>
    <t>V2018/793</t>
  </si>
  <si>
    <t>PGTEFT3459</t>
  </si>
  <si>
    <t>31/8/2018</t>
  </si>
  <si>
    <t>V2018/790</t>
  </si>
  <si>
    <t>29th Aug 2018</t>
  </si>
  <si>
    <t>Hana Asia (Thailand) Co Ltd</t>
  </si>
  <si>
    <t>Room 21-04, Floor 21 Time Square Building 246</t>
  </si>
  <si>
    <t>Sukumvit Rd. Between Soi 12-14 Bangkok Thailand</t>
  </si>
  <si>
    <t>10110 Thailand</t>
  </si>
  <si>
    <t>Sponsorship for TITF</t>
  </si>
  <si>
    <t xml:space="preserve">Being banner, advertisement and marketing fee for </t>
  </si>
  <si>
    <t xml:space="preserve">TITF </t>
  </si>
  <si>
    <t>via BizChannel</t>
  </si>
  <si>
    <t>6th Sept 2018</t>
  </si>
  <si>
    <t>V2018/801</t>
  </si>
  <si>
    <t>PGTEFT3467</t>
  </si>
  <si>
    <t>Koperasi Sekolah Menengah Kebangsaan Perempuan St George</t>
  </si>
  <si>
    <t>Jalan Macalister</t>
  </si>
  <si>
    <t>SMKPSG(PEN)</t>
  </si>
  <si>
    <t>100-1/1/16(18)</t>
  </si>
  <si>
    <t>Car Park Space Rental for HAB on 24/2 &amp; 25/2/18</t>
  </si>
  <si>
    <t>28/8/2018</t>
  </si>
  <si>
    <t>13th Sept 2018</t>
  </si>
  <si>
    <t>Lada Eco-Tourism Sdn Bhd</t>
  </si>
  <si>
    <t>Ayer Hangat Village</t>
  </si>
  <si>
    <t>KM 16 Jalan Ayer Hangat</t>
  </si>
  <si>
    <t xml:space="preserve">07000 Langkawi </t>
  </si>
  <si>
    <t>PATA Travel Mart 2018</t>
  </si>
  <si>
    <t>4/9/2018</t>
  </si>
  <si>
    <t>PTM00010309</t>
  </si>
  <si>
    <t>Networking Cocktail session for 80 pax</t>
  </si>
  <si>
    <t>Beverage for 80 pax</t>
  </si>
  <si>
    <t>V2018/815</t>
  </si>
  <si>
    <t>PGTEFT3477</t>
  </si>
  <si>
    <t>10017090</t>
  </si>
  <si>
    <t>AirAsia Travel3Sixty Oct'18 Print &amp; Processing Fee</t>
  </si>
  <si>
    <t>Hotel Neo+ Penang</t>
  </si>
  <si>
    <t>Thailand Joint Promotion Campaign with TM &amp; AA Thailand</t>
  </si>
  <si>
    <t>26/8/2018</t>
  </si>
  <si>
    <t>Superior Room on 24/8-26/8/2018 - 7 room nights</t>
  </si>
  <si>
    <t xml:space="preserve">Local Govt Fee </t>
  </si>
  <si>
    <t>Standard Room on 24/8-26/8/2018 - 6 room nights</t>
  </si>
  <si>
    <t>Tourism Fee</t>
  </si>
  <si>
    <t>Renewal of Travel Insurance - Ooi Chok Yan</t>
  </si>
  <si>
    <t>Period : 15/9/2018 - 14/9/2019</t>
  </si>
  <si>
    <t>Sales Tax</t>
  </si>
  <si>
    <t>Partnership Campaign with MAS UK &amp; Europe</t>
  </si>
  <si>
    <t>V2018/830</t>
  </si>
  <si>
    <t>PGTEFT3491</t>
  </si>
  <si>
    <t>Penang Seminar @ Australia</t>
  </si>
  <si>
    <t>18th Sept 2018</t>
  </si>
  <si>
    <t>V2018/832</t>
  </si>
  <si>
    <t>F-2639D</t>
  </si>
  <si>
    <t>(30% balance of total HKD75,000)</t>
  </si>
  <si>
    <t>China Tactical Campaign with Ctrip</t>
  </si>
  <si>
    <t>V2018/874</t>
  </si>
  <si>
    <t>24th Sept 2018</t>
  </si>
  <si>
    <t>Glory Property III Investment Pty Ltd ATF Glory Property</t>
  </si>
  <si>
    <t>III Investment Trust</t>
  </si>
  <si>
    <t>Hilton Sydney</t>
  </si>
  <si>
    <t>488 George Street, Sydney</t>
  </si>
  <si>
    <t>Proforma Invoice</t>
  </si>
  <si>
    <t>(AUD13,900 @ 3.0514)</t>
  </si>
  <si>
    <t>Food &amp; Beverage package for 100 pax on 25/9/2018</t>
  </si>
  <si>
    <t>V2018/877</t>
  </si>
  <si>
    <t>PGTEFT3524</t>
  </si>
  <si>
    <t>(HKD22,500 @ 0.542)</t>
  </si>
  <si>
    <t>2nd Oct 2018</t>
  </si>
  <si>
    <t>V2018/884</t>
  </si>
  <si>
    <t>PGTEFT3530</t>
  </si>
  <si>
    <t>20/9/2018</t>
  </si>
  <si>
    <t>2088824</t>
  </si>
  <si>
    <t>To add plywood below of brochure rack at airport</t>
  </si>
  <si>
    <t>(Domestic &amp; International)</t>
  </si>
  <si>
    <t>Work permit &amp; Insurance by PIA</t>
  </si>
  <si>
    <t>6% SST</t>
  </si>
  <si>
    <t>2/10/2018</t>
  </si>
  <si>
    <t>4th Oct 2018</t>
  </si>
  <si>
    <t>Publicity - GTLF</t>
  </si>
  <si>
    <t>V2018/905</t>
  </si>
  <si>
    <t>PGTEFT3548</t>
  </si>
  <si>
    <t>Hores Equipment Sdn Bhd</t>
  </si>
  <si>
    <t>70-A-G Pengkalan Weld</t>
  </si>
  <si>
    <t>To supply &amp; change tyre and inner tube for brochure</t>
  </si>
  <si>
    <t>stall at Port Swettenham</t>
  </si>
  <si>
    <t>To change RIM</t>
  </si>
  <si>
    <t>INE51442</t>
  </si>
  <si>
    <t>9th Oct 2018</t>
  </si>
  <si>
    <t>688293</t>
  </si>
  <si>
    <t>V2018/923</t>
  </si>
  <si>
    <t>(Cheque reissued due to previous cheque returned -signature differs)</t>
  </si>
  <si>
    <t>V2018/924</t>
  </si>
  <si>
    <t>688295</t>
  </si>
  <si>
    <t>China Airlines Limited</t>
  </si>
  <si>
    <t>Unit 9,04 Menara Boustead Penang</t>
  </si>
  <si>
    <t>39, Jalan Sultan Ahmad Shah</t>
  </si>
  <si>
    <t>Penang Seminar @ Taiwan</t>
  </si>
  <si>
    <t>(PEN-TPE-PEN)</t>
  </si>
  <si>
    <t>15th October 2018</t>
  </si>
  <si>
    <t>V2018/932</t>
  </si>
  <si>
    <t>PGTEFT3565</t>
  </si>
  <si>
    <t>10/10/2018</t>
  </si>
  <si>
    <t>INV18-0148</t>
  </si>
  <si>
    <t>On-site service for UBS installation - 2 workstation PC</t>
  </si>
  <si>
    <t>KKCN18-IV045</t>
  </si>
  <si>
    <t>Sketches of Penang Postcards x 2</t>
  </si>
  <si>
    <t>Penang Sketch series print x 1</t>
  </si>
  <si>
    <t>V2018/918</t>
  </si>
  <si>
    <t>5th Oct 2018</t>
  </si>
  <si>
    <t>21/9/2018</t>
  </si>
  <si>
    <t>ITB513/2018</t>
  </si>
  <si>
    <t xml:space="preserve">Additional Badges x 8 </t>
  </si>
  <si>
    <t>(USD 720 @ 4.204)</t>
  </si>
  <si>
    <t>Approved</t>
  </si>
  <si>
    <t>26/09/2018</t>
  </si>
  <si>
    <t>042151</t>
  </si>
  <si>
    <t>Atlas by Etihad (Oct'19)</t>
  </si>
  <si>
    <t>(USD2,500 @ 4.216)</t>
  </si>
  <si>
    <t xml:space="preserve">Ink </t>
  </si>
  <si>
    <t>Blackburn House Blackburn Road</t>
  </si>
  <si>
    <t>NW61RZ</t>
  </si>
  <si>
    <t>Qatar Airways - Oryx (Oct'18)</t>
  </si>
  <si>
    <t>(SGD9,300 @ 3.0413)</t>
  </si>
  <si>
    <t>Silk Air - Silkwinds (Oct'18)</t>
  </si>
  <si>
    <t>(SGD4,050 @ 3.0413)</t>
  </si>
  <si>
    <t>V2018/949</t>
  </si>
  <si>
    <t>12th Oct 2018</t>
  </si>
  <si>
    <t>Networking Session @ Pg Pavilion at ITB Asia</t>
  </si>
  <si>
    <t>27/9/2018</t>
  </si>
  <si>
    <t>Catering service (SGD3,523.08 @ 3.0619)</t>
  </si>
  <si>
    <t xml:space="preserve">Digital Branding Campaign with Tripzilla for Singapore &amp; </t>
  </si>
  <si>
    <t>Philippines in Oct - Dec 2018</t>
  </si>
  <si>
    <t xml:space="preserve"> - Meals on 24/10/2018</t>
  </si>
  <si>
    <t xml:space="preserve"> - Meals on 25/10/2018</t>
  </si>
  <si>
    <t xml:space="preserve"> - Meals on 26/10/2018</t>
  </si>
  <si>
    <t>Thailand Joinit Promotion Campaign with TM &amp; AA Thailand</t>
  </si>
  <si>
    <t xml:space="preserve"> - Meals on 27/10/2018</t>
  </si>
  <si>
    <t xml:space="preserve"> - Meals on 28/10/2018</t>
  </si>
  <si>
    <t xml:space="preserve"> - Meals on 29/10/2018</t>
  </si>
  <si>
    <t>Professional fees of preparing accounts</t>
  </si>
  <si>
    <t>31st Oct 2018</t>
  </si>
  <si>
    <t>V2018/973</t>
  </si>
  <si>
    <t>PGTEFT3599</t>
  </si>
  <si>
    <t>29th Oct 2018</t>
  </si>
  <si>
    <t xml:space="preserve"> - www.penangglobaltourism.com</t>
  </si>
  <si>
    <t>Renewal of domain :</t>
  </si>
  <si>
    <t>(Period : Sep 2018 - Aug 2019)</t>
  </si>
  <si>
    <t>Renewal of website hosting :</t>
  </si>
  <si>
    <t xml:space="preserve"> - www.mypenang.gov.my</t>
  </si>
  <si>
    <t xml:space="preserve"> SST 6%</t>
  </si>
  <si>
    <t>V2018/976</t>
  </si>
  <si>
    <t>PGTEFT3602</t>
  </si>
  <si>
    <t>Kelab Lumba Kuda Pulau Pinang</t>
  </si>
  <si>
    <t>Penang Turf Club</t>
  </si>
  <si>
    <t>Race Course, Batu Gantong Road</t>
  </si>
  <si>
    <t>Tel : 04-238 5277</t>
  </si>
  <si>
    <t>11/10/2018</t>
  </si>
  <si>
    <t>MI180138</t>
  </si>
  <si>
    <t>Full page ad on annual publication of Penang Turf Club</t>
  </si>
  <si>
    <t>2019 Issue</t>
  </si>
  <si>
    <t>SST 6%</t>
  </si>
  <si>
    <t>Meticbiz Sdn Bhd</t>
  </si>
  <si>
    <t>Corner of Jalan Hutton and Lebuh Clarke</t>
  </si>
  <si>
    <t>10050 Georgetown Pulau Pinang</t>
  </si>
  <si>
    <t>Tel : 04-261 1891</t>
  </si>
  <si>
    <t xml:space="preserve">Hotel Penaga </t>
  </si>
  <si>
    <t>1st Nov 2018</t>
  </si>
  <si>
    <t>V2018/994</t>
  </si>
  <si>
    <t>PGTEFT3618</t>
  </si>
  <si>
    <t>Lam Chooi Kheng</t>
  </si>
  <si>
    <t>www.what2seeonline.com</t>
  </si>
  <si>
    <t xml:space="preserve">Thailand Joint Promotion Campaign with TM &amp; AA Thailand </t>
  </si>
  <si>
    <t>July to September</t>
  </si>
  <si>
    <t>16/10/2018</t>
  </si>
  <si>
    <t>Invoice : 65</t>
  </si>
  <si>
    <t>Professional fee for tour guide on 25/10-29/10/2018</t>
  </si>
  <si>
    <t>25/10/2018</t>
  </si>
  <si>
    <t>V2018/999</t>
  </si>
  <si>
    <t>688305</t>
  </si>
  <si>
    <t>BFM Media Sdn Bhd</t>
  </si>
  <si>
    <t>3A.7, Menara Ken TTDI</t>
  </si>
  <si>
    <t>37, Jalan Burhanuddin Helmi</t>
  </si>
  <si>
    <t>Ads - Radio</t>
  </si>
  <si>
    <t>23/10/2018</t>
  </si>
  <si>
    <t>20180323</t>
  </si>
  <si>
    <t>Radion Advertising for GTLF in BFM 89.90</t>
  </si>
  <si>
    <t>Reimbursment for :</t>
  </si>
  <si>
    <t>V2018/1004</t>
  </si>
  <si>
    <t>PGTEFT3626</t>
  </si>
  <si>
    <t>Qatar Airways Romania Media FAM on 28th-30th Oct 2018</t>
  </si>
  <si>
    <t>Hotel accommodation for 9 rooms nights</t>
  </si>
  <si>
    <t>Hote Fee</t>
  </si>
  <si>
    <t>V2018/1014</t>
  </si>
  <si>
    <t>PGTEFT3632</t>
  </si>
  <si>
    <t>30/10/2018</t>
  </si>
  <si>
    <t>31/10/2018</t>
  </si>
  <si>
    <t>30th Nov 2018</t>
  </si>
  <si>
    <t xml:space="preserve">as per schedule </t>
  </si>
  <si>
    <t>1st Dec 2018</t>
  </si>
  <si>
    <t>1/12/2018</t>
  </si>
  <si>
    <t>V2018/1053</t>
  </si>
  <si>
    <t>PGTEFT3664</t>
  </si>
  <si>
    <t>Car Park Space for the month of Dec 2018</t>
  </si>
  <si>
    <t>688315</t>
  </si>
  <si>
    <t>V2018/1012</t>
  </si>
  <si>
    <t>Travelogy.com Pte Ltd</t>
  </si>
  <si>
    <t>V2018/203</t>
  </si>
  <si>
    <t>PGTEFT3011</t>
  </si>
  <si>
    <t>2, Venture Drive</t>
  </si>
  <si>
    <t>#14-09, Vision Exchange</t>
  </si>
  <si>
    <t>608526 Singapore</t>
  </si>
  <si>
    <t>Arabian Travel Mart Dubai</t>
  </si>
  <si>
    <t>Tactical Campaign - Singapore</t>
  </si>
  <si>
    <t>TZ1118</t>
  </si>
  <si>
    <t xml:space="preserve">Digital Branding with Tripzillar for Sg &amp; PHP </t>
  </si>
  <si>
    <t>in Oct - Dec 2018</t>
  </si>
  <si>
    <t>(SGD30,000 @ 3.0613)</t>
  </si>
  <si>
    <t>S'pre airlines - SilverKrs (Nov'18)</t>
  </si>
  <si>
    <t>(SGD21,823.52 @ 3.0688)</t>
  </si>
  <si>
    <t>V2018/1058</t>
  </si>
  <si>
    <t>Babajob Sdn Bhd</t>
  </si>
  <si>
    <t>No.6 Lorong Kuini Satu</t>
  </si>
  <si>
    <t xml:space="preserve">Jalan Muthupalaniappa </t>
  </si>
  <si>
    <t>29/11/2018</t>
  </si>
  <si>
    <t>B1811042</t>
  </si>
  <si>
    <t>Plain Polo Tshirt Short Sleeve - 100pcs</t>
  </si>
  <si>
    <t>(Black &amp; White)</t>
  </si>
  <si>
    <t>V2018/1060</t>
  </si>
  <si>
    <t>PGTEFT3666</t>
  </si>
  <si>
    <t xml:space="preserve">Raja Muda Sports Regatta </t>
  </si>
  <si>
    <t>21/11/2018</t>
  </si>
  <si>
    <t>21112018/01/pgt</t>
  </si>
  <si>
    <t>Chinese Acrobatic - Internal power, fire eaeter &amp; Dart Blower</t>
  </si>
  <si>
    <t>24 seasons drums</t>
  </si>
  <si>
    <t>V2018/1065</t>
  </si>
  <si>
    <t>PGTEFT3671</t>
  </si>
  <si>
    <t>Penang Seminar @ Guanzhou</t>
  </si>
  <si>
    <t>4/10/2018</t>
  </si>
  <si>
    <t>DIHYT7030</t>
  </si>
  <si>
    <t>China Visa - Yoon Pauline</t>
  </si>
  <si>
    <t>Top Urgent</t>
  </si>
  <si>
    <t>V2018/1066</t>
  </si>
  <si>
    <t>PGTEFT3672</t>
  </si>
  <si>
    <t xml:space="preserve">146, Lebuh Melaka </t>
  </si>
  <si>
    <t>10400 George Town</t>
  </si>
  <si>
    <t>Tel : 04-2277 606</t>
  </si>
  <si>
    <t>DO1810-124</t>
  </si>
  <si>
    <t xml:space="preserve">Print of Flags </t>
  </si>
  <si>
    <t>Penang Seminar @ Japan</t>
  </si>
  <si>
    <t>19610</t>
  </si>
  <si>
    <t>Guide fee on 30/10/2018</t>
  </si>
  <si>
    <t>Guide fee on 1/11/2018</t>
  </si>
  <si>
    <t>Guide fee on 2/11/2018</t>
  </si>
  <si>
    <t>10/11/2018</t>
  </si>
  <si>
    <t>30/11/2018</t>
  </si>
  <si>
    <t>V2018/1091</t>
  </si>
  <si>
    <t>688318</t>
  </si>
  <si>
    <t>27/11/2018</t>
  </si>
  <si>
    <t>HG/1159-11-18</t>
  </si>
  <si>
    <t>Electrical installation for HAB @ Esplanade</t>
  </si>
  <si>
    <t>10/12/2018</t>
  </si>
  <si>
    <t>1st payment for Penang HAB</t>
  </si>
  <si>
    <t>15% of total RM 805,610</t>
  </si>
  <si>
    <t>2nd payment for Penang HAB</t>
  </si>
  <si>
    <t>45% of total RM 805,610</t>
  </si>
  <si>
    <t>V2018/1100</t>
  </si>
  <si>
    <t>688326</t>
  </si>
  <si>
    <t>13th Dec 2018</t>
  </si>
  <si>
    <t>TX1049083</t>
  </si>
  <si>
    <t>PMED - Indonesia Medias/Bloggers FAM on 5th - 9th Dec 2018</t>
  </si>
  <si>
    <t xml:space="preserve">Hotel Accommodation - 14 pax x 68 room nights </t>
  </si>
  <si>
    <t xml:space="preserve">Tourism Tax </t>
  </si>
  <si>
    <t>5/12/2018</t>
  </si>
  <si>
    <t>5000379</t>
  </si>
  <si>
    <t>Buffet dinner hosting on 5/12/2018 - 55pax</t>
  </si>
  <si>
    <t>V2018/1108</t>
  </si>
  <si>
    <t>PGTEFT3705</t>
  </si>
  <si>
    <t>BOD Meeting Allownace for the year of 2017</t>
  </si>
  <si>
    <t>V2018/1109</t>
  </si>
  <si>
    <t>PGTEFT3707</t>
  </si>
  <si>
    <t>Dato' Rosli bin Jaafar</t>
  </si>
  <si>
    <t>I/C : 590221-01-5103</t>
  </si>
  <si>
    <t>V2018/1111</t>
  </si>
  <si>
    <t>17th Dec 2018</t>
  </si>
  <si>
    <t>(Period : 8/12/2018 - 7/12/2019)</t>
  </si>
  <si>
    <t>V2018/1117</t>
  </si>
  <si>
    <t>PGTEFT3713</t>
  </si>
  <si>
    <t>MY00200233704</t>
  </si>
  <si>
    <t>Being services rendered for submission of CP204A YA 2019</t>
  </si>
  <si>
    <t>Maxim Holidays Sdn Bhd</t>
  </si>
  <si>
    <t>26-2nd Floor, Precint 1 @ Sunway Wellesley</t>
  </si>
  <si>
    <t>Jalan Muthupalaniappan</t>
  </si>
  <si>
    <t>18th Dec 2018</t>
  </si>
  <si>
    <t>V2018/1152</t>
  </si>
  <si>
    <t>688335</t>
  </si>
  <si>
    <t>Souvenirs</t>
  </si>
  <si>
    <t>19th Dec 2018</t>
  </si>
  <si>
    <t>Edaran Tan Chong Motor (Utara) Sdn BHd</t>
  </si>
  <si>
    <t>No.7, Jalan Besar</t>
  </si>
  <si>
    <t>Taman Perindustrian</t>
  </si>
  <si>
    <t>Motor Vehicle</t>
  </si>
  <si>
    <t>Booking fee for purchase a new company car</t>
  </si>
  <si>
    <t>V2018/1154</t>
  </si>
  <si>
    <t>PGTEFT3740</t>
  </si>
  <si>
    <t>Bumi Maju Sentral Sdn Bhd</t>
  </si>
  <si>
    <t>Hardwicked House Penang</t>
  </si>
  <si>
    <t>67, Jalan Sultan Ahmad Shah</t>
  </si>
  <si>
    <t>PMED - Indonesia Medias/Bloggers on 5-9th Dec 2018</t>
  </si>
  <si>
    <t>9/12/2018</t>
  </si>
  <si>
    <t>3817</t>
  </si>
  <si>
    <t>Dinner hosting on 9/12/2018</t>
  </si>
  <si>
    <t xml:space="preserve">Facebook boosting </t>
  </si>
  <si>
    <t>V2018/1147</t>
  </si>
  <si>
    <t>Cheese Advertising Co. Ltd</t>
  </si>
  <si>
    <t>5F, No.24, Lane 260m Guangfu S. Rd.</t>
  </si>
  <si>
    <t xml:space="preserve">Da-an District </t>
  </si>
  <si>
    <t>Taipei City 106</t>
  </si>
  <si>
    <t>Taiwan</t>
  </si>
  <si>
    <t>CH107112001</t>
  </si>
  <si>
    <t xml:space="preserve">PR Fee for Penang Seminar </t>
  </si>
  <si>
    <t>(USD4,731.04 @ 4,2223)</t>
  </si>
  <si>
    <t>PGTEFT3747</t>
  </si>
  <si>
    <t>V2018/1167</t>
  </si>
  <si>
    <t>26th Dec 2018</t>
  </si>
  <si>
    <t>INV 911703</t>
  </si>
  <si>
    <t>To replace door access controller reader include installation</t>
  </si>
  <si>
    <t xml:space="preserve">testing commissioning </t>
  </si>
  <si>
    <t>V2018/1168</t>
  </si>
  <si>
    <t>PGTEFT3748</t>
  </si>
  <si>
    <t>14/12/2018</t>
  </si>
  <si>
    <t>16018/11310</t>
  </si>
  <si>
    <t>Refreshment catering service on 14/12/2018</t>
  </si>
  <si>
    <t>6/11/2018</t>
  </si>
  <si>
    <t>My Horizon Media Sdn Bhd</t>
  </si>
  <si>
    <t>A-06-07 Atria Sofo Suites</t>
  </si>
  <si>
    <t>Jalan SS 22/23, Damansara Jaya</t>
  </si>
  <si>
    <t>474700 Petaling Jaya, Selangor</t>
  </si>
  <si>
    <t xml:space="preserve">50% Deposit of maintaining &amp; updating PGT Weibo &amp; </t>
  </si>
  <si>
    <t>Wechat account</t>
  </si>
  <si>
    <t xml:space="preserve">50% of total RM52,000 </t>
  </si>
  <si>
    <t>Weibo account bossting advertising credit (full payment)</t>
  </si>
  <si>
    <t>V2018/1196</t>
  </si>
  <si>
    <t>28th Dec 2018</t>
  </si>
  <si>
    <t>PGTEFT3770</t>
  </si>
  <si>
    <t>24/12/2018</t>
  </si>
  <si>
    <t>CS1812/0441</t>
  </si>
  <si>
    <t>Christmas Cane for Welcoming Reception on 25/12/2018</t>
  </si>
  <si>
    <t>V2018/1198</t>
  </si>
  <si>
    <t>PGTEFT3772</t>
  </si>
  <si>
    <t>Foong Chee Yin</t>
  </si>
  <si>
    <t>17 Lorong Alma Indah 10</t>
  </si>
  <si>
    <t>Taman Alma Indah</t>
  </si>
  <si>
    <t>Tel : 017-505 4193</t>
  </si>
  <si>
    <t>Trade Brochure</t>
  </si>
  <si>
    <t>Translation fee for trade foldable brochure English - Chi</t>
  </si>
  <si>
    <t>PGTEFT3776</t>
  </si>
  <si>
    <t>V2018/1160</t>
  </si>
  <si>
    <t>20th Dec 2018</t>
  </si>
  <si>
    <t>50% Balance Campaign Fee (May to Oct 2018)</t>
  </si>
  <si>
    <t>(USD25,600 @ 4.2293)</t>
  </si>
  <si>
    <t>Modetour Network</t>
  </si>
  <si>
    <t>5F, Baiknam B/D, 188-3 Euljiro 1-ga</t>
  </si>
  <si>
    <t>Jung-Gu, Seoul Korea, 100-91</t>
  </si>
  <si>
    <t>V2018/1203</t>
  </si>
  <si>
    <t xml:space="preserve">J&amp;A Productions </t>
  </si>
  <si>
    <t>4th Jan 2019</t>
  </si>
  <si>
    <t>Media Campaign - Indonesia</t>
  </si>
  <si>
    <t>CT2018112769</t>
  </si>
  <si>
    <t>Ads on Citilink In-flight Magazine - November 2018</t>
  </si>
  <si>
    <t>(IDR 63,000 @ 0.000306)</t>
  </si>
  <si>
    <t>17/12/2018</t>
  </si>
  <si>
    <t>CT2018122809</t>
  </si>
  <si>
    <t>Ads on Citilink In-flight Magazine - December 2018</t>
  </si>
  <si>
    <t>(JPY300,000 @ 0.039018)</t>
  </si>
  <si>
    <t xml:space="preserve">Advertorial Articles with FIT packages </t>
  </si>
  <si>
    <t>PGT-001</t>
  </si>
  <si>
    <t>Tokyo Japan</t>
  </si>
  <si>
    <t>Shibuya-ku</t>
  </si>
  <si>
    <t>Cerulean tower 15F, 26-1 Sakuragaoka</t>
  </si>
  <si>
    <t>ID, INC</t>
  </si>
  <si>
    <t>V2019/007</t>
  </si>
  <si>
    <t>Guide fee on 27/1/2018 - 2 hours</t>
  </si>
  <si>
    <t>Guide fee on 3/1/2018 - 2 hours</t>
  </si>
  <si>
    <t>Guide fee on 18/1/2018 - 2 hours</t>
  </si>
  <si>
    <t>Guide fee on 20/1/2018 - 2 hours</t>
  </si>
  <si>
    <t>Guide fee on 30/1/2018 - 2 hours</t>
  </si>
  <si>
    <t>1st/Jan/18</t>
  </si>
  <si>
    <t>Guide fee on 20/1/2018</t>
  </si>
  <si>
    <t>29/2/2018</t>
  </si>
  <si>
    <t>2nd/Jan/18</t>
  </si>
  <si>
    <t>Guide fee on 27/1/2018</t>
  </si>
  <si>
    <t>Gemilang Pesona Fasiliti (M) Sdn BHd</t>
  </si>
  <si>
    <t>Block 239-Ground Floor</t>
  </si>
  <si>
    <t>Unit 3 Tingkat Nusantara, Jalan Perak</t>
  </si>
  <si>
    <t>Car Park Space</t>
  </si>
  <si>
    <t>Caritech Sdn Bhd</t>
  </si>
  <si>
    <t xml:space="preserve">29C-3A-17, Maritime </t>
  </si>
  <si>
    <t>Persiaran Karpal Singh 2</t>
  </si>
  <si>
    <t>Dev. Of PGT Website</t>
  </si>
  <si>
    <t>10/1/2019</t>
  </si>
  <si>
    <t>23/1/2019</t>
  </si>
  <si>
    <t>V2019/077</t>
  </si>
  <si>
    <t>PGTEFT3843</t>
  </si>
  <si>
    <t>30th Jan 2019</t>
  </si>
  <si>
    <t xml:space="preserve"> - Website design &amp; development</t>
  </si>
  <si>
    <t xml:space="preserve"> - Content Acquisition</t>
  </si>
  <si>
    <t xml:space="preserve"> - Website analytics configuration</t>
  </si>
  <si>
    <t xml:space="preserve"> - Web domain &amp; hosting</t>
  </si>
  <si>
    <t xml:space="preserve"> - Specific customisations</t>
  </si>
  <si>
    <t xml:space="preserve">Domain &amp; Hosting Transfer </t>
  </si>
  <si>
    <t>CR1085-19-IN-PGT</t>
  </si>
  <si>
    <t>Wedding Tourism</t>
  </si>
  <si>
    <t xml:space="preserve">Website Development Pacakge </t>
  </si>
  <si>
    <t>(30% of total RM2,500)</t>
  </si>
  <si>
    <t>Kelvin Ong Ghee Tien</t>
  </si>
  <si>
    <t xml:space="preserve">1, Jeti Baru </t>
  </si>
  <si>
    <t>Pengkalan Weld</t>
  </si>
  <si>
    <t>Tel : 019-415 0331</t>
  </si>
  <si>
    <t>V2019/087</t>
  </si>
  <si>
    <t>PGTEFT3853</t>
  </si>
  <si>
    <t>Metro View Enterprise</t>
  </si>
  <si>
    <t>Blok21-3-1, Solok Sungai Pinang 6</t>
  </si>
  <si>
    <t xml:space="preserve">Stationery </t>
  </si>
  <si>
    <t>02798</t>
  </si>
  <si>
    <t>Letter Head  - 1,000pcs</t>
  </si>
  <si>
    <t>28/1/2019</t>
  </si>
  <si>
    <t>1/2/2019</t>
  </si>
  <si>
    <t>Chailek Sae-Teng</t>
  </si>
  <si>
    <t>Natthineethiti Phinyapincha</t>
  </si>
  <si>
    <t>Sathor Residence (Room 203), 59/1 Soi Yenchit 6</t>
  </si>
  <si>
    <t>Chan 24 Rd, Kweng Thungwatdon, Khet Sathorn</t>
  </si>
  <si>
    <t>Bangkok 10120</t>
  </si>
  <si>
    <t>3% VAT</t>
  </si>
  <si>
    <t>Translation/copywriting</t>
  </si>
  <si>
    <t>30/1/2019</t>
  </si>
  <si>
    <t>V2019/107</t>
  </si>
  <si>
    <t>PGTEFT3863</t>
  </si>
  <si>
    <t>13th Feb 2019</t>
  </si>
  <si>
    <t>50% Deposit for Here&amp; Now + Experience Pg 2020 Video</t>
  </si>
  <si>
    <t>(50% of total RM30,750)</t>
  </si>
  <si>
    <t>ITB Berlin</t>
  </si>
  <si>
    <t>(THB25,750 @ 0.1382)</t>
  </si>
  <si>
    <t>V2019/138</t>
  </si>
  <si>
    <t>15th Feb 2019</t>
  </si>
  <si>
    <t>2019/04</t>
  </si>
  <si>
    <t>Typesetting fee for Penang Calendar of Event 2019</t>
  </si>
  <si>
    <t>2019/05</t>
  </si>
  <si>
    <t>Printing of summarised calendar of events (Thai) - 2,000pcs</t>
  </si>
  <si>
    <t>(50% balance payment of THB30,900)</t>
  </si>
  <si>
    <t>19th Feb 2019</t>
  </si>
  <si>
    <t>V2019/147</t>
  </si>
  <si>
    <t>PGTEFT3894</t>
  </si>
  <si>
    <t>Low Yen Peng</t>
  </si>
  <si>
    <t>I/C : 901216-07-5246</t>
  </si>
  <si>
    <t>dated 22.1.2019</t>
  </si>
  <si>
    <t>Penang Roadshow in India</t>
  </si>
  <si>
    <t xml:space="preserve"> - Wifi router</t>
  </si>
  <si>
    <t>I/C : 900210-02-5120</t>
  </si>
  <si>
    <t>V2019/155</t>
  </si>
  <si>
    <t>7/2/2019</t>
  </si>
  <si>
    <t>Aidil Travel &amp; Tours Sdn Bhd</t>
  </si>
  <si>
    <t>No.37 &amp; 39, Jalan Lim Bo Seng</t>
  </si>
  <si>
    <t>30330 Ipoh Perak</t>
  </si>
  <si>
    <t>14/2/2019</t>
  </si>
  <si>
    <t>HPT0000520</t>
  </si>
  <si>
    <t>Air Ticket - YB Yeoh Soon Hin</t>
  </si>
  <si>
    <t>(PEN-DIA-MUC//BER-KUL-PEN)</t>
  </si>
  <si>
    <t>(MUC-BER)</t>
  </si>
  <si>
    <t>Hotel Accommodation - YB Yeoh</t>
  </si>
  <si>
    <t>15/2/2019</t>
  </si>
  <si>
    <t>HPT0000522</t>
  </si>
  <si>
    <t>Air Ticket - Chong Kah Yuan</t>
  </si>
  <si>
    <t>Hotel Accommodation - Chong Kah Yuan</t>
  </si>
  <si>
    <t>HPT0017971</t>
  </si>
  <si>
    <t>Air Ticket - Ooi Chok Yan</t>
  </si>
  <si>
    <t>(PEN-DIA-MUC-DIA-KUL-PEN)</t>
  </si>
  <si>
    <t>(MUN-BER-MUC)</t>
  </si>
  <si>
    <t>PGTEFT3921</t>
  </si>
  <si>
    <t>V2019/179</t>
  </si>
  <si>
    <t>1st Mar 2019</t>
  </si>
  <si>
    <t>V2019/186</t>
  </si>
  <si>
    <t>PGTEFT3928</t>
  </si>
  <si>
    <t>Anovia Bridal Sdn Bhd</t>
  </si>
  <si>
    <t>No.18, Jalan Bagan Jermal</t>
  </si>
  <si>
    <t>Penang Roadshow @ China</t>
  </si>
  <si>
    <t>20/2/2019</t>
  </si>
  <si>
    <t>000001295</t>
  </si>
  <si>
    <t>Printing of Trade foldable - 3,200 bks</t>
  </si>
  <si>
    <t>Printing of Trade booklet - 3,200ks</t>
  </si>
  <si>
    <t>Printing of Calendar of Events - 3,200bks</t>
  </si>
  <si>
    <t>Printing of Pg Here &amp; Now - 3,200 bks</t>
  </si>
  <si>
    <t>Cheah Hock Lye</t>
  </si>
  <si>
    <t>I/C : 660104-07-5685</t>
  </si>
  <si>
    <t>310A, West Jelutong</t>
  </si>
  <si>
    <t>Discover Vacations Sdn Bhd</t>
  </si>
  <si>
    <t>Tower L 14-8, Jalan 3/39A</t>
  </si>
  <si>
    <t xml:space="preserve">Warisan Cityview </t>
  </si>
  <si>
    <t xml:space="preserve">Off Batu 2 1/2 </t>
  </si>
  <si>
    <t xml:space="preserve">Jalan Cheras </t>
  </si>
  <si>
    <t>56100 Kuala Lumpur</t>
  </si>
  <si>
    <t>V2019/198</t>
  </si>
  <si>
    <t>PGTEFT3934</t>
  </si>
  <si>
    <t>Translation of Calander of Events - Additions</t>
  </si>
  <si>
    <t>(Eng&gt;Traditional Chinese &amp; Simplified Chinese)</t>
  </si>
  <si>
    <t>(THB25,750 @ 0.1386)</t>
  </si>
  <si>
    <t>20th Feb 2019</t>
  </si>
  <si>
    <t>Media Hub International LLC</t>
  </si>
  <si>
    <t xml:space="preserve">PO Box 91630 </t>
  </si>
  <si>
    <t>Dubai UAE</t>
  </si>
  <si>
    <t>24/1/2019</t>
  </si>
  <si>
    <t>MHI201821</t>
  </si>
  <si>
    <t xml:space="preserve">Translation for MyPenang Website Content </t>
  </si>
  <si>
    <t>(Eng&gt;Arabic)</t>
  </si>
  <si>
    <t xml:space="preserve">Translation for MyPenang Website Stories </t>
  </si>
  <si>
    <t xml:space="preserve">Tax </t>
  </si>
  <si>
    <t>8th Mar 2019</t>
  </si>
  <si>
    <t>V2019/214</t>
  </si>
  <si>
    <t>PGTEFT3949</t>
  </si>
  <si>
    <t>12018SST3496</t>
  </si>
  <si>
    <t>JTB World Vacations All Day Pass - 6 pax</t>
  </si>
  <si>
    <t>V2019/215</t>
  </si>
  <si>
    <t>PGTEFT3950</t>
  </si>
  <si>
    <t>AirAsia X Fukoka Travel Agents &amp; Media FAM on 1-4th Mar 2019</t>
  </si>
  <si>
    <t>Statement of claim dated</t>
  </si>
  <si>
    <t>4.3.2019</t>
  </si>
  <si>
    <t xml:space="preserve"> - Meals on 1/3/2019</t>
  </si>
  <si>
    <t xml:space="preserve"> - Meals on 2/3/2019</t>
  </si>
  <si>
    <t xml:space="preserve"> - Meals on 3/3/2019</t>
  </si>
  <si>
    <t>V2019/190</t>
  </si>
  <si>
    <t>Marketing And Awarness Solutions Co Ltd</t>
  </si>
  <si>
    <t>23 Soi Phokawe 3</t>
  </si>
  <si>
    <t>Yeak 6/1. Phokawe Rd</t>
  </si>
  <si>
    <t>Bangkapi, Bangkok</t>
  </si>
  <si>
    <t>TITF#24 2019</t>
  </si>
  <si>
    <t>Booth Design &amp; Construction for TITF</t>
  </si>
  <si>
    <t>(THB150,918.69 @ 7.396285)</t>
  </si>
  <si>
    <t>Horizon Travel Marketing Consulting Guangzhou Co Ltd</t>
  </si>
  <si>
    <t xml:space="preserve">Room 1008, Time Square (West) </t>
  </si>
  <si>
    <t>No.28, North Tianhe Road</t>
  </si>
  <si>
    <t>Guangzhou China</t>
  </si>
  <si>
    <t>50% payment for Douyin Campaign</t>
  </si>
  <si>
    <t xml:space="preserve">at GD, Sichuang, Beijing, Shanghai, Xiamen, Kunming </t>
  </si>
  <si>
    <t>50% payment for other media advertisement</t>
  </si>
  <si>
    <t xml:space="preserve">50% payment for Flight Tickets </t>
  </si>
  <si>
    <t>(USD37,300 @ 4.1213)</t>
  </si>
  <si>
    <t>V2019/226</t>
  </si>
  <si>
    <t>PGTEFT3957</t>
  </si>
  <si>
    <t>22th Mar 2019</t>
  </si>
  <si>
    <t>8/3/2019</t>
  </si>
  <si>
    <t>Performance for Porsche Club Malaysia Group</t>
  </si>
  <si>
    <t>on 7/3/2019</t>
  </si>
  <si>
    <t>V2019/232</t>
  </si>
  <si>
    <t>PGTEFT3963</t>
  </si>
  <si>
    <t>10/3/2019</t>
  </si>
  <si>
    <t>24108</t>
  </si>
  <si>
    <t>Injet Printing Foamboard Cutting</t>
  </si>
  <si>
    <t>V2019/234</t>
  </si>
  <si>
    <t>PGTEFT3965</t>
  </si>
  <si>
    <t xml:space="preserve">Goh Yen Ting </t>
  </si>
  <si>
    <t>25-18-06, Century Park</t>
  </si>
  <si>
    <t>Persiaran Batu Uban</t>
  </si>
  <si>
    <t>11900 Gelugor</t>
  </si>
  <si>
    <t>I/C : 940919-02-6362</t>
  </si>
  <si>
    <t>7/3/2019</t>
  </si>
  <si>
    <t>I19030700YT</t>
  </si>
  <si>
    <t>Trade Booklet</t>
  </si>
  <si>
    <t>Designing fee for Trade Foldable - Chinese</t>
  </si>
  <si>
    <t>Designing fee for Trade Booklet - Chinese</t>
  </si>
  <si>
    <t>V2019/235</t>
  </si>
  <si>
    <t>PGTEFT3966</t>
  </si>
  <si>
    <t>Gooi Hean Kar</t>
  </si>
  <si>
    <t>24, Lorong Tenang 3</t>
  </si>
  <si>
    <t>Taman Sri Tenang</t>
  </si>
  <si>
    <t>I/C : 630423-07-5749</t>
  </si>
  <si>
    <t>AirAsia X Fukoka Travel Agent &amp; Media FAM on 1-4 Mar 2019</t>
  </si>
  <si>
    <t>4/3/2019</t>
  </si>
  <si>
    <t>100</t>
  </si>
  <si>
    <t>Japanese Guiding Fee for 4 days</t>
  </si>
  <si>
    <t xml:space="preserve">Broadcasting @ Lite FM </t>
  </si>
  <si>
    <t xml:space="preserve">Broadcasting @ Mix FM </t>
  </si>
  <si>
    <t xml:space="preserve">Broadcasting @ Sinar FM </t>
  </si>
  <si>
    <t>V2019/281</t>
  </si>
  <si>
    <t>PGTEFT3996</t>
  </si>
  <si>
    <t>27th Mar 2019</t>
  </si>
  <si>
    <t>12/3/2019</t>
  </si>
  <si>
    <t>36867</t>
  </si>
  <si>
    <t xml:space="preserve">Additional hours of transportation for PETACH </t>
  </si>
  <si>
    <t>11/3/2019</t>
  </si>
  <si>
    <t>JV International Joint Stock Company</t>
  </si>
  <si>
    <t xml:space="preserve">No.8 Block 14A </t>
  </si>
  <si>
    <t>Trung Hao St Trung Yen Cau Giay Hanoi</t>
  </si>
  <si>
    <t>Vietnam International Travel Mart Hanoi 2019</t>
  </si>
  <si>
    <t>09/VITM-2019</t>
  </si>
  <si>
    <t>Raw Space Corner (USD7,128 @ 4.1323)</t>
  </si>
  <si>
    <t>V2019/225</t>
  </si>
  <si>
    <t>11th March 2019</t>
  </si>
  <si>
    <t>V2019/273</t>
  </si>
  <si>
    <t>26th March 2019</t>
  </si>
  <si>
    <t xml:space="preserve">Lotte Hotel </t>
  </si>
  <si>
    <t xml:space="preserve">1, Songong-Dong </t>
  </si>
  <si>
    <t>Jung-Gu</t>
  </si>
  <si>
    <t>Seoul Korea</t>
  </si>
  <si>
    <t>Experience Penang 2020 Roadshow - Korea</t>
  </si>
  <si>
    <t>2/4/2019</t>
  </si>
  <si>
    <t>Invoice</t>
  </si>
  <si>
    <t>Food &amp; beverages catering on 2.4.2019</t>
  </si>
  <si>
    <t>Stage Banner</t>
  </si>
  <si>
    <t>(USD9,711 @ 4.1213)</t>
  </si>
  <si>
    <t>V2019/274</t>
  </si>
  <si>
    <t>Jeeyoun Kim</t>
  </si>
  <si>
    <t>Professional MC/Interpreter</t>
  </si>
  <si>
    <t>Interpretation fee @ Lotte Seoul</t>
  </si>
  <si>
    <t>Interpretation fee @ Lotte Busan</t>
  </si>
  <si>
    <t>V2019/277</t>
  </si>
  <si>
    <t>Busan Lotte Hotel</t>
  </si>
  <si>
    <t>503-15, Bujeon-Dong</t>
  </si>
  <si>
    <t>Busan  Jin-Gu</t>
  </si>
  <si>
    <t>Busan Korea</t>
  </si>
  <si>
    <t>6/3/2019</t>
  </si>
  <si>
    <t>SP190306-01</t>
  </si>
  <si>
    <t>Seminar &amp; Dinner on 4/4/2019</t>
  </si>
  <si>
    <t>(USD8,071 @ 4.1213)</t>
  </si>
  <si>
    <t>(By Hotel Fee)</t>
  </si>
  <si>
    <t>31/3/2019</t>
  </si>
  <si>
    <t>8th April 2019</t>
  </si>
  <si>
    <t>3/4/2019</t>
  </si>
  <si>
    <t>V2019/310</t>
  </si>
  <si>
    <t>PGTEFT4022</t>
  </si>
  <si>
    <t>9/3/2019</t>
  </si>
  <si>
    <t xml:space="preserve">Meals arragement </t>
  </si>
  <si>
    <t>V2019/340</t>
  </si>
  <si>
    <t xml:space="preserve">Publicity - Penang Int. Food Festival </t>
  </si>
  <si>
    <t>3572292420</t>
  </si>
  <si>
    <t>Online Advertising via YouTube (7/3-27/3/2019)</t>
  </si>
  <si>
    <t>688382</t>
  </si>
  <si>
    <t>V2019/347</t>
  </si>
  <si>
    <t>PGTEFT4050</t>
  </si>
  <si>
    <t>17th Apr 2019</t>
  </si>
  <si>
    <t>INV09002</t>
  </si>
  <si>
    <t>Printing of Yosakoi A5 Flyers - 20,000pcs</t>
  </si>
  <si>
    <t>Printing of Yosakoi A3 event map - 10,000pcs</t>
  </si>
  <si>
    <t>Printing of Yosakoi A3 poster - 200pcs</t>
  </si>
  <si>
    <t>Printing of Yosakoi A4 poster - 800pcs</t>
  </si>
  <si>
    <t>V2019/351</t>
  </si>
  <si>
    <t>PGTEFT4054</t>
  </si>
  <si>
    <t>15/4/2019</t>
  </si>
  <si>
    <t>6970</t>
  </si>
  <si>
    <t>TVB TV Programme Shooting on 9-12th Apr 2019</t>
  </si>
  <si>
    <t>Transportation &amp; Guide for 4 days (13 pax)</t>
  </si>
  <si>
    <t>V2019/354</t>
  </si>
  <si>
    <t>PGTEFT4057</t>
  </si>
  <si>
    <t>IN20816</t>
  </si>
  <si>
    <t xml:space="preserve">Backdrop with installation - 10ft x 16ft </t>
  </si>
  <si>
    <t>Banner - 10ft x 4ft - 44pcs</t>
  </si>
  <si>
    <t>Streamer with tripod stand - 4pcs</t>
  </si>
  <si>
    <t>Streamer - 9pcs</t>
  </si>
  <si>
    <t>V2019/355</t>
  </si>
  <si>
    <t>PGTEFT4058</t>
  </si>
  <si>
    <t>Kok Chun Khai</t>
  </si>
  <si>
    <t>10/4/2019</t>
  </si>
  <si>
    <t>Photography coverage for PGT (Jan - Mar'19)</t>
  </si>
  <si>
    <t>29th Apr 2019</t>
  </si>
  <si>
    <t>V2019/380</t>
  </si>
  <si>
    <t>PGTEFT4080</t>
  </si>
  <si>
    <t>Eqtd Consulting Sdn Bhd</t>
  </si>
  <si>
    <t>54, Lengkok Za'aba</t>
  </si>
  <si>
    <t>Taman Tun Dr. Ismail</t>
  </si>
  <si>
    <t>Tel : 03-7727 9199</t>
  </si>
  <si>
    <t>David Rocco's Dolce Southeast Asia Shooting</t>
  </si>
  <si>
    <t>EQ9:01/04/19</t>
  </si>
  <si>
    <t>Ground transport to and from KL, Ground transport in Penang</t>
  </si>
  <si>
    <t>for David Rocco &amp; 8 member crew</t>
  </si>
  <si>
    <t>1/5/2019</t>
  </si>
  <si>
    <t>MB Exhibitions (Shanghai) Co Ltd</t>
  </si>
  <si>
    <t>4235 Wheelock Square</t>
  </si>
  <si>
    <t>1717 West Nanjing Raod</t>
  </si>
  <si>
    <t>Shanghai China</t>
  </si>
  <si>
    <t xml:space="preserve">ITB China Shanghai </t>
  </si>
  <si>
    <t>'28/3/2019</t>
  </si>
  <si>
    <t xml:space="preserve">Raw Space </t>
  </si>
  <si>
    <t>Appointment set with listing</t>
  </si>
  <si>
    <t>Listing</t>
  </si>
  <si>
    <t>Badges</t>
  </si>
  <si>
    <t>VAT 6%</t>
  </si>
  <si>
    <t>Surcharge 12%</t>
  </si>
  <si>
    <t>18th Apr 2019</t>
  </si>
  <si>
    <t>V2019/346</t>
  </si>
  <si>
    <t>I20181128142357-2</t>
  </si>
  <si>
    <t>3/5/2019</t>
  </si>
  <si>
    <t>9th May 2019</t>
  </si>
  <si>
    <t>13th May 2019</t>
  </si>
  <si>
    <t>Jenexus Holding Sdn Bhd</t>
  </si>
  <si>
    <t>B-05-06, Level 5, Block B, Sunway GEO Avenue</t>
  </si>
  <si>
    <t>Jalan Lagoon Selatan, Sunway South Quay</t>
  </si>
  <si>
    <t>Bandar Sunway, 47500 Subang Jaya</t>
  </si>
  <si>
    <t>Salangor Darul Ehsan</t>
  </si>
  <si>
    <t>V2019/417</t>
  </si>
  <si>
    <t>PGTEFT4114</t>
  </si>
  <si>
    <t>Cost of goods sold - Nov'18</t>
  </si>
  <si>
    <t>19027</t>
  </si>
  <si>
    <t>Nyonya Avatars Greetings Cards x 1</t>
  </si>
  <si>
    <t>V2019/418</t>
  </si>
  <si>
    <t>PGTEFT4115</t>
  </si>
  <si>
    <t>Cost of goods sold - Aug18</t>
  </si>
  <si>
    <t>190004365</t>
  </si>
  <si>
    <t>Karisma Kreatif Worldwide Sdn Bhd</t>
  </si>
  <si>
    <t>V2019/439</t>
  </si>
  <si>
    <t>688393</t>
  </si>
  <si>
    <t>Matta Travel Exchange &amp; FATA Convention on 26-29 Apr 2019</t>
  </si>
  <si>
    <t>IV1900236</t>
  </si>
  <si>
    <t xml:space="preserve">Sponsorship for MTEX </t>
  </si>
  <si>
    <t>V2019/442</t>
  </si>
  <si>
    <t>V2019/443</t>
  </si>
  <si>
    <t>17th May 2019</t>
  </si>
  <si>
    <t>Rapid CAT Bus Wrap - Production cost</t>
  </si>
  <si>
    <t>Rapid Bus Wrap (Airport &amp; S.Jaya) - Rental - 4 buses</t>
  </si>
  <si>
    <t>Rapid Bus Wrap (Airport &amp; S.Jaya) - Production cost - 4 buses</t>
  </si>
  <si>
    <t>V2019/444</t>
  </si>
  <si>
    <t>688397</t>
  </si>
  <si>
    <t>AFAB Media Sdn Bhd</t>
  </si>
  <si>
    <t>Suites A-10-6, Tower A</t>
  </si>
  <si>
    <t>Level 10, Vertical Business Suites</t>
  </si>
  <si>
    <t xml:space="preserve">Bangsar South, 8 Jalan Kerinchi </t>
  </si>
  <si>
    <t>10/5/2019</t>
  </si>
  <si>
    <t>TM-0010-05-2019</t>
  </si>
  <si>
    <t>Sponsorship for ASEAN Young Emerging Designers</t>
  </si>
  <si>
    <t>&amp; #WEARWHATSFAIR China on On June - July 2019</t>
  </si>
  <si>
    <t>Good Foodie Media Sdn Bhd</t>
  </si>
  <si>
    <t>13 Solok Birch</t>
  </si>
  <si>
    <t>1111</t>
  </si>
  <si>
    <t>Net Bantuan Khas Kewangan for TIC for the year of 2019</t>
  </si>
  <si>
    <t>27th May 2019</t>
  </si>
  <si>
    <t>V2019/455</t>
  </si>
  <si>
    <t>PGTEFT4142</t>
  </si>
  <si>
    <t>CatEagle Translation &amp; Training</t>
  </si>
  <si>
    <t>BG Pusat Perdagangan Taman Dagang</t>
  </si>
  <si>
    <t>Jalan Dagang Besar</t>
  </si>
  <si>
    <t xml:space="preserve">68000 Ampang </t>
  </si>
  <si>
    <t xml:space="preserve">Translation of Penang Trade Foldable Brochure,Penang </t>
  </si>
  <si>
    <t>Here &amp; Now &amp; Media Release (Eng &gt; Japanese)</t>
  </si>
  <si>
    <t>(Eng &gt; Indonesia)</t>
  </si>
  <si>
    <t>Translation of Penang Trade Foldable Brochure</t>
  </si>
  <si>
    <t>of the Sea</t>
  </si>
  <si>
    <t>PGTEFT4156</t>
  </si>
  <si>
    <t>V2019/470</t>
  </si>
  <si>
    <t>30th May 2019</t>
  </si>
  <si>
    <t>Memo 00003490</t>
  </si>
  <si>
    <t>Being audit fee for YE 2018</t>
  </si>
  <si>
    <t>DATE</t>
  </si>
  <si>
    <t xml:space="preserve">Broadcasting @ Melody FM </t>
  </si>
  <si>
    <t>Talent Fee - Melody FM</t>
  </si>
  <si>
    <t>Talent Fee - Mix FM</t>
  </si>
  <si>
    <t>Talent Fee - Sinar FM</t>
  </si>
  <si>
    <t>GPFPARK</t>
  </si>
  <si>
    <t>11th June 2019</t>
  </si>
  <si>
    <t>488BB-03-20, Midlands Park</t>
  </si>
  <si>
    <t>Jalan Burma</t>
  </si>
  <si>
    <t xml:space="preserve">10350 George Town </t>
  </si>
  <si>
    <t>V2019/499</t>
  </si>
  <si>
    <t>PGTEFT4181</t>
  </si>
  <si>
    <t>KSL Travel &amp; Tours Sdn Bhd</t>
  </si>
  <si>
    <t xml:space="preserve">Lot 77-G-60, Penang Times Square </t>
  </si>
  <si>
    <t xml:space="preserve">Jalan Dato Keramat </t>
  </si>
  <si>
    <t>AirAsia China Media FAM in Conjunction with PIFF 2019</t>
  </si>
  <si>
    <t>on 14-19th Apr 2019</t>
  </si>
  <si>
    <t>3/6/2019</t>
  </si>
  <si>
    <t>190413-18</t>
  </si>
  <si>
    <t>Dinner hosting on 13/4/19</t>
  </si>
  <si>
    <t>Lunch hosting on 13/4/19</t>
  </si>
  <si>
    <t xml:space="preserve">Dark Mansion Entrace Ticket </t>
  </si>
  <si>
    <t>Lunch hosting on 17/4/19</t>
  </si>
  <si>
    <t>jnapro.com</t>
  </si>
  <si>
    <t>Linear Online Sdn Bhd</t>
  </si>
  <si>
    <t>94-1 (1st Flr), Persiaran Bayan Indah</t>
  </si>
  <si>
    <t>Bayan Bay, Sungai Nibong</t>
  </si>
  <si>
    <t>Computer</t>
  </si>
  <si>
    <t>Asian Food &amp; Culture Festival</t>
  </si>
  <si>
    <t>10th June 2019</t>
  </si>
  <si>
    <t>V2019/521</t>
  </si>
  <si>
    <t>Seoul Top Travel Agents FAM on 22-25th May 2019</t>
  </si>
  <si>
    <t>Air fare (4 pax)</t>
  </si>
  <si>
    <t>(USD5,586.59 @ 4.2067)</t>
  </si>
  <si>
    <t>Experience Penang 2020 : Bangkok Roadshow</t>
  </si>
  <si>
    <t>7/6/2019</t>
  </si>
  <si>
    <t>Conceptual Events Worldwide Co Ltd</t>
  </si>
  <si>
    <t>399/2 Moo 13 Soi Kingkeaw 25/1</t>
  </si>
  <si>
    <t>Rachatawa, Bangplee, Samutprakan</t>
  </si>
  <si>
    <t>10540 Thailand</t>
  </si>
  <si>
    <t>24th June 2019</t>
  </si>
  <si>
    <t>V2019/540</t>
  </si>
  <si>
    <t>INV2019/29</t>
  </si>
  <si>
    <t>(June 2019 - May 2020)</t>
  </si>
  <si>
    <t>PGTEFT4205</t>
  </si>
  <si>
    <t>14/6/2019</t>
  </si>
  <si>
    <t>Cost of Goods Sold - May'19</t>
  </si>
  <si>
    <t>102921541</t>
  </si>
  <si>
    <t>Actual usage for the month May'19:</t>
  </si>
  <si>
    <t>Black &amp; White -  6,413 pcs @ RM0.03</t>
  </si>
  <si>
    <t>Colour - 3,819 pcs @ RM0.50</t>
  </si>
  <si>
    <t>30th June 2019</t>
  </si>
  <si>
    <t>Penang Centre of Medical Tourism</t>
  </si>
  <si>
    <t>V2019/573</t>
  </si>
  <si>
    <t>PGTEFT4233</t>
  </si>
  <si>
    <t>Renewal Notice</t>
  </si>
  <si>
    <t>1st July 2019</t>
  </si>
  <si>
    <t>1/7/2019</t>
  </si>
  <si>
    <t>V2019/582</t>
  </si>
  <si>
    <t>PGTEFT4242</t>
  </si>
  <si>
    <t>Leisure Guide Publishing Sdn Bhd</t>
  </si>
  <si>
    <t>No.21, Jalan 16/3, 46350 Petaling Jaya</t>
  </si>
  <si>
    <t>Ads - Magaizne</t>
  </si>
  <si>
    <t>068</t>
  </si>
  <si>
    <t>The Guide to Malaysia - 9th Edition (2 page feature)</t>
  </si>
  <si>
    <t>V2019/584</t>
  </si>
  <si>
    <t>PGTEFT4244</t>
  </si>
  <si>
    <t>Seoul Top Agents &amp; Airline FAM on 22-25th May 2019</t>
  </si>
  <si>
    <t>Tour Guide fee for 4 days</t>
  </si>
  <si>
    <t>27/6/2019</t>
  </si>
  <si>
    <t>V2019/595</t>
  </si>
  <si>
    <t>Experience Penang 2020 : Bangkok Raodshow</t>
  </si>
  <si>
    <t>28/6/2019</t>
  </si>
  <si>
    <t>HPT0000579</t>
  </si>
  <si>
    <t>Air Ticket - Yoon Pauline &amp; Thoy Siew Ping</t>
  </si>
  <si>
    <t>(PEN-BKK-PEN)</t>
  </si>
  <si>
    <t>Air Ticket - Ooi Zi Qian (ketty)</t>
  </si>
  <si>
    <t>Hotel Accommodation - YB Yeoh &amp; Ooi Zi Qian</t>
  </si>
  <si>
    <t>(5 room nights/pax)</t>
  </si>
  <si>
    <t>Car Transfer</t>
  </si>
  <si>
    <t>Penalty Fee for date change (YB Yeoh, OCY &amp; Ooi Zi Qian)</t>
  </si>
  <si>
    <t>HPT0019047</t>
  </si>
  <si>
    <t>Air Ticket - YB Yeoh</t>
  </si>
  <si>
    <t>688420</t>
  </si>
  <si>
    <t>9th July 2019</t>
  </si>
  <si>
    <t xml:space="preserve">Signing Ceremony of Penang Tourism Master Plan </t>
  </si>
  <si>
    <t>QUO/002/07/19</t>
  </si>
  <si>
    <t>Hosting service for MoU Signing Ceremony on 24/6/19</t>
  </si>
  <si>
    <t xml:space="preserve">Director </t>
  </si>
  <si>
    <t>6% Service Tax</t>
  </si>
  <si>
    <t>Study Penang</t>
  </si>
  <si>
    <t xml:space="preserve">Education Malaysia &amp; Indonesia Roadshow </t>
  </si>
  <si>
    <t>V2019/607</t>
  </si>
  <si>
    <t>PGTEFT4265</t>
  </si>
  <si>
    <t xml:space="preserve"> - Subdidy for attending roadshow in Jakarta, Medan,</t>
  </si>
  <si>
    <t>Bandung &amp; Surabaya</t>
  </si>
  <si>
    <t>INT-002638</t>
  </si>
  <si>
    <t>Mon Reve Talent and Event Management</t>
  </si>
  <si>
    <t>1, Jalan Sentosa Kiri</t>
  </si>
  <si>
    <t>Taman Bukit Ria</t>
  </si>
  <si>
    <t>12th July 2019</t>
  </si>
  <si>
    <t>V2019/627</t>
  </si>
  <si>
    <t>PGTEFT4281</t>
  </si>
  <si>
    <t>Great Eastern Life Assurance (M) Berhad</t>
  </si>
  <si>
    <t>Menara Great Eastern</t>
  </si>
  <si>
    <t>303, Jalan Ampang</t>
  </si>
  <si>
    <t xml:space="preserve">50450 Kuala Lumpur </t>
  </si>
  <si>
    <t>1103512</t>
  </si>
  <si>
    <t xml:space="preserve">GTL for Chan Yee Fong </t>
  </si>
  <si>
    <t>Period 1/1/2019 - 31/12/2019</t>
  </si>
  <si>
    <t>Service Tax</t>
  </si>
  <si>
    <t>V2019/635</t>
  </si>
  <si>
    <t>PGTEFT4290</t>
  </si>
  <si>
    <t>Experience Penang 2020 : Taipei Roadshow</t>
  </si>
  <si>
    <t>Air Ticket - Yoon Pauline</t>
  </si>
  <si>
    <t>Air Ticket - Tan Young Hean</t>
  </si>
  <si>
    <t>Air Ticket - Toh Poh Kheng</t>
  </si>
  <si>
    <t>V2019/636</t>
  </si>
  <si>
    <t>PGTEFT4291</t>
  </si>
  <si>
    <t>PMED Workshop on 3/7/19</t>
  </si>
  <si>
    <t>17th July 2019</t>
  </si>
  <si>
    <t>12/7/2019</t>
  </si>
  <si>
    <t>V2019/650</t>
  </si>
  <si>
    <t>PGTEFT4296</t>
  </si>
  <si>
    <t>V2019/674</t>
  </si>
  <si>
    <t>688431</t>
  </si>
  <si>
    <t>V2019/618</t>
  </si>
  <si>
    <t>5th July 2019</t>
  </si>
  <si>
    <t>20/6/2019</t>
  </si>
  <si>
    <t>2018/00036</t>
  </si>
  <si>
    <t xml:space="preserve">Fabrication of Booth </t>
  </si>
  <si>
    <t>Transportation, set-up and dismantling</t>
  </si>
  <si>
    <t>(THB 147,660 @ 7.0993)</t>
  </si>
  <si>
    <t>(SGD18,200 @ 3.064)</t>
  </si>
  <si>
    <t>S'pre airlines - SilverKrs (July'19)</t>
  </si>
  <si>
    <t>S'pre airlines - Silkwinds (July'19)</t>
  </si>
  <si>
    <t>052516</t>
  </si>
  <si>
    <t>052537</t>
  </si>
  <si>
    <t>16th July 2019</t>
  </si>
  <si>
    <t xml:space="preserve">50% balance for Rental of venue </t>
  </si>
  <si>
    <t>50% balance for Event Project Management</t>
  </si>
  <si>
    <t>50% balance for PR Management fee</t>
  </si>
  <si>
    <t>V2019/647</t>
  </si>
  <si>
    <t>Minh Bui Jones</t>
  </si>
  <si>
    <t>34, Forsyth St Glebe</t>
  </si>
  <si>
    <t>NSW 2037</t>
  </si>
  <si>
    <t>MR68/19/GTLF</t>
  </si>
  <si>
    <t>Full page ads in Mekong Review (Aug &amp; Nov issues)</t>
  </si>
  <si>
    <t>31/7/2019</t>
  </si>
  <si>
    <t>V2019/696</t>
  </si>
  <si>
    <t>PGTEFT4331</t>
  </si>
  <si>
    <t>V2019/697</t>
  </si>
  <si>
    <t>688435</t>
  </si>
  <si>
    <t>2nd Aug 2019</t>
  </si>
  <si>
    <t>25/7/2019</t>
  </si>
  <si>
    <t>V2019/702</t>
  </si>
  <si>
    <t>PGTEFT4336</t>
  </si>
  <si>
    <t>INV/10009/pgt</t>
  </si>
  <si>
    <t>Social Media Management for PGT for the month of July</t>
  </si>
  <si>
    <t>V2019/703</t>
  </si>
  <si>
    <t>PGTEFT4337</t>
  </si>
  <si>
    <t>KCIV-190630</t>
  </si>
  <si>
    <t>Lines of Penang (set) Postcard x 5pcs</t>
  </si>
  <si>
    <t>Period : 1/8/2019 - 31/7/2020</t>
  </si>
  <si>
    <t>17/7/2019</t>
  </si>
  <si>
    <t>G:0000002521559</t>
  </si>
  <si>
    <t>GL0000002514966</t>
  </si>
  <si>
    <t>GL0000002516212</t>
  </si>
  <si>
    <t>6th Aug 2019</t>
  </si>
  <si>
    <t>Asialife Digital Co. Ltd</t>
  </si>
  <si>
    <t>94, Chinnawatr Silk Building Sukhumvit</t>
  </si>
  <si>
    <t xml:space="preserve">23,Klongtoey Nua, Wattana </t>
  </si>
  <si>
    <t>Experience Penang Partnership Campaign</t>
  </si>
  <si>
    <t>V2019/723</t>
  </si>
  <si>
    <t>PGTEFT4354</t>
  </si>
  <si>
    <t>13th Aug 2019</t>
  </si>
  <si>
    <t>Prof services for completion and lodgement of YE 2018</t>
  </si>
  <si>
    <t>V2019/731</t>
  </si>
  <si>
    <t>PGTEFT4362</t>
  </si>
  <si>
    <t>Travel News Market Stockholm</t>
  </si>
  <si>
    <t>7/8/2019</t>
  </si>
  <si>
    <t>13/8/2019</t>
  </si>
  <si>
    <t>23rd Aug 2019</t>
  </si>
  <si>
    <t>19/8/2019</t>
  </si>
  <si>
    <t>V2019/760</t>
  </si>
  <si>
    <t>PGTEFT4382</t>
  </si>
  <si>
    <t>Ctrip KOL FAM on 5-10th Aug 2019</t>
  </si>
  <si>
    <t>14/8/2019</t>
  </si>
  <si>
    <t>2019/045</t>
  </si>
  <si>
    <t>Transportation with Tour Guide for 6 days</t>
  </si>
  <si>
    <t>Food &amp; Beverages for 5 days</t>
  </si>
  <si>
    <t>27th Aug 2019</t>
  </si>
  <si>
    <t>V2019/771</t>
  </si>
  <si>
    <t>PGTEFT4392</t>
  </si>
  <si>
    <t>20/8/2019</t>
  </si>
  <si>
    <t>IIN-S00459</t>
  </si>
  <si>
    <t>Finished artwork for 2 languages</t>
  </si>
  <si>
    <t xml:space="preserve">Designing fee for PMED Brochure </t>
  </si>
  <si>
    <t>Translation - Chinese</t>
  </si>
  <si>
    <t>Translation - Indonesian</t>
  </si>
  <si>
    <t>PMED Logo Refresh fee</t>
  </si>
  <si>
    <t>Banner design for PMED</t>
  </si>
  <si>
    <t>Purchase of Photos (3 images)</t>
  </si>
  <si>
    <t>via CIMB BizChannel</t>
  </si>
  <si>
    <t>V2019/773</t>
  </si>
  <si>
    <t>PGTEFT4394</t>
  </si>
  <si>
    <t>19/13322</t>
  </si>
  <si>
    <t>Lenovo Think Pad E590 Laptop - 2 units</t>
  </si>
  <si>
    <t>3 years extended warranty - 2 units</t>
  </si>
  <si>
    <t>Microsoft Office Home &amp; Business 2019 - 2 units</t>
  </si>
  <si>
    <t>V2019/774</t>
  </si>
  <si>
    <t>PGTEFT4395</t>
  </si>
  <si>
    <t>Lye Imm Manufacturing Sdn Bhd</t>
  </si>
  <si>
    <t>Plot 91A, Fasa 3, Mukim 12</t>
  </si>
  <si>
    <t>Lebuhraya Kg Jawa</t>
  </si>
  <si>
    <t>Tel : 04-637 4225</t>
  </si>
  <si>
    <t>Fax : 04-637 4525</t>
  </si>
  <si>
    <t xml:space="preserve">PATA London Networking Session </t>
  </si>
  <si>
    <t>IV-38734</t>
  </si>
  <si>
    <t>Mini Tambun Biscuit - 200boxes</t>
  </si>
  <si>
    <t>5% SST</t>
  </si>
  <si>
    <t xml:space="preserve">50% Balance of maintaining &amp; updating PGT Weibo &amp; </t>
  </si>
  <si>
    <t>Diploma in Tourism Management</t>
  </si>
  <si>
    <t>Experience Penang 2020 - Bangkok Raodshow</t>
  </si>
  <si>
    <t>Balance payment for BKK Roadshow (Currency Ex.</t>
  </si>
  <si>
    <t>Shortfall)</t>
  </si>
  <si>
    <t>(THB31,363.44 @ 0.144)</t>
  </si>
  <si>
    <t>V2019/722</t>
  </si>
  <si>
    <t>ALT2019/004</t>
  </si>
  <si>
    <t>V2019/804</t>
  </si>
  <si>
    <t>PGTEFT4420</t>
  </si>
  <si>
    <t>V2019/806</t>
  </si>
  <si>
    <t>PGTEFT4422</t>
  </si>
  <si>
    <t>12th Sept 2019</t>
  </si>
  <si>
    <t>Artiz Vision Sdn Bhd</t>
  </si>
  <si>
    <t>6B, Jalan Bagan Jermal</t>
  </si>
  <si>
    <t>Sponsorship for 2019 China Wedding Industry Exhibition</t>
  </si>
  <si>
    <t>at Suzhou</t>
  </si>
  <si>
    <t>CR1151-19-IN-PGT</t>
  </si>
  <si>
    <t>Website Development Package -30% balance</t>
  </si>
  <si>
    <t>(70% of total RM9,800)</t>
  </si>
  <si>
    <t>(70% of total RM300)</t>
  </si>
  <si>
    <t>Copywriting/Translations</t>
  </si>
  <si>
    <t>26/8/2019</t>
  </si>
  <si>
    <t>4/9/2019</t>
  </si>
  <si>
    <t>V2019/818</t>
  </si>
  <si>
    <t>PGTEFT4434</t>
  </si>
  <si>
    <t>GL0000002591795</t>
  </si>
  <si>
    <t>V2019/824</t>
  </si>
  <si>
    <t>PGTEFT4440</t>
  </si>
  <si>
    <t>China (Guangdong) International Industry Expo</t>
  </si>
  <si>
    <t>dated 6.9.2019</t>
  </si>
  <si>
    <t xml:space="preserve"> - Sending of promotion materials to TM GD</t>
  </si>
  <si>
    <t xml:space="preserve"> - Table Top Mini X Stand </t>
  </si>
  <si>
    <t xml:space="preserve"> - Wifi Router for OCY &amp; Jean</t>
  </si>
  <si>
    <t>Final payment - production of 20 video in line with EPY 2020</t>
  </si>
  <si>
    <t>V2019/849</t>
  </si>
  <si>
    <t>688454</t>
  </si>
  <si>
    <t>17th Sept 2019</t>
  </si>
  <si>
    <t>Being payment of BOD meeting allowance for year 2018</t>
  </si>
  <si>
    <t>V2019/850</t>
  </si>
  <si>
    <t>PGTEFT4460</t>
  </si>
  <si>
    <t>V2019/851</t>
  </si>
  <si>
    <t>PGTEFT4461</t>
  </si>
  <si>
    <t>Being BOD meeting allowance for year 2018</t>
  </si>
  <si>
    <t>V2019/852</t>
  </si>
  <si>
    <t>PGTEFT4462</t>
  </si>
  <si>
    <t>V2019/853</t>
  </si>
  <si>
    <t>PGTEFT4463</t>
  </si>
  <si>
    <t>I/C : 760920-02-5705</t>
  </si>
  <si>
    <t>Yeoh Soon Hin</t>
  </si>
  <si>
    <t>V2019/854</t>
  </si>
  <si>
    <t>PGTEFT4464</t>
  </si>
  <si>
    <t>V2019/855</t>
  </si>
  <si>
    <t>PGTEFT4465</t>
  </si>
  <si>
    <t>V2019/856</t>
  </si>
  <si>
    <t>PGTEFT4466</t>
  </si>
  <si>
    <t>V2019/857</t>
  </si>
  <si>
    <t>PGTEFT4467</t>
  </si>
  <si>
    <t>V2019/858</t>
  </si>
  <si>
    <t>PGTEFT4468</t>
  </si>
  <si>
    <t>Gooi Zi Sen</t>
  </si>
  <si>
    <t>I/C : 870611-35-5097</t>
  </si>
  <si>
    <t>V2019/859</t>
  </si>
  <si>
    <t>PGTEFT4469</t>
  </si>
  <si>
    <t>Ong Ah Teong</t>
  </si>
  <si>
    <t>I/C : 700905-07-5187</t>
  </si>
  <si>
    <t>(-) Rounding Adj.</t>
  </si>
  <si>
    <t>20th Sept 2019</t>
  </si>
  <si>
    <t>Elite Asia Localisation (MY) Sdn Bhd</t>
  </si>
  <si>
    <t>Suite 12-15, Wisma UOAII</t>
  </si>
  <si>
    <t>21, Jalan Pinang</t>
  </si>
  <si>
    <t>Tel : 03-2181 5775</t>
  </si>
  <si>
    <t>18/9/2019</t>
  </si>
  <si>
    <t>V2019/868</t>
  </si>
  <si>
    <t>PGTEFT4479</t>
  </si>
  <si>
    <t>Y19-INV06</t>
  </si>
  <si>
    <t>Y19-INV03</t>
  </si>
  <si>
    <t>5 Full advertorial with headline for EPY 2020</t>
  </si>
  <si>
    <t>5 Marketing blurb for Heritage, Culture, Nature &amp; Adventure,</t>
  </si>
  <si>
    <t>Food &amp; Lifestyle, New Attraction, and Events &amp; Festival</t>
  </si>
  <si>
    <t>for social media and online marketing use</t>
  </si>
  <si>
    <t xml:space="preserve">Media release for EPY2020 </t>
  </si>
  <si>
    <t xml:space="preserve"> - Discount 10%</t>
  </si>
  <si>
    <t xml:space="preserve">Copywriting for EPY2020 booklet and short blurbs for a </t>
  </si>
  <si>
    <t>listing of 20 items under few categories</t>
  </si>
  <si>
    <t>(20 must-see, 20 must-do, 20 must-indulge, 20 must-experience)</t>
  </si>
  <si>
    <t xml:space="preserve"> - Discount 30%</t>
  </si>
  <si>
    <t>Guide fee on 5/9/2019</t>
  </si>
  <si>
    <t>Guide fee on 7/9/2019</t>
  </si>
  <si>
    <t>16/9/2019</t>
  </si>
  <si>
    <t>Guide fee on 14/9/2019</t>
  </si>
  <si>
    <t>V2019/880</t>
  </si>
  <si>
    <t>688458</t>
  </si>
  <si>
    <t>V2019/881</t>
  </si>
  <si>
    <t>23rd Sept 2019</t>
  </si>
  <si>
    <t>CK01078</t>
  </si>
  <si>
    <t xml:space="preserve">Final payment - 10% of total RM999,998.28 </t>
  </si>
  <si>
    <t>688459</t>
  </si>
  <si>
    <t>1/10/2019</t>
  </si>
  <si>
    <t>V2019/904</t>
  </si>
  <si>
    <t>V2019/889</t>
  </si>
  <si>
    <t>PGTEFT4498</t>
  </si>
  <si>
    <t>24th Sept 2019</t>
  </si>
  <si>
    <t>Advance Creative Technology Sdn BHd</t>
  </si>
  <si>
    <t>Office Upkeep - TIC</t>
  </si>
  <si>
    <t>INV19-90310</t>
  </si>
  <si>
    <t xml:space="preserve">Servicing &amp; checking TIC door access &amp; CCTV Camera </t>
  </si>
  <si>
    <t>12V Power Supply for door access &amp; CCTV</t>
  </si>
  <si>
    <t>V2019/890</t>
  </si>
  <si>
    <t>PGTEFT4499</t>
  </si>
  <si>
    <t xml:space="preserve">AK Thailand Video Shooting Experience Penang 2020 </t>
  </si>
  <si>
    <t>on 18-20th Sept 2019</t>
  </si>
  <si>
    <t>20/9/2019</t>
  </si>
  <si>
    <t>141079</t>
  </si>
  <si>
    <t>Hotel Accommodation x 10 room nights</t>
  </si>
  <si>
    <t>Being service rendered to PMED for Sept 2019</t>
  </si>
  <si>
    <t>PGTEFT4510</t>
  </si>
  <si>
    <t>V2019/907</t>
  </si>
  <si>
    <t>PGTEFT4512</t>
  </si>
  <si>
    <t>3rd Oct 2019</t>
  </si>
  <si>
    <t>C.T. Technology (PG) Sdn Bhd</t>
  </si>
  <si>
    <t>No.66, Jalan Sri Bahari</t>
  </si>
  <si>
    <t>Tel : 04-218 9965</t>
  </si>
  <si>
    <t>Fax : 04-263 6408</t>
  </si>
  <si>
    <t>Office Equipment</t>
  </si>
  <si>
    <t>25/9/2019</t>
  </si>
  <si>
    <t>22504</t>
  </si>
  <si>
    <t>ZKTeco 2.4" TFT Display Ultra Thin Fingerpint</t>
  </si>
  <si>
    <t>Time Attendance and Access</t>
  </si>
  <si>
    <t>By Pass Key Switch</t>
  </si>
  <si>
    <t>Door Access Power Supply with Backup Battery</t>
  </si>
  <si>
    <t xml:space="preserve">Installation with 1 year support </t>
  </si>
  <si>
    <t>Qatar Airways - Oryx (Oct'19)</t>
  </si>
  <si>
    <t>(SGD9,300 @ 3.0631)</t>
  </si>
  <si>
    <t>via CIMB Bizchannel</t>
  </si>
  <si>
    <t>7th Oct 2019</t>
  </si>
  <si>
    <t>V2019/928</t>
  </si>
  <si>
    <t>PGTEFT4528</t>
  </si>
  <si>
    <t>EPY Indonesia Roadshow</t>
  </si>
  <si>
    <t xml:space="preserve"> - Visa Application</t>
  </si>
  <si>
    <t xml:space="preserve"> - Air Fare PEN-CGK</t>
  </si>
  <si>
    <t xml:space="preserve"> - Air Fare CGK-SUB</t>
  </si>
  <si>
    <t xml:space="preserve"> - Air Fare SUB-PEN</t>
  </si>
  <si>
    <t xml:space="preserve"> - Hotel Accommodation (Jakarta)</t>
  </si>
  <si>
    <t xml:space="preserve"> - Maxis Roaming Charges</t>
  </si>
  <si>
    <t>Meeting Expenses</t>
  </si>
  <si>
    <t xml:space="preserve"> - Bridge Toll For PMED Monthly Meeting on 12.9.19</t>
  </si>
  <si>
    <t xml:space="preserve"> - Mileage claims on 12.9.2019</t>
  </si>
  <si>
    <t xml:space="preserve"> - Parking fee on 16.8.19</t>
  </si>
  <si>
    <t xml:space="preserve"> - Meal Allowance (2.5 day)</t>
  </si>
  <si>
    <t xml:space="preserve"> - Meal Allowance (4 days)</t>
  </si>
  <si>
    <t>via CIMB bizChannel</t>
  </si>
  <si>
    <t>V2019/952</t>
  </si>
  <si>
    <t>PGTEFT4546</t>
  </si>
  <si>
    <t>688469</t>
  </si>
  <si>
    <t>Can Can Public Art Plt</t>
  </si>
  <si>
    <t>72, Jalan Bintang</t>
  </si>
  <si>
    <t>Tanjung Bungah</t>
  </si>
  <si>
    <t xml:space="preserve">Penang International Container Art Festival </t>
  </si>
  <si>
    <t xml:space="preserve"> - Event Managemetn (Partial)</t>
  </si>
  <si>
    <t xml:space="preserve"> - Partial Construction Costs (Art Installations)</t>
  </si>
  <si>
    <t>PICAF/PGT002</t>
  </si>
  <si>
    <t>2nd Instalment 30% of total payment RM1,200,000</t>
  </si>
  <si>
    <t xml:space="preserve"> - Marketing/Web design/Video/Design Work</t>
  </si>
  <si>
    <t xml:space="preserve"> - Partial Accommodation cost for participants</t>
  </si>
  <si>
    <t xml:space="preserve"> - Equipment and material cost (partial)</t>
  </si>
  <si>
    <t>Penang Street Food Festival 2019</t>
  </si>
  <si>
    <t xml:space="preserve"> - Advertising &amp; Promotion</t>
  </si>
  <si>
    <t xml:space="preserve"> - Physical set-up</t>
  </si>
  <si>
    <t xml:space="preserve"> - Others</t>
  </si>
  <si>
    <t>V2019/965</t>
  </si>
  <si>
    <t>PGTEFT4555</t>
  </si>
  <si>
    <t>21st Oct 2019</t>
  </si>
  <si>
    <t>102988543</t>
  </si>
  <si>
    <t>Actual usage for the month Sept'19 :</t>
  </si>
  <si>
    <t>Colour - 1,292pcs @ RM0.50</t>
  </si>
  <si>
    <t>Black &amp; White - 3,565pcs @ RM0.03</t>
  </si>
  <si>
    <t>29th Oct 2019</t>
  </si>
  <si>
    <t>21/10/2019</t>
  </si>
  <si>
    <t>V2019/919</t>
  </si>
  <si>
    <t>ITBINV452/2019</t>
  </si>
  <si>
    <t xml:space="preserve">Exhibition Space - Island Stand, Appointment sets </t>
  </si>
  <si>
    <t>Listing &amp; badges</t>
  </si>
  <si>
    <t>ITBINV123/2019</t>
  </si>
  <si>
    <t>(USD 56,596.10 @ 4.2387)</t>
  </si>
  <si>
    <t>Sponsorship B2 Escalator Backdrop (incl. production cost)</t>
  </si>
  <si>
    <t>(USD 10,000 @ 4.2387)</t>
  </si>
  <si>
    <t>Carees Co Ltd</t>
  </si>
  <si>
    <t>Akahori Bldg. 3F, 1-10-26 Izumi, Higashi-ku</t>
  </si>
  <si>
    <t>Nagoya-City, Aichi, 416-0001, Japan</t>
  </si>
  <si>
    <t>Tourism Expo Japan on 24-27th Oct 2019</t>
  </si>
  <si>
    <t>10002-01</t>
  </si>
  <si>
    <t xml:space="preserve">Booth Exhibition fee </t>
  </si>
  <si>
    <t>Translator fee</t>
  </si>
  <si>
    <t>S'pre airlines - SilverKrs (Oct'19)</t>
  </si>
  <si>
    <t>(SGD18,200 @ 3.081)</t>
  </si>
  <si>
    <t>S'pre airlines - Silkwinds (Oct'19)</t>
  </si>
  <si>
    <t>(SGD3,000 @ 3.081)</t>
  </si>
  <si>
    <t>V2019/1006</t>
  </si>
  <si>
    <t>PGTEFT4588</t>
  </si>
  <si>
    <t>31/10/2019</t>
  </si>
  <si>
    <t xml:space="preserve">Radio Ads - Experience Penang 2020 </t>
  </si>
  <si>
    <t>1st Nov 2019</t>
  </si>
  <si>
    <t>V2019/1014</t>
  </si>
  <si>
    <t>PGTEFT4595</t>
  </si>
  <si>
    <t>688476</t>
  </si>
  <si>
    <t>(5% of total RM 143,646.66)</t>
  </si>
  <si>
    <t>V2019/1015</t>
  </si>
  <si>
    <t>(Period : 3/11/2019 - 2/11/2020)</t>
  </si>
  <si>
    <t>V2019/1019</t>
  </si>
  <si>
    <t>PGTEFT4599</t>
  </si>
  <si>
    <t>Johnny Chee Boon Heng</t>
  </si>
  <si>
    <t>20 Lintang Delima 13,</t>
  </si>
  <si>
    <t>Island Glades</t>
  </si>
  <si>
    <t>11700 Penang</t>
  </si>
  <si>
    <t>20/10/2019</t>
  </si>
  <si>
    <t>JCHEE2017</t>
  </si>
  <si>
    <t>A Tapestry of Baba Poetry Book - 1 book</t>
  </si>
  <si>
    <t>Cost of Goods Sold - Dec'17</t>
  </si>
  <si>
    <t>Hawaii Media FAM on 17-20th Oct 2019</t>
  </si>
  <si>
    <t>V2019/1023</t>
  </si>
  <si>
    <t>PGTEFT4603</t>
  </si>
  <si>
    <t>Matahari Cycle Tours and Travel Sdn Bhd</t>
  </si>
  <si>
    <t>No.300D Jalan Sultan Azlan Shah</t>
  </si>
  <si>
    <t>Century Garden</t>
  </si>
  <si>
    <t>M29I/19J21/2018</t>
  </si>
  <si>
    <t>Balik Pulau Cycling Tour for 2 pax</t>
  </si>
  <si>
    <t>V2019/962</t>
  </si>
  <si>
    <t>11th Oct 2019</t>
  </si>
  <si>
    <t>Be Inspired Kb</t>
  </si>
  <si>
    <t>Sveavagen 117, 11349 Stokholm Sweeden</t>
  </si>
  <si>
    <t>Contents Marketing with Communications &amp; Qatar Airways</t>
  </si>
  <si>
    <t>for Scandinavian Market</t>
  </si>
  <si>
    <t>17/9/2019</t>
  </si>
  <si>
    <t>1929 B</t>
  </si>
  <si>
    <t>10 story telling tips, package about Penang for the</t>
  </si>
  <si>
    <t>Scandinavian Market (Qatar Airways)</t>
  </si>
  <si>
    <t>(EUR 11,000 @ 4.7261)</t>
  </si>
  <si>
    <t>V2019/991</t>
  </si>
  <si>
    <t>15/10/2019</t>
  </si>
  <si>
    <t>(JPY 884,510 @ 0.038518)</t>
  </si>
  <si>
    <t>18th Nov 2019</t>
  </si>
  <si>
    <t xml:space="preserve">Transportation, George Town Tour, Meals &amp; </t>
  </si>
  <si>
    <t>V2019/1045</t>
  </si>
  <si>
    <t>PGTEFT4623</t>
  </si>
  <si>
    <t>27/10/2019</t>
  </si>
  <si>
    <t>2019-00060</t>
  </si>
  <si>
    <t>Translation of Press Release for Qingdao Airline</t>
  </si>
  <si>
    <t>Inaugural Flight (Man&gt;Eng)</t>
  </si>
  <si>
    <t>25/10/2019</t>
  </si>
  <si>
    <t>2019-00054</t>
  </si>
  <si>
    <t>Translation of Speech for Qingdao Airline Inaugural</t>
  </si>
  <si>
    <t>Flight (Man&gt;Eng)</t>
  </si>
  <si>
    <t>V2019/1050</t>
  </si>
  <si>
    <t>PGTEFT4628</t>
  </si>
  <si>
    <t>Translations/Copywriting</t>
  </si>
  <si>
    <t>9/11/2019</t>
  </si>
  <si>
    <t>MHM0438A</t>
  </si>
  <si>
    <t>Translation media release and speech for China Roadshows</t>
  </si>
  <si>
    <t>5/11/2019</t>
  </si>
  <si>
    <t>INV/MPT/191105</t>
  </si>
  <si>
    <t>China Airline Return Ticket for Lucky Draw Winner (1pax)</t>
  </si>
  <si>
    <t>TPE-PEN-TPE</t>
  </si>
  <si>
    <t>(TWD 12,937 @ 0.137565)</t>
  </si>
  <si>
    <t>Rate refer to Bank Negara Malaysia- Nov</t>
  </si>
  <si>
    <t>V2019/1071</t>
  </si>
  <si>
    <t>PGTEFT4645</t>
  </si>
  <si>
    <t>19th Nov 2019</t>
  </si>
  <si>
    <t>Farewell dinner for Company Secretary on 9/10/19</t>
  </si>
  <si>
    <t>Petrol Refill for PNT6863 on 5/10/19</t>
  </si>
  <si>
    <t xml:space="preserve">Tourism Expo Japan </t>
  </si>
  <si>
    <t>Transportation from airport to hotel on 20/10/2019</t>
  </si>
  <si>
    <t>Transportation from train station to hotel on 22/10/2019</t>
  </si>
  <si>
    <t>Transportation from hotel to train station on 22/10/2019</t>
  </si>
  <si>
    <t>V2019/1074</t>
  </si>
  <si>
    <t>PGTEFT4648</t>
  </si>
  <si>
    <t>Chong Kar Yuan</t>
  </si>
  <si>
    <t>I/C : 900211-07-5648</t>
  </si>
  <si>
    <t>PETACH Office</t>
  </si>
  <si>
    <t>dated 5.11.2019</t>
  </si>
  <si>
    <t xml:space="preserve">Penang Roadshow in Singapore </t>
  </si>
  <si>
    <t xml:space="preserve"> - Air Fare (PEN-SIN)</t>
  </si>
  <si>
    <t xml:space="preserve"> - Air Fare (SIN-PEN)</t>
  </si>
  <si>
    <t>Monthly Platinum Plus Business Commitment Fee (018-382 4900)</t>
  </si>
  <si>
    <t>4/11/2019</t>
  </si>
  <si>
    <t>V2019/1082</t>
  </si>
  <si>
    <t>PGTEFT4655</t>
  </si>
  <si>
    <t>21st Nov 2019</t>
  </si>
  <si>
    <t>Hastadi Muljono</t>
  </si>
  <si>
    <t>Royal Education</t>
  </si>
  <si>
    <t>Jala Prof Hm Yamin Sh1/9</t>
  </si>
  <si>
    <t>Medan 20231 Indonesia</t>
  </si>
  <si>
    <t>Edufair Medan 2019</t>
  </si>
  <si>
    <t>019.R.09.001</t>
  </si>
  <si>
    <t>Venue rental &amp; Ads fee (School Expo) on 15 &amp; 16/11/2019</t>
  </si>
  <si>
    <t xml:space="preserve">Venue rental, Newspaper Ads, Banners, Social Media </t>
  </si>
  <si>
    <t>Ads (Edcation fair @ Cambridge Hotel) on 17/11/2019</t>
  </si>
  <si>
    <t>Guide fee on 9/11/2019</t>
  </si>
  <si>
    <t>Direcotor</t>
  </si>
  <si>
    <t>15/11/2019</t>
  </si>
  <si>
    <t xml:space="preserve">JATA &amp; Japan Tourism Agency Special Project </t>
  </si>
  <si>
    <t>on 15-20th Nov 2019</t>
  </si>
  <si>
    <t>V2019/1096</t>
  </si>
  <si>
    <t>PGTEFT4667</t>
  </si>
  <si>
    <t>26th Nov 2019</t>
  </si>
  <si>
    <t>V2019/1097</t>
  </si>
  <si>
    <t>PGTEFT4668</t>
  </si>
  <si>
    <t>AHR Venture</t>
  </si>
  <si>
    <t>2GF, Jalan Dagangan 8</t>
  </si>
  <si>
    <t>Bertam Perdana</t>
  </si>
  <si>
    <t>13200 Kepala Batas</t>
  </si>
  <si>
    <t>JATA &amp; Japan Tourism Agency Special Project on 15-20th Nov 2019</t>
  </si>
  <si>
    <t>24/10/2019</t>
  </si>
  <si>
    <t>ahr/misc/WD/</t>
  </si>
  <si>
    <t>16.11.19</t>
  </si>
  <si>
    <t>Homestay Accommodation at Mengkuang Titi (8pax)</t>
  </si>
  <si>
    <t>on 16/11/2019</t>
  </si>
  <si>
    <t>V2019/1099</t>
  </si>
  <si>
    <t>PGTEFT4669</t>
  </si>
  <si>
    <t xml:space="preserve">Ads in Penang Free Sheet's weekly publication </t>
  </si>
  <si>
    <t>(2 full page A5 back page)</t>
  </si>
  <si>
    <t>V2019/1105</t>
  </si>
  <si>
    <t>PGTEFT4675</t>
  </si>
  <si>
    <t>8877640</t>
  </si>
  <si>
    <t>(Period : 8/12/2019 - 7/12/2020)</t>
  </si>
  <si>
    <t>V2019/1116</t>
  </si>
  <si>
    <t>688486</t>
  </si>
  <si>
    <t>27th Nov 2019</t>
  </si>
  <si>
    <t>GHT Malaysia Sdn Bhd</t>
  </si>
  <si>
    <t>Level 18, WeWork, Plaza Equatorial</t>
  </si>
  <si>
    <t>14 MY, Jalan Sultan Ismail</t>
  </si>
  <si>
    <t>27/11/2019</t>
  </si>
  <si>
    <t>GHTMY036-19</t>
  </si>
  <si>
    <t xml:space="preserve">4 page spine bound cover wrapper - Silk Air </t>
  </si>
  <si>
    <t>inflight magazine - 300copies x 6 issues</t>
  </si>
  <si>
    <t>688487</t>
  </si>
  <si>
    <t>(-) Discount</t>
  </si>
  <si>
    <t>688488</t>
  </si>
  <si>
    <t>2nd Dec 2019</t>
  </si>
  <si>
    <t>Penang Esports Festival</t>
  </si>
  <si>
    <t>00056113</t>
  </si>
  <si>
    <t>MBPP Sticker for streamers - 200pcs</t>
  </si>
  <si>
    <t>00056120</t>
  </si>
  <si>
    <t>MPSP Chop fees for streamers- 200pcs</t>
  </si>
  <si>
    <t>00057264</t>
  </si>
  <si>
    <t>Installation &amp; Dismantle - 200pcs</t>
  </si>
  <si>
    <t xml:space="preserve">MBPP Streamer 2.5 x 6' - 200pcs </t>
  </si>
  <si>
    <t xml:space="preserve">MBSP Streamer 2.5 x 6' - 200pcs </t>
  </si>
  <si>
    <t>Dewan Bahasa &amp; Pustaka Fee</t>
  </si>
  <si>
    <t>Dewan Bahasa &amp; Pustaka fee for streamers</t>
  </si>
  <si>
    <t>Ads - Billboard/Bus Wrap/Cube</t>
  </si>
  <si>
    <t>00057265</t>
  </si>
  <si>
    <t xml:space="preserve">AFCF MBPP Streamer 2.5 x 6' - 240pcs </t>
  </si>
  <si>
    <t>Installation &amp; Dismantle - 240pcs</t>
  </si>
  <si>
    <t xml:space="preserve">AFCF MBSP Streamer 2.5 x 6' - 60pcs </t>
  </si>
  <si>
    <t>Installation &amp; Dismantle - 60pcs</t>
  </si>
  <si>
    <t>11/9/2019</t>
  </si>
  <si>
    <t>000564418</t>
  </si>
  <si>
    <t>AFCF MBPP Sticker - 240pcs</t>
  </si>
  <si>
    <t>30/8/2019</t>
  </si>
  <si>
    <t>00056280</t>
  </si>
  <si>
    <t>Runner fee</t>
  </si>
  <si>
    <t>MPSP Chop fees for streamers - 60pcs</t>
  </si>
  <si>
    <t>10% SST</t>
  </si>
  <si>
    <t>26/11/2019</t>
  </si>
  <si>
    <t>V2019/1042</t>
  </si>
  <si>
    <t>7th Nov 2019</t>
  </si>
  <si>
    <t>Hur Gi Naam</t>
  </si>
  <si>
    <t>Lion Tour</t>
  </si>
  <si>
    <t>Joint Promotion with AirAsia X Busan and Travel Agencies</t>
  </si>
  <si>
    <t>for Penang Aug-Dec 2019</t>
  </si>
  <si>
    <t>02/10/2019</t>
  </si>
  <si>
    <t xml:space="preserve">Joint promotion with Lion Tour </t>
  </si>
  <si>
    <t>(USD 4,207.74 @ 4.2435)</t>
  </si>
  <si>
    <t>V2019/1081</t>
  </si>
  <si>
    <t>FVW Median GmBH</t>
  </si>
  <si>
    <t>Wansbeker Allee 1</t>
  </si>
  <si>
    <t>2204, Hamburg</t>
  </si>
  <si>
    <t>Advertisement with FVW Median for German Market</t>
  </si>
  <si>
    <t>2011019794</t>
  </si>
  <si>
    <t>Advertisement on Travel Talk, Counter Cube &amp;</t>
  </si>
  <si>
    <t>Travel Talk Newsletter for German Market</t>
  </si>
  <si>
    <t>(EUR6,000 @ 4.6682)</t>
  </si>
  <si>
    <t>21/11/2019</t>
  </si>
  <si>
    <t>S1907101</t>
  </si>
  <si>
    <t>Translation of Trade Foldable Brochure (Eng&gt;Vietnamese)</t>
  </si>
  <si>
    <t>Penang Trade Booklet (Eng&gt;Vietnamese)</t>
  </si>
  <si>
    <t>Translation of Trade Foldable Brochure (Eng&gt;Korean)</t>
  </si>
  <si>
    <t>V2019/1126</t>
  </si>
  <si>
    <t>PGTEFT4693</t>
  </si>
  <si>
    <t>Golden Advanture Tours &amp; Travel Sdn Bhd</t>
  </si>
  <si>
    <t>Osaka Agents FAM on 16-18th Nov 2019</t>
  </si>
  <si>
    <t>GA WC0373</t>
  </si>
  <si>
    <t>Transportation &amp; Guide for 3 days (9pax)</t>
  </si>
  <si>
    <t>Meals on 16/11/2019</t>
  </si>
  <si>
    <t>V2019/1128</t>
  </si>
  <si>
    <t>PGTEFT4695</t>
  </si>
  <si>
    <t>Photography service for Jan to Mar'19</t>
  </si>
  <si>
    <t>Photography service for Apr to June'19</t>
  </si>
  <si>
    <t>Photography service for July to Sept'19</t>
  </si>
  <si>
    <t>Photography service for Oct to Dec'19</t>
  </si>
  <si>
    <t>V2019/1139</t>
  </si>
  <si>
    <t>688492</t>
  </si>
  <si>
    <t>11th Dec 2019</t>
  </si>
  <si>
    <t>V2019/1147</t>
  </si>
  <si>
    <t>PGTEFT47027</t>
  </si>
  <si>
    <t>V2019/1148</t>
  </si>
  <si>
    <t>PGTEFT47028</t>
  </si>
  <si>
    <t>AirAsia and Kiwi.com Europe &amp; Australia Media FAM</t>
  </si>
  <si>
    <t>on 15-18th Nov 2019</t>
  </si>
  <si>
    <t>11970</t>
  </si>
  <si>
    <t>Ground Transportation, Guide &amp; meals for 4 days (7 pax)</t>
  </si>
  <si>
    <t>Penang Roadshow in Singapore</t>
  </si>
  <si>
    <t>Pro-Forma</t>
  </si>
  <si>
    <t>Airport transfer for YB Yeoh &amp; Mrs Yeoh</t>
  </si>
  <si>
    <t>25/11/2019</t>
  </si>
  <si>
    <t>MY00200253989</t>
  </si>
  <si>
    <t>for YE 2020</t>
  </si>
  <si>
    <t>V2019/1149</t>
  </si>
  <si>
    <t>PGTEFT47029</t>
  </si>
  <si>
    <t>20/11/2019</t>
  </si>
  <si>
    <t>00551</t>
  </si>
  <si>
    <t>Checking &amp; normal service for ceiling cassette air-cond</t>
  </si>
  <si>
    <t>To service 2 sets of 2.5hp Condensor outdoor unit</t>
  </si>
  <si>
    <t>V2019/1151</t>
  </si>
  <si>
    <t>PGTEFT4712</t>
  </si>
  <si>
    <t>4/12/2019</t>
  </si>
  <si>
    <t>Kathy Rowland</t>
  </si>
  <si>
    <t>Arts Equator Ltd</t>
  </si>
  <si>
    <t>22 Dickson Road</t>
  </si>
  <si>
    <t>Singapore 209506</t>
  </si>
  <si>
    <t>2019_11_01</t>
  </si>
  <si>
    <t xml:space="preserve">Online advertising via Arts Equator </t>
  </si>
  <si>
    <t xml:space="preserve"> - Top banner ad for 2 weeks</t>
  </si>
  <si>
    <t xml:space="preserve"> - online article</t>
  </si>
  <si>
    <t>191126-073</t>
  </si>
  <si>
    <t>V2019/1156</t>
  </si>
  <si>
    <t>PGTEFT4717</t>
  </si>
  <si>
    <t>11/11/2019</t>
  </si>
  <si>
    <t>BN7924</t>
  </si>
  <si>
    <t>Hotel Accommodation (22 rooms nights)</t>
  </si>
  <si>
    <t>V2019/1178</t>
  </si>
  <si>
    <t>688494</t>
  </si>
  <si>
    <t>30/11/2019</t>
  </si>
  <si>
    <t>ARSB19110209</t>
  </si>
  <si>
    <t>High Frequency Message Sponsorship - MIX FM (Nov'19)</t>
  </si>
  <si>
    <t>ARSB19110210</t>
  </si>
  <si>
    <t>ARSB19110211</t>
  </si>
  <si>
    <t>High Frequency Message Sponsorship - Melody FM (Nov'19)</t>
  </si>
  <si>
    <t>High Frequency Message Sponsorship - Sinar FM (Nov'19)</t>
  </si>
  <si>
    <t>ARSB19110212</t>
  </si>
  <si>
    <t>ARSB19110213</t>
  </si>
  <si>
    <t>Weekend Domination Sponsrship - Sinar FM (Nov'19)</t>
  </si>
  <si>
    <t>Weekend Domination Sponsrship - Melody &amp; Mix FM (Nov'19)</t>
  </si>
  <si>
    <t xml:space="preserve">Publicity - Butterworth Fringe Festival </t>
  </si>
  <si>
    <t>ARSB19110890</t>
  </si>
  <si>
    <t>Broadcasting @ Mix FM</t>
  </si>
  <si>
    <t>Broadcasting @ Raaga FM</t>
  </si>
  <si>
    <t>Talent fee for Melody FM</t>
  </si>
  <si>
    <t>Talent fee for Mix FM</t>
  </si>
  <si>
    <t>Talent fee for Raaga FM</t>
  </si>
  <si>
    <t>Talent fee for Sinar FM</t>
  </si>
  <si>
    <t>16/11/2019</t>
  </si>
  <si>
    <t>V2019/1181</t>
  </si>
  <si>
    <t>688497</t>
  </si>
  <si>
    <t>VN2835</t>
  </si>
  <si>
    <t xml:space="preserve">3rd  Payment - Penang Street Food Festival </t>
  </si>
  <si>
    <t>20% of total RM299,999.93</t>
  </si>
  <si>
    <t>V2019/1184</t>
  </si>
  <si>
    <t>688500</t>
  </si>
  <si>
    <t>13/11/2019</t>
  </si>
  <si>
    <t>1800574911</t>
  </si>
  <si>
    <t xml:space="preserve">Marketing campaign with MAS UK &amp; Europe for </t>
  </si>
  <si>
    <t>UK Website Digital Campaign Promotions, MAS</t>
  </si>
  <si>
    <t>Taste Tour &amp; Sales Promotion Campaign</t>
  </si>
  <si>
    <t>16th Dec 2019</t>
  </si>
  <si>
    <t>V2019/1196</t>
  </si>
  <si>
    <t>PGTEFT4739</t>
  </si>
  <si>
    <t>(-) CN -S1907101 over charged for Inv S1907101</t>
  </si>
  <si>
    <t>V2019/1199</t>
  </si>
  <si>
    <t>688502</t>
  </si>
  <si>
    <t>31/12/2019</t>
  </si>
  <si>
    <t>LC2019088235</t>
  </si>
  <si>
    <t>(1/1/2020-31/12/2020)</t>
  </si>
  <si>
    <t>V2019/1200</t>
  </si>
  <si>
    <t>18th Dec 2019</t>
  </si>
  <si>
    <t>Net Bantuan Khas Kewangan for PGT for the year of 2019</t>
  </si>
  <si>
    <t>V2019/1140</t>
  </si>
  <si>
    <t>Qatar Airways - Oryx (Dec'19)</t>
  </si>
  <si>
    <t>(SGD 9,300 @ 3.0997)</t>
  </si>
  <si>
    <t>Motivate Media Group</t>
  </si>
  <si>
    <t>Level 33-34, Media One Office Tower</t>
  </si>
  <si>
    <t>P O Box 2331</t>
  </si>
  <si>
    <t>Dubai Media City, United Arab Emirates</t>
  </si>
  <si>
    <t>V2019/1202</t>
  </si>
  <si>
    <t>PGTEFT4743</t>
  </si>
  <si>
    <t>Balik Pulau &amp; Teluk Bahang Brochure</t>
  </si>
  <si>
    <t>10/12/2019</t>
  </si>
  <si>
    <t>JT/1573</t>
  </si>
  <si>
    <t>Brochure Map (50% balance payment)</t>
  </si>
  <si>
    <t xml:space="preserve"> - Information gathering</t>
  </si>
  <si>
    <t xml:space="preserve"> - Content development </t>
  </si>
  <si>
    <t xml:space="preserve"> - Creative design</t>
  </si>
  <si>
    <t>V2019/1203</t>
  </si>
  <si>
    <t>PGTEFT4744</t>
  </si>
  <si>
    <t>Boon Seng Wholesales Enterprise</t>
  </si>
  <si>
    <t>18-G-15, Hilir Sungai Pinang</t>
  </si>
  <si>
    <t>Serina Bay</t>
  </si>
  <si>
    <t>Tel : 012-441 1949</t>
  </si>
  <si>
    <t>11/12/2019</t>
  </si>
  <si>
    <t>SAJ/2019/2958</t>
  </si>
  <si>
    <t>Marshmallow for Quantum of the Sea on 25/12/2019</t>
  </si>
  <si>
    <t xml:space="preserve"> - 1,500pcs</t>
  </si>
  <si>
    <t>V2019/1204</t>
  </si>
  <si>
    <t>PGTEFT4745</t>
  </si>
  <si>
    <t>13/12/2019</t>
  </si>
  <si>
    <t>Photography service for Oct- Dec'19</t>
  </si>
  <si>
    <t>V2019/1206</t>
  </si>
  <si>
    <t>PGTEFT4747</t>
  </si>
  <si>
    <t>240863</t>
  </si>
  <si>
    <t>To dismantle existing acrylic frame and install new</t>
  </si>
  <si>
    <t>Service charge (work permit &amp; insurance by PIA)</t>
  </si>
  <si>
    <t>V2019/1208</t>
  </si>
  <si>
    <t>PGTEFT4749</t>
  </si>
  <si>
    <t>00002</t>
  </si>
  <si>
    <t>23/11/2019</t>
  </si>
  <si>
    <t>0003</t>
  </si>
  <si>
    <t>Guide fee on 23/11/2019</t>
  </si>
  <si>
    <t>V2019/1209</t>
  </si>
  <si>
    <t>PGTEFT4750</t>
  </si>
  <si>
    <t>China Travel Agents FAM on 29 Nov - 3 Dec 2019</t>
  </si>
  <si>
    <t>PI/CO/ZA/211 R1</t>
  </si>
  <si>
    <t>Luncheon hosting on 2/12/2019 (30pax)</t>
  </si>
  <si>
    <t>V2019/1224</t>
  </si>
  <si>
    <t>PGTEFT4761</t>
  </si>
  <si>
    <t>23rd Dec 2019</t>
  </si>
  <si>
    <t>3A.7, Menara KEN TTDI</t>
  </si>
  <si>
    <t>46, Jalan Burhanuddin Helmi</t>
  </si>
  <si>
    <t>Tel : 011-7000 899</t>
  </si>
  <si>
    <t xml:space="preserve">Publicity - G'tow Literary Festival </t>
  </si>
  <si>
    <t>2019475</t>
  </si>
  <si>
    <t xml:space="preserve">Radio Advertising in BFM 89.9 </t>
  </si>
  <si>
    <t>Period : 16/11-22/11/2019</t>
  </si>
  <si>
    <t>10% service charge</t>
  </si>
  <si>
    <t xml:space="preserve">50% upfront for videography &amp; photography on </t>
  </si>
  <si>
    <t>pre-event &amp; event coverage</t>
  </si>
  <si>
    <t>(50% of total RM15,000)</t>
  </si>
  <si>
    <t>V2019/1229</t>
  </si>
  <si>
    <t>PGTEFT4766</t>
  </si>
  <si>
    <t>7/12/2019</t>
  </si>
  <si>
    <t>20191207</t>
  </si>
  <si>
    <t>Guide fee on 7/12/2019</t>
  </si>
  <si>
    <t>31st Dec 2019</t>
  </si>
  <si>
    <r>
      <t xml:space="preserve">full acrylic frame at Pg Int Airport </t>
    </r>
    <r>
      <rPr>
        <sz val="9"/>
        <rFont val="Arial"/>
        <family val="2"/>
      </rPr>
      <t>(Domestic &amp; International arrival hall)</t>
    </r>
  </si>
  <si>
    <t>V2019/1239</t>
  </si>
  <si>
    <t>PGTEFT4775</t>
  </si>
  <si>
    <t>Muhammad Haiqal bin Mohd Pauzi</t>
  </si>
  <si>
    <t>Politeknik Merlimau</t>
  </si>
  <si>
    <t>Memo date 23.9.2019</t>
  </si>
  <si>
    <t>period from 9th Dec 2019 to 24th Apr 2020</t>
  </si>
  <si>
    <t>26th Dec 2019</t>
  </si>
  <si>
    <t>V2019/1245</t>
  </si>
  <si>
    <t>PGTEFT4781</t>
  </si>
  <si>
    <t>dated 20.12.2019</t>
  </si>
  <si>
    <t xml:space="preserve"> - Purchase of Christmas candy for Quantum of The Sea</t>
  </si>
  <si>
    <t>on 25/12/2019</t>
  </si>
  <si>
    <t> finance.cr@cititelpenang.com</t>
  </si>
  <si>
    <t>36053U</t>
  </si>
  <si>
    <t>via CIM BizChannel</t>
  </si>
  <si>
    <t>26/12/2019</t>
  </si>
  <si>
    <t>CA/19/0143</t>
  </si>
  <si>
    <t>30/12/2019</t>
  </si>
  <si>
    <t>V2019/1250</t>
  </si>
  <si>
    <t>PGTEFT4786</t>
  </si>
  <si>
    <t>24/12/2019</t>
  </si>
  <si>
    <t>INV2951</t>
  </si>
  <si>
    <t>Coaster Set of 6 - 1,500sets @ RM4.05 each</t>
  </si>
  <si>
    <t>Individual coaster - 3,000pcs @ RM0.77 each</t>
  </si>
  <si>
    <t>V2019/1251</t>
  </si>
  <si>
    <t>PGTEFT4787</t>
  </si>
  <si>
    <t>738, Jalan Sungai Dua</t>
  </si>
  <si>
    <t>H/P : 016- 401 0468</t>
  </si>
  <si>
    <t>Upkeep of M/V</t>
  </si>
  <si>
    <t>172429</t>
  </si>
  <si>
    <t>Vehicle Tint - PNT6863 (9 windows)</t>
  </si>
  <si>
    <t>Incl. window wash &amp; labour charge</t>
  </si>
  <si>
    <t>V2019/1253</t>
  </si>
  <si>
    <t>PGTEFT4789</t>
  </si>
  <si>
    <t>EZ1912-007</t>
  </si>
  <si>
    <t>Advertising for Essenze Magazine (Australia)</t>
  </si>
  <si>
    <t>Vol 17-20 Full Page</t>
  </si>
  <si>
    <t>V2019/1254</t>
  </si>
  <si>
    <t>PGTEFT4790</t>
  </si>
  <si>
    <t>Monkey Ideas Event</t>
  </si>
  <si>
    <t>48, Lebuh Mahsuri</t>
  </si>
  <si>
    <t>11950 Bayan Baru</t>
  </si>
  <si>
    <t>20/12/2019</t>
  </si>
  <si>
    <t>INV 309</t>
  </si>
  <si>
    <t>Emcee for ShenZhen Airlines Inaugural Flight on 18/12/19</t>
  </si>
  <si>
    <t>V2019/1269</t>
  </si>
  <si>
    <t>688595</t>
  </si>
  <si>
    <t>6% SST for MPSP food trail brochure and tourist map</t>
  </si>
  <si>
    <t>shooting</t>
  </si>
  <si>
    <t>191126-076</t>
  </si>
  <si>
    <t>Penang Street Food Map</t>
  </si>
  <si>
    <t xml:space="preserve">(Eng &amp; Mandarin) </t>
  </si>
  <si>
    <t>Layout arrangement for Penang Street Food Map</t>
  </si>
  <si>
    <t>MPSP Food Map</t>
  </si>
  <si>
    <t>191226-080</t>
  </si>
  <si>
    <t>Professional charges for MPSP food map, including of</t>
  </si>
  <si>
    <t>update of information, content writing, editing, proofreading,</t>
  </si>
  <si>
    <t>and update on images. Including translation from Eng to Chinese</t>
  </si>
  <si>
    <t>layout arragement for Chinese version</t>
  </si>
  <si>
    <t xml:space="preserve">Printing of MPSP Food Map (Eng) - 50,000pcs </t>
  </si>
  <si>
    <t xml:space="preserve">Printing of MPSP Food Map (Chi) - 50,000pcs </t>
  </si>
  <si>
    <t>191226-081</t>
  </si>
  <si>
    <t>Professional charges for MPSP Tourist Map, including of</t>
  </si>
  <si>
    <t xml:space="preserve">Printing of MPSP Tourist Map (Eng) - 50,000pcs </t>
  </si>
  <si>
    <t xml:space="preserve">Printing of MPSP Tourist Map (Chi) - 50,000pcs </t>
  </si>
  <si>
    <t>Illusion Auto</t>
  </si>
  <si>
    <t>V2019/1186</t>
  </si>
  <si>
    <t>Northstar Travel Media Singapore Pte Ltd</t>
  </si>
  <si>
    <t>91, Bencoolen Street</t>
  </si>
  <si>
    <t>#05-08, Sunshine Plaze</t>
  </si>
  <si>
    <t>189652 Singapore</t>
  </si>
  <si>
    <t>CrusieWorld Asia (Singapore) 2019 Conference</t>
  </si>
  <si>
    <t>2019/NTG/512</t>
  </si>
  <si>
    <t>Travel Weekly Asia Digital Ads on Globalwrap e-daily</t>
  </si>
  <si>
    <t xml:space="preserve">&amp; cruise edaily </t>
  </si>
  <si>
    <t>(SGD6,420 @ RM3.09090)</t>
  </si>
  <si>
    <t>(GBP800 @ 5.4501)</t>
  </si>
  <si>
    <t xml:space="preserve">Rental of 42" LED Screen in WTM </t>
  </si>
  <si>
    <t>'INV 3072</t>
  </si>
  <si>
    <t>World Travel Mart London 2019</t>
  </si>
  <si>
    <t>United Kingdom</t>
  </si>
  <si>
    <t xml:space="preserve">London W8 7JB </t>
  </si>
  <si>
    <t>51, Holland Street</t>
  </si>
  <si>
    <t>Highbury UK Service Limited</t>
  </si>
  <si>
    <t>V2019/1187</t>
  </si>
  <si>
    <t>V2019/1188</t>
  </si>
  <si>
    <t>Knight PR And Communications Co. Ltd</t>
  </si>
  <si>
    <t>8F, No.82, Zhongzheng S Rd.</t>
  </si>
  <si>
    <t>Sanchong Dist, New Taipei City 241</t>
  </si>
  <si>
    <t>Trade Foldable Brochure</t>
  </si>
  <si>
    <t>29/11/2019</t>
  </si>
  <si>
    <t>PGT201911T</t>
  </si>
  <si>
    <t>Being fee for proofreading of trade foldable brochure</t>
  </si>
  <si>
    <t>(Chinese traditional)</t>
  </si>
  <si>
    <t>(USD 206.73 @ 4.1887 )</t>
  </si>
  <si>
    <t>V2019/1189</t>
  </si>
  <si>
    <t>Lion Travel Service Co. Ltd</t>
  </si>
  <si>
    <t>No. 151, Shitan Rd. Neihu Dist.</t>
  </si>
  <si>
    <t>Taipei City, Taiwan R.O.C</t>
  </si>
  <si>
    <t>HE31292958</t>
  </si>
  <si>
    <t>Joint Promotion with Lion Travel Wholesaler in Taiwan</t>
  </si>
  <si>
    <t>Dec 2019 to Nov 2020</t>
  </si>
  <si>
    <t xml:space="preserve">50% Joint promotin campaign fee with Lion Travel </t>
  </si>
  <si>
    <t>Incl. Online media, TTE promotion, ITF Promotion &amp; offline media</t>
  </si>
  <si>
    <t>(USD 16,407.09 @ 4.1887 )</t>
  </si>
  <si>
    <t>V2019/1221</t>
  </si>
  <si>
    <t>ADG2019-006</t>
  </si>
  <si>
    <t xml:space="preserve">Balance payment - Marketing Campaign in Partnership </t>
  </si>
  <si>
    <t>with Krungthai Card Public Company Limited (KTC) &amp; Thai AirAsia</t>
  </si>
  <si>
    <t>7th Jan 2020</t>
  </si>
  <si>
    <t>Atlantic by Motion in Style Sdn Bhd</t>
  </si>
  <si>
    <t>16, Lebuhraya Halia</t>
  </si>
  <si>
    <t>Tel : 017-873 4896</t>
  </si>
  <si>
    <t xml:space="preserve">Video Production </t>
  </si>
  <si>
    <t>V2020/008</t>
  </si>
  <si>
    <t>PGTEFT4812</t>
  </si>
  <si>
    <t>V2020/009</t>
  </si>
  <si>
    <t>PGTEFT4813</t>
  </si>
  <si>
    <t>M Summit Development Sdn Bhd</t>
  </si>
  <si>
    <t xml:space="preserve">MAS Travel Agents FAM &amp; Engagement Session with </t>
  </si>
  <si>
    <t>Penang Industry Players</t>
  </si>
  <si>
    <t>17/11/2019</t>
  </si>
  <si>
    <t>CS-00072</t>
  </si>
  <si>
    <t>Lunch hosting on 17/11/2019 (35 pax)</t>
  </si>
  <si>
    <t>193110000240</t>
  </si>
  <si>
    <t>China-Penang AirAsia FlyThru Marketing Campaign</t>
  </si>
  <si>
    <t>from Oct - Nov 2019</t>
  </si>
  <si>
    <t>V2020/021</t>
  </si>
  <si>
    <t>Hot Air Balloon Fiesta 2020</t>
  </si>
  <si>
    <t>A.K.A Balloon Sdn Bhd</t>
  </si>
  <si>
    <t>B1-28-2, Midfields Square West</t>
  </si>
  <si>
    <t>Jalan 11/108C, Off Lebuhraya Sg. Besi</t>
  </si>
  <si>
    <t>57100 Kuala Lumpur</t>
  </si>
  <si>
    <t>688506</t>
  </si>
  <si>
    <t>Airtrip Betsukuchi</t>
  </si>
  <si>
    <t xml:space="preserve">Atago Green Hills MORI Tower 19F, </t>
  </si>
  <si>
    <t>2-5-1 Atago, Minato-ku</t>
  </si>
  <si>
    <t>Tokyo 105-6219</t>
  </si>
  <si>
    <t>Tourism Expo Japan (TEJ)</t>
  </si>
  <si>
    <t>V2019/1271</t>
  </si>
  <si>
    <t>APPR19121814</t>
  </si>
  <si>
    <t>Tactical campaign with Airtrip (Online Travel Agent)</t>
  </si>
  <si>
    <t>(JPY1,000,000 @ 0.038255)</t>
  </si>
  <si>
    <t>V2019/1274</t>
  </si>
  <si>
    <t>20191224</t>
  </si>
  <si>
    <t>50% balance payment for Douyin Campaign</t>
  </si>
  <si>
    <t>(USD25,400 @ 4.1377)</t>
  </si>
  <si>
    <t>Asean Tourism Forum 2020</t>
  </si>
  <si>
    <t>Thirty Three Thousand and Ninety Only</t>
  </si>
  <si>
    <t>Cityneon Displays &amp; Construction Sdn Bhd</t>
  </si>
  <si>
    <t>Lot 42, Beribi Light Industrial Estate</t>
  </si>
  <si>
    <t>Phase II, Gadong BE1118 Bandar Seri Begawan</t>
  </si>
  <si>
    <t>Brunei Darussalam</t>
  </si>
  <si>
    <t>6/1/2020</t>
  </si>
  <si>
    <t>00672</t>
  </si>
  <si>
    <t>Electrical Lighting connection charges</t>
  </si>
  <si>
    <t>(USD 2,900 @ 4.1377)</t>
  </si>
  <si>
    <t>V2020/027</t>
  </si>
  <si>
    <t>PGTEFT4824</t>
  </si>
  <si>
    <t>15th Jan 2020</t>
  </si>
  <si>
    <t>Reimbursement</t>
  </si>
  <si>
    <t>3/1/2020</t>
  </si>
  <si>
    <t>V2020/029</t>
  </si>
  <si>
    <t>PGTEFT4826</t>
  </si>
  <si>
    <t>Shenzhen Airline Agents FAM on 3 Jan - 6 Jan 2020</t>
  </si>
  <si>
    <t>410485</t>
  </si>
  <si>
    <t>Hotel accommodation for 11 rooms x 2 nights</t>
  </si>
  <si>
    <t>V2020/032</t>
  </si>
  <si>
    <t>PGTEFT4829</t>
  </si>
  <si>
    <t>High School Visit and Penang Education Fair in Mandalay</t>
  </si>
  <si>
    <t xml:space="preserve"> - Being reimbursement for dinner hosting for principals</t>
  </si>
  <si>
    <t>and teachers on 1/11 &amp; 5/11/2019</t>
  </si>
  <si>
    <t>V2020/034</t>
  </si>
  <si>
    <t>PGTEFT4831</t>
  </si>
  <si>
    <t>KKCN20-IV001</t>
  </si>
  <si>
    <t>Design Royalty Fee (Jul - Dec 2019)</t>
  </si>
  <si>
    <t xml:space="preserve">Street of Harmony Mugs </t>
  </si>
  <si>
    <t>Street of Harmony Long Cotton Bags</t>
  </si>
  <si>
    <t>V2020/054</t>
  </si>
  <si>
    <t>PGTEFT4846</t>
  </si>
  <si>
    <t>20th Jan 2020</t>
  </si>
  <si>
    <t>13/1/2020</t>
  </si>
  <si>
    <t>CNET/20/0504</t>
  </si>
  <si>
    <t>Professional fees - Dec'19</t>
  </si>
  <si>
    <t>688513</t>
  </si>
  <si>
    <t>V2020/057</t>
  </si>
  <si>
    <t>8/1/2020</t>
  </si>
  <si>
    <t>PRG/JSM/PP-PP1-0012</t>
  </si>
  <si>
    <t xml:space="preserve"> - Pre-event to take care of balloon storage, game </t>
  </si>
  <si>
    <t>equipment, refuelling area on 30/1/ &amp; 31/1/2020</t>
  </si>
  <si>
    <t xml:space="preserve"> - After event to take care of balloon storage, game </t>
  </si>
  <si>
    <t>equipment, refuelling area on 1/2 &amp; 2/2/2020</t>
  </si>
  <si>
    <t xml:space="preserve"> - During event at ticketing counter, head counting, </t>
  </si>
  <si>
    <t>public parking, to assist local council, monitor &amp; control</t>
  </si>
  <si>
    <t>V2020/058</t>
  </si>
  <si>
    <t>PGTEFT4849</t>
  </si>
  <si>
    <t>21st Jan 2020</t>
  </si>
  <si>
    <t>20/1/2020</t>
  </si>
  <si>
    <t>Installation of Banting - 83pcs</t>
  </si>
  <si>
    <t>19th Jan to 19th Apr 2020</t>
  </si>
  <si>
    <t>Memo dated 29.11.2019</t>
  </si>
  <si>
    <t>Siti Sarah Sofiyah Binti Sheikh Zakir</t>
  </si>
  <si>
    <t>Universiti Sultan Zainal Abidin</t>
  </si>
  <si>
    <t>V2020/067</t>
  </si>
  <si>
    <t>PGTEFT4857</t>
  </si>
  <si>
    <t>16/1/2020</t>
  </si>
  <si>
    <t>14/1/2020</t>
  </si>
  <si>
    <t>31/1/2020</t>
  </si>
  <si>
    <t>1/2/2020</t>
  </si>
  <si>
    <t>Payment of Income Tax for Year Accessment 2020</t>
  </si>
  <si>
    <t>V2020/083</t>
  </si>
  <si>
    <t>PGTEFT4871</t>
  </si>
  <si>
    <t>3st Feb 2020</t>
  </si>
  <si>
    <t>18635</t>
  </si>
  <si>
    <t>China Visa for Mr Ooi Chok Yan (Double entry)</t>
  </si>
  <si>
    <t>V2020/084</t>
  </si>
  <si>
    <t>PGTEFT4872</t>
  </si>
  <si>
    <t>Ahmad Syafiq bin Zakaria</t>
  </si>
  <si>
    <t>No,59, Jalan SS19/1F Subang Jaya</t>
  </si>
  <si>
    <t>47500 Petaling Jaya</t>
  </si>
  <si>
    <t>Hot Air Balloon 2020</t>
  </si>
  <si>
    <t>035</t>
  </si>
  <si>
    <t>Emcee services for Pg Hot Air Balloon on 1/2-2/2/2020</t>
  </si>
  <si>
    <t>(2 days)</t>
  </si>
  <si>
    <t>V2020/085</t>
  </si>
  <si>
    <t>7th Feb 2020</t>
  </si>
  <si>
    <t>Star Clippers Italian Media FAM on 20th Jan 2020</t>
  </si>
  <si>
    <t>21/1/2020</t>
  </si>
  <si>
    <t>324268</t>
  </si>
  <si>
    <t>English speaking guide for 1 day (3 pax)</t>
  </si>
  <si>
    <t>22/1/2020</t>
  </si>
  <si>
    <t>Professional fees of preparing payroll for Jan'2020</t>
  </si>
  <si>
    <t>28/1/2020</t>
  </si>
  <si>
    <t>V2020/089</t>
  </si>
  <si>
    <t>PGTEFT4876</t>
  </si>
  <si>
    <t>Cellex Resources Tours Sdn Bhd</t>
  </si>
  <si>
    <t>Lot 2, Kompleks Letak Kereta MBPP</t>
  </si>
  <si>
    <t xml:space="preserve">10300 Lebuh Pantai </t>
  </si>
  <si>
    <t>Penang Hot Air Balloon 2020</t>
  </si>
  <si>
    <t>clx/200105</t>
  </si>
  <si>
    <t>Rental of buggy (including of driver)</t>
  </si>
  <si>
    <t>Rental of tram (including of driver)</t>
  </si>
  <si>
    <t>V2020/090</t>
  </si>
  <si>
    <t>PGTEFT4877</t>
  </si>
  <si>
    <t>15/1/2020</t>
  </si>
  <si>
    <t>3333796</t>
  </si>
  <si>
    <t>from 1/1/2020 - 31/3/2020</t>
  </si>
  <si>
    <t>V2020/093</t>
  </si>
  <si>
    <t>PGTEFT4880</t>
  </si>
  <si>
    <t>Being food catering for MBPP on 1/2/2020</t>
  </si>
  <si>
    <t>Being food catering for MBPP on 2/2/2020</t>
  </si>
  <si>
    <t>01001</t>
  </si>
  <si>
    <t>Shooting of two locations with drone - Escape's longest</t>
  </si>
  <si>
    <t>Tourism Malaysia &amp; Qatar Airways Nordic Media FAM</t>
  </si>
  <si>
    <t>on 11-14th Feb 2020</t>
  </si>
  <si>
    <t>Transportation &amp; guide for 3 days (10pax)</t>
  </si>
  <si>
    <t>Trishaw ride (10pax)</t>
  </si>
  <si>
    <t>Meals arrangement (10 pax)</t>
  </si>
  <si>
    <t>Cycling tour (10pax)</t>
  </si>
  <si>
    <t>V2020/100</t>
  </si>
  <si>
    <t>PGTEFT4887</t>
  </si>
  <si>
    <t>KKNPP/02020/02/02
(01)</t>
  </si>
  <si>
    <t>Welcoming reception on 5/12/2019 - Sun Princess</t>
  </si>
  <si>
    <t xml:space="preserve">Welcoming reception on 8/12/2019 - Mein Schiff </t>
  </si>
  <si>
    <t>Welcoming reception on 11/12/2019 - Quantum of the sea</t>
  </si>
  <si>
    <t>Welcoming reception on 15/12/2019 - Costa Fortuna</t>
  </si>
  <si>
    <t>Welcoming reception on 28/12/2019 - Aida Bella</t>
  </si>
  <si>
    <t>Welcoming reception on 18/12/2019 - Aida Bella</t>
  </si>
  <si>
    <t>V2020/101</t>
  </si>
  <si>
    <t>PGTEFT4888</t>
  </si>
  <si>
    <t>4/2/2020</t>
  </si>
  <si>
    <t>20200204-H</t>
  </si>
  <si>
    <t>Emcee for Penang Hot Air Balloon on 1/12/2020-2/2/2020</t>
  </si>
  <si>
    <t>Refreshment/Food</t>
  </si>
  <si>
    <t>Petrol</t>
  </si>
  <si>
    <t>V2020/121</t>
  </si>
  <si>
    <t>688517</t>
  </si>
  <si>
    <t>2019/2910</t>
  </si>
  <si>
    <t>Joint Advertisting with Malaysia Airport Berhad, TM on</t>
  </si>
  <si>
    <t>VM2020 &amp; EPY 2020</t>
  </si>
  <si>
    <t>V2020/123</t>
  </si>
  <si>
    <t>PGTEFT4908</t>
  </si>
  <si>
    <t>11th Feb 2020</t>
  </si>
  <si>
    <t>3/2/2020</t>
  </si>
  <si>
    <t>V2020/125</t>
  </si>
  <si>
    <t>PGTEFT4910</t>
  </si>
  <si>
    <t>INV-200207</t>
  </si>
  <si>
    <t>Entrance ticket to The Habitat (8 pax)</t>
  </si>
  <si>
    <t>V2020/025</t>
  </si>
  <si>
    <t>10th Jan 2020</t>
  </si>
  <si>
    <t>Modetour Korea Marketing Collaboration (Aug-Dec)</t>
  </si>
  <si>
    <t>(USD20,757.48 @ 4.1277)</t>
  </si>
  <si>
    <t>V2020/129</t>
  </si>
  <si>
    <t>PGTEFT4914</t>
  </si>
  <si>
    <t>17th Feb 2020</t>
  </si>
  <si>
    <t>10/2/2020</t>
  </si>
  <si>
    <t>ai-0069-200210</t>
  </si>
  <si>
    <t>pgt-shoutout</t>
  </si>
  <si>
    <t>Video editing Wuhan Jiayou (90 secs Full HD Video)</t>
  </si>
  <si>
    <t>V2020/130</t>
  </si>
  <si>
    <t>PGTEFT4915</t>
  </si>
  <si>
    <t>6/2/2020</t>
  </si>
  <si>
    <t>00058916</t>
  </si>
  <si>
    <t>Penang 2030 Roll Up Stand-2 pcs</t>
  </si>
  <si>
    <t>V2020/131</t>
  </si>
  <si>
    <t>PGTEFT4916</t>
  </si>
  <si>
    <t>7/2/2020</t>
  </si>
  <si>
    <t>CR1367-20-IN-PGT</t>
  </si>
  <si>
    <t>Website Enchanment (PGT website updates)</t>
  </si>
  <si>
    <t>V2020/132</t>
  </si>
  <si>
    <t>PGTEFT4917</t>
  </si>
  <si>
    <t>15780</t>
  </si>
  <si>
    <t>Tea Reception for 100pax on 1/2/2020</t>
  </si>
  <si>
    <t>Actual usage for the month Jan'20:</t>
  </si>
  <si>
    <t>Black &amp; White -  5,184pcs @ RM0.03</t>
  </si>
  <si>
    <t>Colour - 1,708pcs @ RM0.50</t>
  </si>
  <si>
    <t>V2020/134</t>
  </si>
  <si>
    <t>PGTEFT4919</t>
  </si>
  <si>
    <t xml:space="preserve">Australian Media "Good Food Magazine" FAM </t>
  </si>
  <si>
    <t>on 4th-5th Jan 2020</t>
  </si>
  <si>
    <t>SDV2020PGTJan107</t>
  </si>
  <si>
    <t>Cookiing class on 4/1/2020 (2 pax)</t>
  </si>
  <si>
    <t>V2020/135</t>
  </si>
  <si>
    <t>PGTEFT4920</t>
  </si>
  <si>
    <t>Pre-Jeddah International Travel &amp; Exhibition 2020 Raodshow</t>
  </si>
  <si>
    <t>to Doha-Qatar &amp; Medina Saudi Arabia on 21-26th Feb 2020</t>
  </si>
  <si>
    <t>Ref : TOURISM.600-1/2/138</t>
  </si>
  <si>
    <t>V2020/137</t>
  </si>
  <si>
    <t>PGTEFT4922</t>
  </si>
  <si>
    <t>Translation of YAB Speech for PICAF (Eng&gt;BM)</t>
  </si>
  <si>
    <t>Translation of YB Speech for PICAF (Eng&gt;BM)</t>
  </si>
  <si>
    <t>V2020/138</t>
  </si>
  <si>
    <t>PGTEFT4923</t>
  </si>
  <si>
    <t>Mohd Shahrizan bin Shahabudin</t>
  </si>
  <si>
    <t>1-5-17 Taman Sri Pinang</t>
  </si>
  <si>
    <t>Jalan Veterinary</t>
  </si>
  <si>
    <t>10000 George Town</t>
  </si>
  <si>
    <t>Formal emcee for HAB opening on 1/2/2020</t>
  </si>
  <si>
    <t>V2020/148</t>
  </si>
  <si>
    <t>50% balance of Allowance for Rela :</t>
  </si>
  <si>
    <t>688519</t>
  </si>
  <si>
    <t>V2020/155</t>
  </si>
  <si>
    <t>21st Feb 2020</t>
  </si>
  <si>
    <t>688522</t>
  </si>
  <si>
    <t>21/2/2020</t>
  </si>
  <si>
    <t>INV1170</t>
  </si>
  <si>
    <t xml:space="preserve">4th payment for Penang HAB </t>
  </si>
  <si>
    <t xml:space="preserve">(-) Public tethered ride </t>
  </si>
  <si>
    <t>(-) VIP tethered ride</t>
  </si>
  <si>
    <t xml:space="preserve">(-) Cold inflation </t>
  </si>
  <si>
    <t>(-) Funzone sales 25%</t>
  </si>
  <si>
    <t>(-) Stalls rental collection 60%</t>
  </si>
  <si>
    <t>29th Feb 2020</t>
  </si>
  <si>
    <t>PGTEFT4945</t>
  </si>
  <si>
    <t>24th Feb 2020</t>
  </si>
  <si>
    <t>V2020/158</t>
  </si>
  <si>
    <t>PGTEFT4934</t>
  </si>
  <si>
    <t>18/2/2020</t>
  </si>
  <si>
    <t>31978</t>
  </si>
  <si>
    <t>Twin Lions Dance performance on 26/1/2020 Quantum</t>
  </si>
  <si>
    <t>V2020/159</t>
  </si>
  <si>
    <t>PGTEFT4935</t>
  </si>
  <si>
    <t>13/2/2020</t>
  </si>
  <si>
    <t>PHI0000470</t>
  </si>
  <si>
    <t>Additional usage of van on 13/2/2020 (cycling tour)</t>
  </si>
  <si>
    <t>14/2/2020</t>
  </si>
  <si>
    <t>PDI0000569</t>
  </si>
  <si>
    <t xml:space="preserve">Additional private tour on 14/2/2020 (1pax) &amp; </t>
  </si>
  <si>
    <t>entrance fee to TSG</t>
  </si>
  <si>
    <t>Movinlight Studio</t>
  </si>
  <si>
    <t>39 Pesiaran Bukit Kecil 4</t>
  </si>
  <si>
    <t>Taman Sri Nibong</t>
  </si>
  <si>
    <t xml:space="preserve">Penang Centre of Medical Tourism </t>
  </si>
  <si>
    <t>Jata Tourism Expo Japan</t>
  </si>
  <si>
    <t>V2020/163</t>
  </si>
  <si>
    <t>688523</t>
  </si>
  <si>
    <t>MyGap Exhibition and Services Sdn Bhd</t>
  </si>
  <si>
    <t>D-17-07, Menara Suezcap 1</t>
  </si>
  <si>
    <t xml:space="preserve">KL Gateway </t>
  </si>
  <si>
    <t>No.2, Jalan Kerinchi, Gerbang Kerinchi Lestari</t>
  </si>
  <si>
    <t>MYGAP2020/0001</t>
  </si>
  <si>
    <t>Event organizer to EPY Roadshow in KL</t>
  </si>
  <si>
    <t>Experience Penang Roadshow in KL on 12/3/2020</t>
  </si>
  <si>
    <t>(inclusive of venue renta, F&amp;B, performance, photography, printing,</t>
  </si>
  <si>
    <t>lucky draw, PA system, backdrop, KOL and misc.)</t>
  </si>
  <si>
    <t>(80% upfront of total RM105,860)</t>
  </si>
  <si>
    <t>V2020/164</t>
  </si>
  <si>
    <t>PGTEFT4939</t>
  </si>
  <si>
    <t>29/2/2020</t>
  </si>
  <si>
    <t>BM-200202</t>
  </si>
  <si>
    <t>Brochure distribution for the month of Feb</t>
  </si>
  <si>
    <t>1/2/2020 - 29/2/2020</t>
  </si>
  <si>
    <t>V2020/171</t>
  </si>
  <si>
    <t xml:space="preserve"> - 1st Feb to 29th Feb 2020</t>
  </si>
  <si>
    <t>V2020/173</t>
  </si>
  <si>
    <t>PGTEFT4948</t>
  </si>
  <si>
    <t>PGTEFT4949</t>
  </si>
  <si>
    <t>V2020/175</t>
  </si>
  <si>
    <t>27th Feb 2020</t>
  </si>
  <si>
    <t>Cost of Goods Sold - Jan'20</t>
  </si>
  <si>
    <t>PGT01-20INV</t>
  </si>
  <si>
    <t>Ernest's Streetart Postcards x 1</t>
  </si>
  <si>
    <t>Street of G'town Sculptures Postcard x 2</t>
  </si>
  <si>
    <t>Food that makes you go mmm Postcard x 2</t>
  </si>
  <si>
    <t>The Little Mamak x 1</t>
  </si>
  <si>
    <t>V2020/176</t>
  </si>
  <si>
    <t>PGTEFT4950</t>
  </si>
  <si>
    <t>25/2/2020</t>
  </si>
  <si>
    <t>IV-14169</t>
  </si>
  <si>
    <t>Peranakan Metal Pen Refill (Black ink) - 220pcs</t>
  </si>
  <si>
    <t>V2020/177</t>
  </si>
  <si>
    <t>PGTEFT4951</t>
  </si>
  <si>
    <t>dated 25.2.2020</t>
  </si>
  <si>
    <t xml:space="preserve"> - Birthday cake for Feb'20</t>
  </si>
  <si>
    <t xml:space="preserve"> - Snacks for office for Feb'20</t>
  </si>
  <si>
    <t xml:space="preserve"> - Data point repair (Ramlee's workstation)</t>
  </si>
  <si>
    <t>V2020/179</t>
  </si>
  <si>
    <t>PGTEFT4953</t>
  </si>
  <si>
    <t>EPY Roadshow Taiwan 2019</t>
  </si>
  <si>
    <t>INV/MPT191111</t>
  </si>
  <si>
    <t xml:space="preserve">China Airline Return Ticket for Lucky Draw </t>
  </si>
  <si>
    <t>(TWD 16,784.46 @ 7.2790)</t>
  </si>
  <si>
    <t>26/2/2020</t>
  </si>
  <si>
    <t>V2020/188</t>
  </si>
  <si>
    <t>688524</t>
  </si>
  <si>
    <t>period from 24th Feb to 13th June 2020</t>
  </si>
  <si>
    <t>Memo dated 2.1.2020</t>
  </si>
  <si>
    <t>Hamizah Binti Azmi</t>
  </si>
  <si>
    <t>Universiti Teknologi Mara</t>
  </si>
  <si>
    <t>Tourism Malaysia Doha Roadshow on 21-23rd Feb 2020</t>
  </si>
  <si>
    <t>INV-0014295</t>
  </si>
  <si>
    <t>Air Ticket - Ooi Chok Yan, Yoon Pauline, Affa</t>
  </si>
  <si>
    <t>PEN-DOHA-KUL-PEN</t>
  </si>
  <si>
    <t>Hotel Accommodation - OCY, YP &amp; Affa</t>
  </si>
  <si>
    <t>(3 roomsx3nights)</t>
  </si>
  <si>
    <t>INV-0014319</t>
  </si>
  <si>
    <t>Travel Insurance - Affa</t>
  </si>
  <si>
    <t>ITB Berlin on 3rd to 8th March 2020</t>
  </si>
  <si>
    <t>INV-0014314</t>
  </si>
  <si>
    <t>PEN-KUL-AMS-TXL-AMS-KUL</t>
  </si>
  <si>
    <t>KUL-PEN</t>
  </si>
  <si>
    <t>Hotel Accommodation x 7 nights @ RM771/night</t>
  </si>
  <si>
    <t>INV-0014318</t>
  </si>
  <si>
    <t>Air Ticket - Khoo Boo Lim</t>
  </si>
  <si>
    <t>PEN-KUL-AMS-TXL-AMS-KUL-PEN</t>
  </si>
  <si>
    <t>Hotel Accommodation x 7 nights @ RM717/night</t>
  </si>
  <si>
    <t>INV-0014315</t>
  </si>
  <si>
    <t>V2020/194</t>
  </si>
  <si>
    <t>PGTEFT4964</t>
  </si>
  <si>
    <t>2rd March 2020</t>
  </si>
  <si>
    <t>1/3/2020</t>
  </si>
  <si>
    <t>Rental for The month of 1st March to 31st March 2020</t>
  </si>
  <si>
    <t>V2020/195</t>
  </si>
  <si>
    <t>PGTEFT4965</t>
  </si>
  <si>
    <t>Car park rental for March 2020 - PNT6863</t>
  </si>
  <si>
    <t>HongCheng (Guangzhou) International Air Transport Co. Ltd</t>
  </si>
  <si>
    <t>Qingdao Airlines (China Roadshows) on 10-13th Jan 2020</t>
  </si>
  <si>
    <t>HC100160</t>
  </si>
  <si>
    <t xml:space="preserve">Sponsorship for the 4 cities roadshows cost on </t>
  </si>
  <si>
    <t>8th-12th Jan 2020 (Qingdao Airlines)</t>
  </si>
  <si>
    <t>V2020/197</t>
  </si>
  <si>
    <t>PGTEFT4967</t>
  </si>
  <si>
    <t>6th March 2020</t>
  </si>
  <si>
    <t>dated 27.2.2020</t>
  </si>
  <si>
    <t>Doha, Qatar Roadshow on 21st - 24th Feb 2020</t>
  </si>
  <si>
    <t xml:space="preserve"> - Meal allowance (3 days)</t>
  </si>
  <si>
    <t>on 28th Feb - 1st March 2020</t>
  </si>
  <si>
    <t>V2020/199</t>
  </si>
  <si>
    <t>PGTEFT4969</t>
  </si>
  <si>
    <t>3/3/2020</t>
  </si>
  <si>
    <t>I-002224</t>
  </si>
  <si>
    <t>JENX Broadband March</t>
  </si>
  <si>
    <t>V2020/206</t>
  </si>
  <si>
    <t>PGTEFT4976</t>
  </si>
  <si>
    <t>6th Match 2020</t>
  </si>
  <si>
    <t>Professional fees of preparing payroll for Feb'2020</t>
  </si>
  <si>
    <t>CA/20/0015</t>
  </si>
  <si>
    <t xml:space="preserve">(-) Overpaid V2020/157 </t>
  </si>
  <si>
    <t>V2020/207</t>
  </si>
  <si>
    <t>PGTEFT4977</t>
  </si>
  <si>
    <t>Y20-INV06</t>
  </si>
  <si>
    <t>Tourism Related Stories for Feb :</t>
  </si>
  <si>
    <t xml:space="preserve"> - Experience the romantic side of Penang</t>
  </si>
  <si>
    <t xml:space="preserve"> - This old town in BM is Penang's hidden gem</t>
  </si>
  <si>
    <t>V2020/208</t>
  </si>
  <si>
    <t>PGTEFT4978</t>
  </si>
  <si>
    <t xml:space="preserve">MAS Helloworld Group of Companies FAM </t>
  </si>
  <si>
    <t>P2002107</t>
  </si>
  <si>
    <t xml:space="preserve">Transportation &amp; Guide for 3 days (10 pax) </t>
  </si>
  <si>
    <t>V2020/209</t>
  </si>
  <si>
    <t>PGTEFT4979</t>
  </si>
  <si>
    <t>Lyric Labs Sdn Bhd</t>
  </si>
  <si>
    <t>B1-16 (1st Floor) Jalan 2/14A</t>
  </si>
  <si>
    <t>Megan Phoenix, KM 10</t>
  </si>
  <si>
    <t>Cheras 56000 KL</t>
  </si>
  <si>
    <t>INV0001351</t>
  </si>
  <si>
    <t>COE translation (Eng&gt;Jap)</t>
  </si>
  <si>
    <t>COE translation (Eng&gt;Korean)</t>
  </si>
  <si>
    <t>COE translation (Eng&gt;Vienamese)</t>
  </si>
  <si>
    <t>COE translation (Eng&gt;German)</t>
  </si>
  <si>
    <t>COE translation (Eng&gt;Arabic)</t>
  </si>
  <si>
    <t>COE translation (Eng&gt;Thai)</t>
  </si>
  <si>
    <t>COE translation (Eng&gt;Indonesian)</t>
  </si>
  <si>
    <t>Typesetting for 7 languages</t>
  </si>
  <si>
    <t>V2020/210</t>
  </si>
  <si>
    <t>PGTEFT4980</t>
  </si>
  <si>
    <t>Copywritinig/Translations</t>
  </si>
  <si>
    <t>2/3/2020</t>
  </si>
  <si>
    <t>PGT-INV01/20</t>
  </si>
  <si>
    <t xml:space="preserve">B&amp;W Caricature Illustration for COVID-19 protective </t>
  </si>
  <si>
    <t>measures and keeping public safe in Penang</t>
  </si>
  <si>
    <t>V2020/211</t>
  </si>
  <si>
    <t>PGTEFT4981</t>
  </si>
  <si>
    <t>4/3/2020</t>
  </si>
  <si>
    <t>PMED/INV/000303</t>
  </si>
  <si>
    <t>PMED Horizontal Banner 3'x5' FA</t>
  </si>
  <si>
    <t>V2020/215</t>
  </si>
  <si>
    <t>PGTEFT4983</t>
  </si>
  <si>
    <t>12th March 2020</t>
  </si>
  <si>
    <t>9/3/2020</t>
  </si>
  <si>
    <t>00017542</t>
  </si>
  <si>
    <t>Printing of Trade Foldable(German) - 3,000pcs</t>
  </si>
  <si>
    <t>00017535</t>
  </si>
  <si>
    <t>Printing of COD (Chinese Sim) - 2,000books</t>
  </si>
  <si>
    <t>V2020/216</t>
  </si>
  <si>
    <t>PGTEFT4984</t>
  </si>
  <si>
    <t>Statement date 1.3.2020</t>
  </si>
  <si>
    <t>Petrol refill for PNT6863 on 5/2/2020</t>
  </si>
  <si>
    <t>Petrol refill for PNT6863 on 10/2/2020</t>
  </si>
  <si>
    <t>Petrol refill for PNT6863 on 15/2/2020</t>
  </si>
  <si>
    <t>PGT Networking with Tourism Players</t>
  </si>
  <si>
    <t>Action plan discussion with Industry players on COVID19</t>
  </si>
  <si>
    <t>on 12/2/2020</t>
  </si>
  <si>
    <t>Travel &amp; Exhibition 2020 Roadshow to Doha</t>
  </si>
  <si>
    <t>Sim card for 3 pax (OCY, Affa &amp; YP)</t>
  </si>
  <si>
    <t>Farewell lunch for Jean &amp; Bernice on 26/2/2020</t>
  </si>
  <si>
    <t>V2020/217</t>
  </si>
  <si>
    <t>PGTEFT4985</t>
  </si>
  <si>
    <t>5040771392</t>
  </si>
  <si>
    <t>3/2/2020 - 2/3/2020</t>
  </si>
  <si>
    <t>V2020/218</t>
  </si>
  <si>
    <t>PGTEFT4986</t>
  </si>
  <si>
    <t>301617670</t>
  </si>
  <si>
    <t>Rental for the month of March'20</t>
  </si>
  <si>
    <t>V2020/219</t>
  </si>
  <si>
    <t>PGTEFT4987</t>
  </si>
  <si>
    <t>Guide fee on 27/2/2020</t>
  </si>
  <si>
    <t>19687</t>
  </si>
  <si>
    <t>V2020/230</t>
  </si>
  <si>
    <t>688528</t>
  </si>
  <si>
    <t>6/3/2020</t>
  </si>
  <si>
    <t xml:space="preserve">50% balance for Penang Here &amp; Now Video update : </t>
  </si>
  <si>
    <t>slide &amp; sia boey (50% of total RM7,600)</t>
  </si>
  <si>
    <t>12902</t>
  </si>
  <si>
    <t>V2020/232</t>
  </si>
  <si>
    <t>688529</t>
  </si>
  <si>
    <t>PICAF/PGT003</t>
  </si>
  <si>
    <t>3rd Instalment 30% of total payment RM1,200,000</t>
  </si>
  <si>
    <t xml:space="preserve"> - Manpower fee (partial)</t>
  </si>
  <si>
    <t xml:space="preserve"> - Partial constrictoon costs (art installations)</t>
  </si>
  <si>
    <t xml:space="preserve"> - Final payment of accommodation costs for participants</t>
  </si>
  <si>
    <t xml:space="preserve"> - Allocation fee for participants</t>
  </si>
  <si>
    <t xml:space="preserve"> - Equipment and material costs (partial)</t>
  </si>
  <si>
    <t>V2020/249</t>
  </si>
  <si>
    <t>31st March 2020</t>
  </si>
  <si>
    <t>Net Salary for PGT for the month of March 2020</t>
  </si>
  <si>
    <t>Net Salary for TIC for the month of March 2020</t>
  </si>
  <si>
    <t>V2020/250</t>
  </si>
  <si>
    <t>PGTEFT5012</t>
  </si>
  <si>
    <t>Payment for EPF Contribution of the salary for March' 2020</t>
  </si>
  <si>
    <t>V2020/251</t>
  </si>
  <si>
    <t>PGTEFT5013</t>
  </si>
  <si>
    <t>Payment for Socso Contribution of the salary for March'2020</t>
  </si>
  <si>
    <t>V2020/252</t>
  </si>
  <si>
    <t>PGTEFT5014</t>
  </si>
  <si>
    <t>for the month of March'2020</t>
  </si>
  <si>
    <t>V2020/253</t>
  </si>
  <si>
    <t>PGTEFT5015</t>
  </si>
  <si>
    <t>Payment for EIS Contribution of the salary for March'2020</t>
  </si>
  <si>
    <t>V2020/254</t>
  </si>
  <si>
    <t>PGTEFT5016</t>
  </si>
  <si>
    <t>Room for the month of March (1/3/2020 - 31/3/2020)</t>
  </si>
  <si>
    <t>10/3/2020</t>
  </si>
  <si>
    <t>V2020/255</t>
  </si>
  <si>
    <t>PGTEFT5017</t>
  </si>
  <si>
    <t>Being service rendered to PMED for March 2020</t>
  </si>
  <si>
    <t>V2020/256</t>
  </si>
  <si>
    <t>PGTEFT5018</t>
  </si>
  <si>
    <t xml:space="preserve"> - 1st Mar - 31st Mar 2020</t>
  </si>
  <si>
    <t>V2020/257</t>
  </si>
  <si>
    <t>PGTEFT5019</t>
  </si>
  <si>
    <t>Memo dated 23.9.2019</t>
  </si>
  <si>
    <t>period from 9th Dec 2019 to 24th April 2020</t>
  </si>
  <si>
    <t xml:space="preserve">  - 1st March to 31st March 2020</t>
  </si>
  <si>
    <t>V2020/258</t>
  </si>
  <si>
    <t>PGTEFT5020</t>
  </si>
  <si>
    <t xml:space="preserve"> - 1st March to 31st March 2020</t>
  </si>
  <si>
    <t>V2020/259</t>
  </si>
  <si>
    <t>PGTEFT5021</t>
  </si>
  <si>
    <t>25th March 2020</t>
  </si>
  <si>
    <t>Ang Xiang Bin</t>
  </si>
  <si>
    <t>I/C : 961210-07-5944</t>
  </si>
  <si>
    <t>Tourism Executive</t>
  </si>
  <si>
    <t>Salary for the month of March 2020</t>
  </si>
  <si>
    <t xml:space="preserve">Salary - Mar'20 </t>
  </si>
  <si>
    <t>9 days (Period : 23/3/2020 - 31/3/2020)</t>
  </si>
  <si>
    <t>(-) EPF Employee</t>
  </si>
  <si>
    <t>(-) Socso Employee</t>
  </si>
  <si>
    <t>(-) EIS Employee</t>
  </si>
  <si>
    <t>V2020/235</t>
  </si>
  <si>
    <t>PGTEFT4999</t>
  </si>
  <si>
    <t>20th March 2020</t>
  </si>
  <si>
    <t>360 Writing Studio</t>
  </si>
  <si>
    <t>D-15-2, D'Piazza Condominium</t>
  </si>
  <si>
    <t>Lengkok Mayang Pasir 1</t>
  </si>
  <si>
    <t>11/3/2020</t>
  </si>
  <si>
    <t>2020-TR002</t>
  </si>
  <si>
    <t xml:space="preserve">Chinese translation for Calender of Events </t>
  </si>
  <si>
    <t>V2020/236</t>
  </si>
  <si>
    <t>PGTEFT5000</t>
  </si>
  <si>
    <t>002</t>
  </si>
  <si>
    <t>George Town Walkabout Tour</t>
  </si>
  <si>
    <t>Guide fee on 29/2/2020</t>
  </si>
  <si>
    <t>V2020/237</t>
  </si>
  <si>
    <t>PGTEFT5001</t>
  </si>
  <si>
    <t>ITB Berlin 2020</t>
  </si>
  <si>
    <t>13/3/2020</t>
  </si>
  <si>
    <t>PENR001043741</t>
  </si>
  <si>
    <t>Sending of promotion material to Germany</t>
  </si>
  <si>
    <t>V2020/238</t>
  </si>
  <si>
    <t>PGTEFT5002</t>
  </si>
  <si>
    <t>dated 16.3.2020</t>
  </si>
  <si>
    <t>Penang Roadshow in KL on 12th March 2020</t>
  </si>
  <si>
    <t xml:space="preserve"> - Flight ticket (PEN-KUL-PEN) Yani &amp; Malathi</t>
  </si>
  <si>
    <t>V2020/239</t>
  </si>
  <si>
    <t>PGTEFT5003</t>
  </si>
  <si>
    <t xml:space="preserve">Emirates Holiday Campaign </t>
  </si>
  <si>
    <t>ENT/2020/03/01</t>
  </si>
  <si>
    <t>Entrance ticket RM34.50 x 100pax</t>
  </si>
  <si>
    <t>V2020/240</t>
  </si>
  <si>
    <t>PGTEFT5004</t>
  </si>
  <si>
    <t>Emirates Holidays Campaign with TM</t>
  </si>
  <si>
    <t>OMV-200303</t>
  </si>
  <si>
    <t>Entrance ticket RM27.50 x 100pax</t>
  </si>
  <si>
    <t>V2020/241</t>
  </si>
  <si>
    <t>PGTEFT5005</t>
  </si>
  <si>
    <t xml:space="preserve"> - Badge holder</t>
  </si>
  <si>
    <t>V2020/248</t>
  </si>
  <si>
    <t>688531</t>
  </si>
  <si>
    <t>IV-1131</t>
  </si>
  <si>
    <t>Video production on the precautionary measures againes</t>
  </si>
  <si>
    <t>COVID-19 (2 min video)</t>
  </si>
  <si>
    <t>V2020/214</t>
  </si>
  <si>
    <t>061800</t>
  </si>
  <si>
    <t>S'pre airlines - Silkwinds (March'20)</t>
  </si>
  <si>
    <t>(SGD2,500 @ 3.0905)</t>
  </si>
  <si>
    <t>061819</t>
  </si>
  <si>
    <t>S'pre airlines - SilverKrs (March'20)</t>
  </si>
  <si>
    <t>(SGD18,700 @ 3.0905)</t>
  </si>
  <si>
    <t>V2020/231</t>
  </si>
  <si>
    <t>1245004767</t>
  </si>
  <si>
    <t>Emirates Airlines - Open Skies (Mar'20)</t>
  </si>
  <si>
    <t>(USD9,187 @ 4.4087)</t>
  </si>
  <si>
    <t xml:space="preserve"> - 3rd Instalment</t>
  </si>
  <si>
    <t>V2020/260</t>
  </si>
  <si>
    <t>PGTEFT5022</t>
  </si>
  <si>
    <t>2nd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</si>
</sst>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[$-14409]dd/mm/yyyy;@"/>
    <numFmt numFmtId="165" formatCode="dd/mm/yyyy;@"/>
    <numFmt numFmtId="166" formatCode="#,##0.0000_);\(#,##0.0000\)"/>
    <numFmt numFmtId="167" formatCode="d/mm/yyyy;@"/>
    <numFmt numFmtId="168" formatCode="#,##0.00000_);\(#,##0.00000\)"/>
    <numFmt numFmtId="169" formatCode="#,##0.00000000_);\(#,##0.00000000\)"/>
    <numFmt numFmtId="170" formatCode="dd\.mm\.yy;@"/>
    <numFmt numFmtId="171" formatCode="_(* #,##0.000000_);_(* \(#,##0.000000\);_(* &quot;-&quot;??_);_(@_)"/>
    <numFmt numFmtId="172" formatCode="#,##0.000000_);\(#,##0.000000\)"/>
    <numFmt numFmtId="173" formatCode="#,##0.0000000000000_);\(#,##0.0000000000000\)"/>
    <numFmt numFmtId="174" formatCode="#,##0.0000000_);\(#,##0.0000000\)"/>
  </numFmts>
  <fonts count="39" x14ac:knownFonts="1">
    <font>
      <sz val="10"/>
      <name val="MS Sans Serif"/>
    </font>
    <font>
      <sz val="10"/>
      <name val="MS Sans Serif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u/>
      <sz val="10"/>
      <name val="MS Sans Serif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name val="MS Sans Serif"/>
      <family val="2"/>
    </font>
    <font>
      <b/>
      <sz val="11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  <font>
      <sz val="10"/>
      <name val="Verdana"/>
      <family val="2"/>
    </font>
    <font>
      <sz val="10"/>
      <name val="Calibri"/>
      <family val="2"/>
    </font>
    <font>
      <i/>
      <sz val="10"/>
      <name val="MS Sans Serif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name val="Verdana"/>
      <family val="2"/>
    </font>
    <font>
      <b/>
      <sz val="11"/>
      <name val="Arial"/>
      <family val="2"/>
    </font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9"/>
      <color theme="1"/>
      <name val="Verdana"/>
      <family val="2"/>
    </font>
    <font>
      <u/>
      <sz val="10"/>
      <color theme="10"/>
      <name val="MS Sans Serif"/>
    </font>
    <font>
      <i/>
      <sz val="8"/>
      <name val="Arial"/>
      <family val="2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35" fillId="0" borderId="0"/>
    <xf numFmtId="43" fontId="35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532">
    <xf numFmtId="0" fontId="0" fillId="0" borderId="0" xfId="0"/>
    <xf numFmtId="39" fontId="0" fillId="0" borderId="0" xfId="0" applyNumberFormat="1"/>
    <xf numFmtId="39" fontId="2" fillId="0" borderId="0" xfId="0" applyNumberFormat="1" applyFont="1"/>
    <xf numFmtId="39" fontId="0" fillId="0" borderId="0" xfId="0" applyNumberFormat="1" applyAlignment="1">
      <alignment vertical="center"/>
    </xf>
    <xf numFmtId="39" fontId="0" fillId="0" borderId="0" xfId="0" applyNumberFormat="1" applyAlignment="1">
      <alignment horizontal="center" vertical="center"/>
    </xf>
    <xf numFmtId="39" fontId="0" fillId="0" borderId="0" xfId="0" applyNumberFormat="1" applyAlignment="1">
      <alignment horizontal="centerContinuous"/>
    </xf>
    <xf numFmtId="39" fontId="0" fillId="0" borderId="0" xfId="0" applyNumberFormat="1" applyAlignment="1">
      <alignment horizontal="left"/>
    </xf>
    <xf numFmtId="39" fontId="0" fillId="0" borderId="0" xfId="0" applyNumberFormat="1" applyAlignment="1">
      <alignment horizontal="center"/>
    </xf>
    <xf numFmtId="39" fontId="0" fillId="0" borderId="0" xfId="0" quotePrefix="1" applyNumberFormat="1"/>
    <xf numFmtId="39" fontId="0" fillId="0" borderId="1" xfId="0" applyNumberFormat="1" applyBorder="1" applyAlignment="1">
      <alignment vertical="center"/>
    </xf>
    <xf numFmtId="39" fontId="0" fillId="0" borderId="1" xfId="0" quotePrefix="1" applyNumberFormat="1" applyBorder="1" applyAlignment="1">
      <alignment horizontal="left" vertical="center"/>
    </xf>
    <xf numFmtId="39" fontId="0" fillId="0" borderId="2" xfId="0" applyNumberFormat="1" applyBorder="1"/>
    <xf numFmtId="39" fontId="3" fillId="0" borderId="0" xfId="0" quotePrefix="1" applyNumberFormat="1" applyFont="1"/>
    <xf numFmtId="39" fontId="4" fillId="0" borderId="0" xfId="0" applyNumberFormat="1" applyFont="1"/>
    <xf numFmtId="39" fontId="2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39" fontId="3" fillId="0" borderId="0" xfId="0" quotePrefix="1" applyNumberFormat="1" applyFont="1" applyAlignment="1">
      <alignment horizontal="left"/>
    </xf>
    <xf numFmtId="39" fontId="0" fillId="0" borderId="0" xfId="0" quotePrefix="1" applyNumberFormat="1" applyAlignment="1">
      <alignment horizontal="left"/>
    </xf>
    <xf numFmtId="39" fontId="3" fillId="0" borderId="0" xfId="0" applyNumberFormat="1" applyFont="1"/>
    <xf numFmtId="39" fontId="5" fillId="0" borderId="0" xfId="0" applyNumberFormat="1" applyFont="1"/>
    <xf numFmtId="39" fontId="0" fillId="0" borderId="3" xfId="0" applyNumberFormat="1" applyBorder="1"/>
    <xf numFmtId="39" fontId="3" fillId="0" borderId="1" xfId="0" quotePrefix="1" applyNumberFormat="1" applyFont="1" applyBorder="1" applyAlignment="1">
      <alignment horizontal="left" vertical="center"/>
    </xf>
    <xf numFmtId="39" fontId="4" fillId="0" borderId="2" xfId="0" applyNumberFormat="1" applyFont="1" applyBorder="1"/>
    <xf numFmtId="14" fontId="0" fillId="0" borderId="0" xfId="0" applyNumberFormat="1"/>
    <xf numFmtId="43" fontId="0" fillId="0" borderId="0" xfId="1" applyFont="1"/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quotePrefix="1" applyAlignment="1">
      <alignment horizontal="right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9" fontId="4" fillId="0" borderId="0" xfId="0" quotePrefix="1" applyNumberFormat="1" applyFont="1"/>
    <xf numFmtId="39" fontId="7" fillId="0" borderId="0" xfId="0" applyNumberFormat="1" applyFont="1"/>
    <xf numFmtId="39" fontId="7" fillId="0" borderId="0" xfId="0" applyNumberFormat="1" applyFont="1" applyAlignment="1">
      <alignment vertical="center"/>
    </xf>
    <xf numFmtId="39" fontId="3" fillId="0" borderId="0" xfId="0" applyNumberFormat="1" applyFont="1" applyAlignment="1">
      <alignment vertical="center"/>
    </xf>
    <xf numFmtId="39" fontId="3" fillId="0" borderId="0" xfId="0" applyNumberFormat="1" applyFont="1" applyAlignment="1">
      <alignment horizontal="center" vertical="center"/>
    </xf>
    <xf numFmtId="39" fontId="3" fillId="0" borderId="0" xfId="0" applyNumberFormat="1" applyFont="1" applyAlignment="1">
      <alignment horizontal="left"/>
    </xf>
    <xf numFmtId="39" fontId="3" fillId="0" borderId="0" xfId="0" applyNumberFormat="1" applyFont="1" applyAlignment="1">
      <alignment horizontal="center"/>
    </xf>
    <xf numFmtId="39" fontId="3" fillId="0" borderId="1" xfId="0" applyNumberFormat="1" applyFont="1" applyBorder="1" applyAlignment="1">
      <alignment vertical="center"/>
    </xf>
    <xf numFmtId="39" fontId="4" fillId="0" borderId="1" xfId="0" quotePrefix="1" applyNumberFormat="1" applyFont="1" applyBorder="1" applyAlignment="1">
      <alignment horizontal="left" vertical="center"/>
    </xf>
    <xf numFmtId="39" fontId="3" fillId="0" borderId="2" xfId="0" applyNumberFormat="1" applyFont="1" applyBorder="1"/>
    <xf numFmtId="39" fontId="8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39" fontId="9" fillId="0" borderId="0" xfId="0" applyNumberFormat="1" applyFont="1"/>
    <xf numFmtId="39" fontId="12" fillId="0" borderId="0" xfId="0" applyNumberFormat="1" applyFont="1" applyAlignment="1">
      <alignment vertical="center"/>
    </xf>
    <xf numFmtId="39" fontId="3" fillId="0" borderId="3" xfId="0" applyNumberFormat="1" applyFont="1" applyBorder="1"/>
    <xf numFmtId="39" fontId="3" fillId="0" borderId="0" xfId="0" quotePrefix="1" applyNumberFormat="1" applyFont="1" applyAlignment="1">
      <alignment horizontal="center"/>
    </xf>
    <xf numFmtId="39" fontId="13" fillId="0" borderId="0" xfId="0" applyNumberFormat="1" applyFont="1" applyAlignment="1">
      <alignment vertical="center"/>
    </xf>
    <xf numFmtId="39" fontId="14" fillId="0" borderId="0" xfId="0" applyNumberFormat="1" applyFont="1" applyAlignment="1">
      <alignment vertical="center"/>
    </xf>
    <xf numFmtId="39" fontId="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Continuous" vertical="center"/>
    </xf>
    <xf numFmtId="0" fontId="15" fillId="0" borderId="0" xfId="0" applyFont="1" applyAlignment="1">
      <alignment horizontal="left" vertical="center"/>
    </xf>
    <xf numFmtId="39" fontId="15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0" fillId="0" borderId="3" xfId="0" applyBorder="1"/>
    <xf numFmtId="0" fontId="0" fillId="0" borderId="0" xfId="0" quotePrefix="1"/>
    <xf numFmtId="0" fontId="0" fillId="0" borderId="2" xfId="0" applyBorder="1"/>
    <xf numFmtId="39" fontId="10" fillId="0" borderId="0" xfId="0" applyNumberFormat="1" applyFont="1"/>
    <xf numFmtId="39" fontId="10" fillId="0" borderId="0" xfId="0" applyNumberFormat="1" applyFont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39" fontId="0" fillId="0" borderId="0" xfId="0" applyNumberFormat="1" applyAlignment="1">
      <alignment horizontal="left" vertical="center"/>
    </xf>
    <xf numFmtId="39" fontId="3" fillId="0" borderId="3" xfId="0" applyNumberFormat="1" applyFont="1" applyBorder="1" applyAlignment="1">
      <alignment horizontal="left"/>
    </xf>
    <xf numFmtId="39" fontId="0" fillId="0" borderId="3" xfId="0" applyNumberFormat="1" applyBorder="1" applyAlignment="1">
      <alignment horizontal="left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quotePrefix="1" applyNumberFormat="1"/>
    <xf numFmtId="165" fontId="0" fillId="0" borderId="0" xfId="0" quotePrefix="1" applyNumberFormat="1" applyAlignment="1">
      <alignment horizontal="left"/>
    </xf>
    <xf numFmtId="39" fontId="1" fillId="0" borderId="0" xfId="0" applyNumberFormat="1" applyFont="1"/>
    <xf numFmtId="39" fontId="1" fillId="0" borderId="0" xfId="0" quotePrefix="1" applyNumberFormat="1" applyFont="1" applyAlignment="1">
      <alignment horizontal="left"/>
    </xf>
    <xf numFmtId="165" fontId="3" fillId="0" borderId="0" xfId="0" quotePrefix="1" applyNumberFormat="1" applyFont="1" applyAlignment="1">
      <alignment horizontal="left"/>
    </xf>
    <xf numFmtId="165" fontId="0" fillId="0" borderId="0" xfId="0" applyNumberFormat="1" applyAlignment="1">
      <alignment horizontal="center"/>
    </xf>
    <xf numFmtId="39" fontId="1" fillId="0" borderId="1" xfId="0" quotePrefix="1" applyNumberFormat="1" applyFont="1" applyBorder="1" applyAlignment="1">
      <alignment horizontal="left" vertical="center"/>
    </xf>
    <xf numFmtId="39" fontId="1" fillId="0" borderId="0" xfId="0" quotePrefix="1" applyNumberFormat="1" applyFont="1" applyAlignment="1">
      <alignment horizontal="center"/>
    </xf>
    <xf numFmtId="39" fontId="1" fillId="0" borderId="0" xfId="0" applyNumberFormat="1" applyFont="1" applyAlignment="1">
      <alignment horizontal="center"/>
    </xf>
    <xf numFmtId="14" fontId="0" fillId="0" borderId="0" xfId="0" quotePrefix="1" applyNumberFormat="1" applyAlignment="1">
      <alignment horizontal="left"/>
    </xf>
    <xf numFmtId="14" fontId="0" fillId="0" borderId="0" xfId="0" quotePrefix="1" applyNumberFormat="1" applyAlignment="1">
      <alignment horizontal="center"/>
    </xf>
    <xf numFmtId="39" fontId="6" fillId="0" borderId="0" xfId="0" applyNumberFormat="1" applyFont="1"/>
    <xf numFmtId="14" fontId="1" fillId="0" borderId="0" xfId="0" quotePrefix="1" applyNumberFormat="1" applyFont="1" applyAlignment="1">
      <alignment horizontal="left"/>
    </xf>
    <xf numFmtId="39" fontId="15" fillId="0" borderId="0" xfId="0" applyNumberFormat="1" applyFont="1"/>
    <xf numFmtId="39" fontId="15" fillId="0" borderId="0" xfId="0" quotePrefix="1" applyNumberFormat="1" applyFont="1" applyAlignment="1">
      <alignment horizontal="left"/>
    </xf>
    <xf numFmtId="39" fontId="15" fillId="0" borderId="0" xfId="0" quotePrefix="1" applyNumberFormat="1" applyFont="1" applyAlignment="1">
      <alignment horizontal="center"/>
    </xf>
    <xf numFmtId="39" fontId="15" fillId="0" borderId="0" xfId="0" quotePrefix="1" applyNumberFormat="1" applyFont="1"/>
    <xf numFmtId="39" fontId="2" fillId="0" borderId="2" xfId="0" applyNumberFormat="1" applyFont="1" applyBorder="1"/>
    <xf numFmtId="39" fontId="15" fillId="0" borderId="1" xfId="0" quotePrefix="1" applyNumberFormat="1" applyFont="1" applyBorder="1" applyAlignment="1">
      <alignment horizontal="left" vertical="center"/>
    </xf>
    <xf numFmtId="39" fontId="15" fillId="0" borderId="1" xfId="0" applyNumberFormat="1" applyFont="1" applyBorder="1" applyAlignment="1">
      <alignment vertical="center"/>
    </xf>
    <xf numFmtId="39" fontId="15" fillId="0" borderId="0" xfId="0" applyNumberFormat="1" applyFont="1" applyAlignment="1">
      <alignment horizontal="left"/>
    </xf>
    <xf numFmtId="39" fontId="15" fillId="0" borderId="0" xfId="0" applyNumberFormat="1" applyFont="1" applyAlignment="1">
      <alignment horizontal="center"/>
    </xf>
    <xf numFmtId="39" fontId="15" fillId="0" borderId="3" xfId="0" applyNumberFormat="1" applyFont="1" applyBorder="1" applyAlignment="1">
      <alignment horizontal="left"/>
    </xf>
    <xf numFmtId="39" fontId="15" fillId="0" borderId="3" xfId="0" applyNumberFormat="1" applyFont="1" applyBorder="1"/>
    <xf numFmtId="39" fontId="15" fillId="0" borderId="0" xfId="0" applyNumberFormat="1" applyFont="1" applyAlignment="1">
      <alignment horizontal="centerContinuous"/>
    </xf>
    <xf numFmtId="39" fontId="15" fillId="0" borderId="0" xfId="0" applyNumberFormat="1" applyFont="1" applyAlignment="1">
      <alignment horizontal="left" vertical="center"/>
    </xf>
    <xf numFmtId="39" fontId="15" fillId="0" borderId="0" xfId="0" applyNumberFormat="1" applyFont="1" applyAlignment="1">
      <alignment horizontal="center" vertical="center"/>
    </xf>
    <xf numFmtId="165" fontId="15" fillId="0" borderId="0" xfId="0" quotePrefix="1" applyNumberFormat="1" applyFont="1" applyAlignment="1">
      <alignment horizontal="left"/>
    </xf>
    <xf numFmtId="165" fontId="15" fillId="0" borderId="0" xfId="0" applyNumberFormat="1" applyFont="1" applyAlignment="1">
      <alignment horizontal="center"/>
    </xf>
    <xf numFmtId="39" fontId="15" fillId="0" borderId="2" xfId="0" applyNumberFormat="1" applyFont="1" applyBorder="1"/>
    <xf numFmtId="14" fontId="15" fillId="0" borderId="0" xfId="0" applyNumberFormat="1" applyFont="1"/>
    <xf numFmtId="14" fontId="15" fillId="0" borderId="0" xfId="0" applyNumberFormat="1" applyFont="1" applyAlignment="1">
      <alignment horizontal="center"/>
    </xf>
    <xf numFmtId="43" fontId="15" fillId="0" borderId="0" xfId="1" applyFont="1"/>
    <xf numFmtId="14" fontId="15" fillId="0" borderId="0" xfId="0" quotePrefix="1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39" fontId="15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39" fontId="16" fillId="0" borderId="0" xfId="0" applyNumberFormat="1" applyFont="1" applyAlignment="1">
      <alignment horizontal="left"/>
    </xf>
    <xf numFmtId="39" fontId="16" fillId="0" borderId="0" xfId="0" applyNumberFormat="1" applyFont="1"/>
    <xf numFmtId="39" fontId="16" fillId="0" borderId="1" xfId="0" applyNumberFormat="1" applyFont="1" applyBorder="1" applyAlignment="1">
      <alignment vertical="center"/>
    </xf>
    <xf numFmtId="39" fontId="16" fillId="0" borderId="0" xfId="0" quotePrefix="1" applyNumberFormat="1" applyFont="1"/>
    <xf numFmtId="39" fontId="16" fillId="0" borderId="3" xfId="0" applyNumberFormat="1" applyFont="1" applyBorder="1" applyAlignment="1">
      <alignment horizontal="left"/>
    </xf>
    <xf numFmtId="39" fontId="16" fillId="0" borderId="3" xfId="0" applyNumberFormat="1" applyFont="1" applyBorder="1"/>
    <xf numFmtId="39" fontId="16" fillId="0" borderId="0" xfId="0" applyNumberFormat="1" applyFont="1" applyAlignment="1">
      <alignment horizontal="centerContinuous"/>
    </xf>
    <xf numFmtId="39" fontId="16" fillId="0" borderId="0" xfId="0" applyNumberFormat="1" applyFont="1" applyAlignment="1">
      <alignment vertical="center"/>
    </xf>
    <xf numFmtId="39" fontId="16" fillId="0" borderId="0" xfId="0" applyNumberFormat="1" applyFont="1" applyAlignment="1">
      <alignment horizontal="left" vertical="center"/>
    </xf>
    <xf numFmtId="39" fontId="16" fillId="0" borderId="0" xfId="0" applyNumberFormat="1" applyFont="1" applyAlignment="1">
      <alignment horizontal="center" vertical="center"/>
    </xf>
    <xf numFmtId="164" fontId="15" fillId="0" borderId="0" xfId="0" quotePrefix="1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vertical="center"/>
    </xf>
    <xf numFmtId="39" fontId="15" fillId="0" borderId="2" xfId="0" applyNumberFormat="1" applyFont="1" applyBorder="1" applyAlignment="1">
      <alignment vertical="center"/>
    </xf>
    <xf numFmtId="14" fontId="15" fillId="0" borderId="0" xfId="0" quotePrefix="1" applyNumberFormat="1" applyFont="1" applyAlignment="1">
      <alignment horizontal="left"/>
    </xf>
    <xf numFmtId="164" fontId="15" fillId="0" borderId="0" xfId="0" quotePrefix="1" applyNumberFormat="1" applyFont="1" applyAlignment="1">
      <alignment horizontal="center"/>
    </xf>
    <xf numFmtId="37" fontId="15" fillId="0" borderId="0" xfId="0" quotePrefix="1" applyNumberFormat="1" applyFont="1" applyAlignment="1">
      <alignment horizontal="center"/>
    </xf>
    <xf numFmtId="14" fontId="15" fillId="0" borderId="0" xfId="0" applyNumberFormat="1" applyFont="1" applyAlignment="1">
      <alignment horizontal="left"/>
    </xf>
    <xf numFmtId="165" fontId="15" fillId="0" borderId="0" xfId="0" quotePrefix="1" applyNumberFormat="1" applyFont="1" applyAlignment="1">
      <alignment horizontal="center"/>
    </xf>
    <xf numFmtId="0" fontId="15" fillId="0" borderId="0" xfId="0" quotePrefix="1" applyFont="1" applyAlignment="1">
      <alignment horizontal="right"/>
    </xf>
    <xf numFmtId="4" fontId="2" fillId="0" borderId="1" xfId="0" applyNumberFormat="1" applyFont="1" applyBorder="1" applyAlignment="1">
      <alignment horizontal="center" vertical="center"/>
    </xf>
    <xf numFmtId="164" fontId="15" fillId="0" borderId="0" xfId="0" quotePrefix="1" applyNumberFormat="1" applyFont="1" applyAlignment="1">
      <alignment horizontal="center" vertical="center"/>
    </xf>
    <xf numFmtId="39" fontId="2" fillId="0" borderId="2" xfId="0" applyNumberFormat="1" applyFont="1" applyBorder="1" applyAlignment="1">
      <alignment vertical="center"/>
    </xf>
    <xf numFmtId="39" fontId="15" fillId="0" borderId="0" xfId="0" quotePrefix="1" applyNumberFormat="1" applyFont="1" applyAlignment="1">
      <alignment horizontal="center" vertical="center"/>
    </xf>
    <xf numFmtId="39" fontId="17" fillId="0" borderId="0" xfId="0" applyNumberFormat="1" applyFont="1"/>
    <xf numFmtId="165" fontId="15" fillId="0" borderId="0" xfId="0" applyNumberFormat="1" applyFont="1" applyAlignment="1">
      <alignment horizontal="left"/>
    </xf>
    <xf numFmtId="39" fontId="15" fillId="0" borderId="0" xfId="0" applyNumberFormat="1" applyFont="1" applyAlignment="1">
      <alignment horizontal="right"/>
    </xf>
    <xf numFmtId="39" fontId="2" fillId="0" borderId="0" xfId="0" quotePrefix="1" applyNumberFormat="1" applyFont="1"/>
    <xf numFmtId="14" fontId="15" fillId="0" borderId="0" xfId="0" quotePrefix="1" applyNumberFormat="1" applyFont="1"/>
    <xf numFmtId="0" fontId="18" fillId="0" borderId="0" xfId="0" applyFont="1"/>
    <xf numFmtId="39" fontId="2" fillId="0" borderId="1" xfId="0" quotePrefix="1" applyNumberFormat="1" applyFont="1" applyBorder="1" applyAlignment="1">
      <alignment horizontal="left" vertical="center"/>
    </xf>
    <xf numFmtId="14" fontId="15" fillId="0" borderId="0" xfId="0" quotePrefix="1" applyNumberFormat="1" applyFont="1" applyAlignment="1">
      <alignment horizontal="right"/>
    </xf>
    <xf numFmtId="43" fontId="15" fillId="0" borderId="0" xfId="1" quotePrefix="1" applyFont="1"/>
    <xf numFmtId="39" fontId="1" fillId="0" borderId="0" xfId="2" applyNumberFormat="1"/>
    <xf numFmtId="39" fontId="15" fillId="0" borderId="0" xfId="2" applyNumberFormat="1" applyFont="1"/>
    <xf numFmtId="39" fontId="5" fillId="0" borderId="0" xfId="2" applyNumberFormat="1" applyFont="1"/>
    <xf numFmtId="39" fontId="15" fillId="0" borderId="0" xfId="2" quotePrefix="1" applyNumberFormat="1" applyFont="1" applyAlignment="1">
      <alignment horizontal="left"/>
    </xf>
    <xf numFmtId="39" fontId="15" fillId="0" borderId="0" xfId="2" applyNumberFormat="1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centerContinuous" vertical="center"/>
    </xf>
    <xf numFmtId="4" fontId="2" fillId="0" borderId="1" xfId="2" applyNumberFormat="1" applyFont="1" applyBorder="1" applyAlignment="1">
      <alignment vertical="center"/>
    </xf>
    <xf numFmtId="39" fontId="2" fillId="0" borderId="0" xfId="2" applyNumberFormat="1" applyFont="1" applyAlignment="1">
      <alignment vertical="center"/>
    </xf>
    <xf numFmtId="39" fontId="2" fillId="0" borderId="0" xfId="2" applyNumberFormat="1" applyFont="1"/>
    <xf numFmtId="165" fontId="15" fillId="0" borderId="0" xfId="2" applyNumberFormat="1" applyFont="1" applyAlignment="1">
      <alignment horizontal="center"/>
    </xf>
    <xf numFmtId="165" fontId="15" fillId="0" borderId="0" xfId="2" quotePrefix="1" applyNumberFormat="1" applyFont="1" applyAlignment="1">
      <alignment horizontal="left"/>
    </xf>
    <xf numFmtId="165" fontId="15" fillId="0" borderId="0" xfId="2" quotePrefix="1" applyNumberFormat="1" applyFont="1" applyAlignment="1">
      <alignment horizontal="center"/>
    </xf>
    <xf numFmtId="39" fontId="17" fillId="0" borderId="0" xfId="2" applyNumberFormat="1" applyFont="1"/>
    <xf numFmtId="39" fontId="15" fillId="0" borderId="0" xfId="2" quotePrefix="1" applyNumberFormat="1" applyFont="1" applyAlignment="1">
      <alignment horizontal="center"/>
    </xf>
    <xf numFmtId="39" fontId="15" fillId="0" borderId="0" xfId="2" quotePrefix="1" applyNumberFormat="1" applyFont="1"/>
    <xf numFmtId="39" fontId="15" fillId="0" borderId="2" xfId="2" applyNumberFormat="1" applyFont="1" applyBorder="1"/>
    <xf numFmtId="39" fontId="15" fillId="0" borderId="1" xfId="2" quotePrefix="1" applyNumberFormat="1" applyFont="1" applyBorder="1" applyAlignment="1">
      <alignment horizontal="left" vertical="center"/>
    </xf>
    <xf numFmtId="39" fontId="15" fillId="0" borderId="1" xfId="2" applyNumberFormat="1" applyFont="1" applyBorder="1" applyAlignment="1">
      <alignment vertical="center"/>
    </xf>
    <xf numFmtId="39" fontId="15" fillId="0" borderId="0" xfId="2" applyNumberFormat="1" applyFont="1" applyAlignment="1">
      <alignment horizontal="center"/>
    </xf>
    <xf numFmtId="39" fontId="15" fillId="0" borderId="3" xfId="2" applyNumberFormat="1" applyFont="1" applyBorder="1"/>
    <xf numFmtId="39" fontId="15" fillId="0" borderId="0" xfId="2" applyNumberFormat="1" applyFont="1" applyAlignment="1">
      <alignment horizontal="left"/>
    </xf>
    <xf numFmtId="39" fontId="15" fillId="0" borderId="0" xfId="2" applyNumberFormat="1" applyFont="1" applyAlignment="1">
      <alignment horizontal="centerContinuous"/>
    </xf>
    <xf numFmtId="39" fontId="15" fillId="0" borderId="0" xfId="2" applyNumberFormat="1" applyFont="1" applyAlignment="1">
      <alignment horizontal="center" vertical="center"/>
    </xf>
    <xf numFmtId="39" fontId="1" fillId="0" borderId="0" xfId="2" applyNumberFormat="1" applyAlignment="1">
      <alignment vertical="center"/>
    </xf>
    <xf numFmtId="14" fontId="15" fillId="0" borderId="0" xfId="2" applyNumberFormat="1" applyFont="1"/>
    <xf numFmtId="14" fontId="15" fillId="0" borderId="0" xfId="2" applyNumberFormat="1" applyFont="1" applyAlignment="1">
      <alignment horizontal="center"/>
    </xf>
    <xf numFmtId="39" fontId="15" fillId="0" borderId="0" xfId="2" applyNumberFormat="1" applyFont="1" applyAlignment="1">
      <alignment horizontal="right"/>
    </xf>
    <xf numFmtId="39" fontId="2" fillId="0" borderId="2" xfId="2" applyNumberFormat="1" applyFont="1" applyBorder="1"/>
    <xf numFmtId="164" fontId="15" fillId="0" borderId="0" xfId="2" applyNumberFormat="1" applyFont="1"/>
    <xf numFmtId="164" fontId="15" fillId="0" borderId="0" xfId="2" applyNumberFormat="1" applyFont="1" applyAlignment="1">
      <alignment horizontal="center"/>
    </xf>
    <xf numFmtId="39" fontId="15" fillId="0" borderId="1" xfId="0" applyNumberFormat="1" applyFont="1" applyBorder="1" applyAlignment="1">
      <alignment horizontal="left" vertical="center"/>
    </xf>
    <xf numFmtId="39" fontId="21" fillId="0" borderId="0" xfId="0" applyNumberFormat="1" applyFont="1"/>
    <xf numFmtId="14" fontId="15" fillId="0" borderId="0" xfId="2" quotePrefix="1" applyNumberFormat="1" applyFont="1" applyAlignment="1">
      <alignment horizontal="center"/>
    </xf>
    <xf numFmtId="37" fontId="15" fillId="0" borderId="0" xfId="0" applyNumberFormat="1" applyFont="1" applyAlignment="1">
      <alignment horizontal="center"/>
    </xf>
    <xf numFmtId="39" fontId="17" fillId="0" borderId="0" xfId="0" applyNumberFormat="1" applyFont="1" applyAlignment="1">
      <alignment horizontal="right"/>
    </xf>
    <xf numFmtId="39" fontId="22" fillId="0" borderId="0" xfId="0" applyNumberFormat="1" applyFont="1" applyAlignment="1">
      <alignment horizontal="left" vertical="center"/>
    </xf>
    <xf numFmtId="39" fontId="22" fillId="0" borderId="0" xfId="0" applyNumberFormat="1" applyFont="1"/>
    <xf numFmtId="165" fontId="22" fillId="0" borderId="0" xfId="0" quotePrefix="1" applyNumberFormat="1" applyFont="1" applyAlignment="1">
      <alignment horizontal="left"/>
    </xf>
    <xf numFmtId="166" fontId="15" fillId="0" borderId="0" xfId="0" applyNumberFormat="1" applyFont="1"/>
    <xf numFmtId="39" fontId="1" fillId="0" borderId="0" xfId="0" quotePrefix="1" applyNumberFormat="1" applyFont="1"/>
    <xf numFmtId="39" fontId="22" fillId="0" borderId="0" xfId="0" quotePrefix="1" applyNumberFormat="1" applyFont="1" applyAlignment="1">
      <alignment horizontal="center"/>
    </xf>
    <xf numFmtId="164" fontId="15" fillId="0" borderId="0" xfId="2" quotePrefix="1" applyNumberFormat="1" applyFont="1" applyAlignment="1">
      <alignment horizontal="center"/>
    </xf>
    <xf numFmtId="39" fontId="15" fillId="0" borderId="0" xfId="2" quotePrefix="1" applyNumberFormat="1" applyFont="1" applyAlignment="1">
      <alignment horizontal="left" vertical="center"/>
    </xf>
    <xf numFmtId="14" fontId="15" fillId="0" borderId="0" xfId="2" applyNumberFormat="1" applyFont="1" applyAlignment="1">
      <alignment horizontal="left"/>
    </xf>
    <xf numFmtId="14" fontId="15" fillId="0" borderId="0" xfId="2" quotePrefix="1" applyNumberFormat="1" applyFont="1"/>
    <xf numFmtId="39" fontId="22" fillId="0" borderId="0" xfId="0" applyNumberFormat="1" applyFont="1" applyAlignment="1">
      <alignment horizontal="right" vertical="center"/>
    </xf>
    <xf numFmtId="39" fontId="15" fillId="0" borderId="0" xfId="0" quotePrefix="1" applyNumberFormat="1" applyFont="1" applyAlignment="1">
      <alignment horizontal="right"/>
    </xf>
    <xf numFmtId="39" fontId="0" fillId="0" borderId="2" xfId="0" applyNumberFormat="1" applyBorder="1" applyAlignment="1">
      <alignment vertical="center"/>
    </xf>
    <xf numFmtId="39" fontId="16" fillId="0" borderId="2" xfId="0" applyNumberFormat="1" applyFont="1" applyBorder="1" applyAlignment="1">
      <alignment vertical="center"/>
    </xf>
    <xf numFmtId="39" fontId="1" fillId="0" borderId="2" xfId="2" applyNumberFormat="1" applyBorder="1"/>
    <xf numFmtId="39" fontId="2" fillId="0" borderId="1" xfId="0" applyNumberFormat="1" applyFont="1" applyBorder="1" applyAlignment="1">
      <alignment vertical="center"/>
    </xf>
    <xf numFmtId="39" fontId="15" fillId="0" borderId="1" xfId="0" applyNumberFormat="1" applyFont="1" applyBorder="1"/>
    <xf numFmtId="39" fontId="15" fillId="0" borderId="3" xfId="0" applyNumberFormat="1" applyFont="1" applyBorder="1" applyAlignment="1">
      <alignment vertical="center"/>
    </xf>
    <xf numFmtId="39" fontId="2" fillId="0" borderId="4" xfId="0" applyNumberFormat="1" applyFont="1" applyBorder="1"/>
    <xf numFmtId="39" fontId="15" fillId="0" borderId="5" xfId="0" applyNumberFormat="1" applyFont="1" applyBorder="1"/>
    <xf numFmtId="14" fontId="15" fillId="0" borderId="0" xfId="0" applyNumberFormat="1" applyFont="1" applyAlignment="1">
      <alignment horizontal="right"/>
    </xf>
    <xf numFmtId="39" fontId="15" fillId="0" borderId="5" xfId="2" applyNumberFormat="1" applyFont="1" applyBorder="1"/>
    <xf numFmtId="0" fontId="17" fillId="0" borderId="0" xfId="1" applyNumberFormat="1" applyFont="1"/>
    <xf numFmtId="39" fontId="15" fillId="0" borderId="1" xfId="2" applyNumberFormat="1" applyFont="1" applyBorder="1" applyAlignment="1">
      <alignment horizontal="left" vertical="center"/>
    </xf>
    <xf numFmtId="39" fontId="2" fillId="0" borderId="0" xfId="2" quotePrefix="1" applyNumberFormat="1" applyFont="1"/>
    <xf numFmtId="39" fontId="1" fillId="0" borderId="0" xfId="2" applyNumberFormat="1" applyAlignment="1">
      <alignment horizontal="center"/>
    </xf>
    <xf numFmtId="165" fontId="17" fillId="0" borderId="0" xfId="0" applyNumberFormat="1" applyFont="1" applyAlignment="1">
      <alignment horizontal="left"/>
    </xf>
    <xf numFmtId="39" fontId="2" fillId="0" borderId="0" xfId="0" quotePrefix="1" applyNumberFormat="1" applyFont="1" applyAlignment="1">
      <alignment vertical="center"/>
    </xf>
    <xf numFmtId="39" fontId="2" fillId="0" borderId="7" xfId="0" applyNumberFormat="1" applyFont="1" applyBorder="1" applyAlignment="1">
      <alignment horizontal="center" vertical="center" wrapText="1"/>
    </xf>
    <xf numFmtId="39" fontId="2" fillId="0" borderId="7" xfId="0" applyNumberFormat="1" applyFont="1" applyBorder="1" applyAlignment="1">
      <alignment horizontal="center" vertical="center"/>
    </xf>
    <xf numFmtId="39" fontId="2" fillId="0" borderId="8" xfId="0" applyNumberFormat="1" applyFont="1" applyBorder="1" applyAlignment="1">
      <alignment horizontal="center" vertical="center"/>
    </xf>
    <xf numFmtId="39" fontId="15" fillId="0" borderId="5" xfId="2" applyNumberFormat="1" applyFont="1" applyBorder="1" applyAlignment="1">
      <alignment vertical="center"/>
    </xf>
    <xf numFmtId="39" fontId="15" fillId="0" borderId="5" xfId="0" applyNumberFormat="1" applyFont="1" applyBorder="1" applyAlignment="1">
      <alignment vertical="center"/>
    </xf>
    <xf numFmtId="39" fontId="2" fillId="0" borderId="5" xfId="0" applyNumberFormat="1" applyFont="1" applyBorder="1"/>
    <xf numFmtId="39" fontId="0" fillId="0" borderId="5" xfId="0" applyNumberFormat="1" applyBorder="1" applyAlignment="1">
      <alignment vertical="center"/>
    </xf>
    <xf numFmtId="39" fontId="15" fillId="0" borderId="0" xfId="2" applyNumberFormat="1" applyFont="1" applyAlignment="1">
      <alignment horizontal="left" vertical="center"/>
    </xf>
    <xf numFmtId="39" fontId="0" fillId="0" borderId="0" xfId="0" quotePrefix="1" applyNumberFormat="1" applyAlignment="1">
      <alignment horizontal="left" vertical="center"/>
    </xf>
    <xf numFmtId="39" fontId="2" fillId="0" borderId="0" xfId="0" applyNumberFormat="1" applyFont="1" applyAlignment="1">
      <alignment horizontal="center" wrapText="1"/>
    </xf>
    <xf numFmtId="39" fontId="2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/>
    </xf>
    <xf numFmtId="39" fontId="2" fillId="0" borderId="3" xfId="0" applyNumberFormat="1" applyFont="1" applyBorder="1" applyAlignment="1">
      <alignment horizontal="center" vertical="center" wrapText="1"/>
    </xf>
    <xf numFmtId="39" fontId="2" fillId="0" borderId="3" xfId="0" applyNumberFormat="1" applyFont="1" applyBorder="1" applyAlignment="1">
      <alignment horizontal="center" vertical="center"/>
    </xf>
    <xf numFmtId="39" fontId="2" fillId="0" borderId="1" xfId="0" applyNumberFormat="1" applyFont="1" applyBorder="1" applyAlignment="1">
      <alignment horizontal="center" vertical="center"/>
    </xf>
    <xf numFmtId="39" fontId="2" fillId="0" borderId="6" xfId="0" applyNumberFormat="1" applyFont="1" applyBorder="1" applyAlignment="1">
      <alignment horizontal="center" vertical="center" wrapText="1"/>
    </xf>
    <xf numFmtId="167" fontId="15" fillId="0" borderId="0" xfId="0" applyNumberFormat="1" applyFont="1" applyAlignment="1">
      <alignment horizontal="left"/>
    </xf>
    <xf numFmtId="39" fontId="15" fillId="0" borderId="0" xfId="0" quotePrefix="1" applyNumberFormat="1" applyFont="1" applyAlignment="1">
      <alignment vertical="center"/>
    </xf>
    <xf numFmtId="39" fontId="2" fillId="0" borderId="1" xfId="0" applyNumberFormat="1" applyFont="1" applyBorder="1" applyAlignment="1">
      <alignment horizontal="center" vertical="center" wrapText="1"/>
    </xf>
    <xf numFmtId="39" fontId="2" fillId="0" borderId="1" xfId="0" applyNumberFormat="1" applyFont="1" applyBorder="1" applyAlignment="1">
      <alignment horizontal="center" wrapText="1"/>
    </xf>
    <xf numFmtId="39" fontId="15" fillId="0" borderId="9" xfId="0" applyNumberFormat="1" applyFont="1" applyBorder="1"/>
    <xf numFmtId="39" fontId="12" fillId="0" borderId="0" xfId="0" applyNumberFormat="1" applyFont="1"/>
    <xf numFmtId="39" fontId="22" fillId="0" borderId="0" xfId="0" quotePrefix="1" applyNumberFormat="1" applyFont="1"/>
    <xf numFmtId="39" fontId="15" fillId="0" borderId="10" xfId="0" applyNumberFormat="1" applyFont="1" applyBorder="1"/>
    <xf numFmtId="39" fontId="2" fillId="0" borderId="7" xfId="2" applyNumberFormat="1" applyFont="1" applyBorder="1" applyAlignment="1">
      <alignment horizontal="center" vertical="center" wrapText="1"/>
    </xf>
    <xf numFmtId="39" fontId="2" fillId="0" borderId="7" xfId="2" applyNumberFormat="1" applyFont="1" applyBorder="1" applyAlignment="1">
      <alignment horizontal="center" vertical="center"/>
    </xf>
    <xf numFmtId="39" fontId="2" fillId="0" borderId="8" xfId="2" applyNumberFormat="1" applyFont="1" applyBorder="1" applyAlignment="1">
      <alignment horizontal="center" vertical="center"/>
    </xf>
    <xf numFmtId="39" fontId="2" fillId="0" borderId="0" xfId="2" applyNumberFormat="1" applyFont="1" applyAlignment="1">
      <alignment horizontal="left"/>
    </xf>
    <xf numFmtId="39" fontId="15" fillId="0" borderId="0" xfId="2" quotePrefix="1" applyNumberFormat="1" applyFont="1" applyAlignment="1">
      <alignment horizontal="right"/>
    </xf>
    <xf numFmtId="168" fontId="0" fillId="0" borderId="0" xfId="0" applyNumberFormat="1"/>
    <xf numFmtId="39" fontId="22" fillId="0" borderId="0" xfId="0" applyNumberFormat="1" applyFont="1" applyAlignment="1">
      <alignment horizontal="center" vertical="center"/>
    </xf>
    <xf numFmtId="39" fontId="15" fillId="0" borderId="1" xfId="2" applyNumberFormat="1" applyFont="1" applyBorder="1"/>
    <xf numFmtId="39" fontId="1" fillId="0" borderId="3" xfId="2" applyNumberFormat="1" applyBorder="1"/>
    <xf numFmtId="49" fontId="22" fillId="0" borderId="0" xfId="0" quotePrefix="1" applyNumberFormat="1" applyFont="1" applyAlignment="1">
      <alignment horizontal="center" vertical="center"/>
    </xf>
    <xf numFmtId="39" fontId="11" fillId="0" borderId="0" xfId="0" applyNumberFormat="1" applyFont="1" applyAlignment="1">
      <alignment vertical="center"/>
    </xf>
    <xf numFmtId="39" fontId="4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9" fontId="1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39" fontId="2" fillId="0" borderId="0" xfId="2" applyNumberFormat="1" applyFont="1" applyAlignment="1">
      <alignment horizontal="center" wrapText="1"/>
    </xf>
    <xf numFmtId="39" fontId="2" fillId="0" borderId="0" xfId="2" applyNumberFormat="1" applyFont="1" applyAlignment="1">
      <alignment horizontal="center" vertical="center" wrapText="1"/>
    </xf>
    <xf numFmtId="39" fontId="2" fillId="0" borderId="0" xfId="2" applyNumberFormat="1" applyFont="1" applyAlignment="1">
      <alignment horizontal="center" vertical="center"/>
    </xf>
    <xf numFmtId="39" fontId="23" fillId="0" borderId="0" xfId="0" applyNumberFormat="1" applyFont="1" applyAlignment="1">
      <alignment horizontal="center"/>
    </xf>
    <xf numFmtId="39" fontId="0" fillId="0" borderId="1" xfId="0" applyNumberFormat="1" applyBorder="1"/>
    <xf numFmtId="39" fontId="22" fillId="0" borderId="0" xfId="0" applyNumberFormat="1" applyFont="1" applyAlignment="1">
      <alignment horizontal="left"/>
    </xf>
    <xf numFmtId="39" fontId="22" fillId="0" borderId="0" xfId="2" quotePrefix="1" applyNumberFormat="1" applyFont="1" applyAlignment="1">
      <alignment horizontal="center"/>
    </xf>
    <xf numFmtId="39" fontId="22" fillId="0" borderId="0" xfId="2" applyNumberFormat="1" applyFont="1" applyAlignment="1">
      <alignment horizontal="left"/>
    </xf>
    <xf numFmtId="39" fontId="22" fillId="0" borderId="0" xfId="2" quotePrefix="1" applyNumberFormat="1" applyFont="1" applyAlignment="1">
      <alignment horizontal="left"/>
    </xf>
    <xf numFmtId="0" fontId="15" fillId="0" borderId="0" xfId="2" quotePrefix="1" applyFont="1" applyAlignment="1">
      <alignment horizontal="right"/>
    </xf>
    <xf numFmtId="39" fontId="15" fillId="0" borderId="0" xfId="0" quotePrefix="1" applyNumberFormat="1" applyFont="1" applyAlignment="1">
      <alignment vertical="top"/>
    </xf>
    <xf numFmtId="39" fontId="15" fillId="0" borderId="11" xfId="0" applyNumberFormat="1" applyFont="1" applyBorder="1"/>
    <xf numFmtId="39" fontId="15" fillId="0" borderId="4" xfId="0" applyNumberFormat="1" applyFont="1" applyBorder="1"/>
    <xf numFmtId="39" fontId="23" fillId="0" borderId="0" xfId="0" quotePrefix="1" applyNumberFormat="1" applyFont="1"/>
    <xf numFmtId="39" fontId="22" fillId="0" borderId="0" xfId="0" applyNumberFormat="1" applyFont="1" applyAlignment="1">
      <alignment horizontal="center"/>
    </xf>
    <xf numFmtId="39" fontId="15" fillId="0" borderId="0" xfId="2" quotePrefix="1" applyNumberFormat="1" applyFont="1" applyAlignment="1">
      <alignment vertical="center"/>
    </xf>
    <xf numFmtId="39" fontId="15" fillId="0" borderId="3" xfId="2" applyNumberFormat="1" applyFont="1" applyBorder="1" applyAlignment="1">
      <alignment horizontal="left" vertical="center"/>
    </xf>
    <xf numFmtId="169" fontId="1" fillId="0" borderId="0" xfId="2" applyNumberFormat="1"/>
    <xf numFmtId="166" fontId="15" fillId="0" borderId="0" xfId="2" applyNumberFormat="1" applyFont="1"/>
    <xf numFmtId="39" fontId="22" fillId="0" borderId="0" xfId="2" applyNumberFormat="1" applyFont="1" applyAlignment="1">
      <alignment horizontal="center"/>
    </xf>
    <xf numFmtId="39" fontId="23" fillId="0" borderId="0" xfId="0" quotePrefix="1" applyNumberFormat="1" applyFont="1" applyAlignment="1">
      <alignment horizontal="center"/>
    </xf>
    <xf numFmtId="39" fontId="24" fillId="0" borderId="0" xfId="0" applyNumberFormat="1" applyFont="1"/>
    <xf numFmtId="49" fontId="25" fillId="0" borderId="0" xfId="0" applyNumberFormat="1" applyFont="1" applyAlignment="1">
      <alignment horizontal="center" vertical="center"/>
    </xf>
    <xf numFmtId="165" fontId="25" fillId="0" borderId="0" xfId="0" quotePrefix="1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49" fontId="25" fillId="0" borderId="0" xfId="0" quotePrefix="1" applyNumberFormat="1" applyFont="1" applyAlignment="1">
      <alignment horizontal="center" vertical="center"/>
    </xf>
    <xf numFmtId="39" fontId="23" fillId="0" borderId="0" xfId="0" quotePrefix="1" applyNumberFormat="1" applyFont="1" applyAlignment="1">
      <alignment horizontal="left"/>
    </xf>
    <xf numFmtId="39" fontId="23" fillId="0" borderId="0" xfId="2" quotePrefix="1" applyNumberFormat="1" applyFont="1" applyAlignment="1">
      <alignment horizontal="center"/>
    </xf>
    <xf numFmtId="165" fontId="22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left"/>
    </xf>
    <xf numFmtId="43" fontId="15" fillId="0" borderId="0" xfId="1" applyFont="1" applyAlignment="1">
      <alignment horizontal="left"/>
    </xf>
    <xf numFmtId="14" fontId="22" fillId="0" borderId="0" xfId="0" applyNumberFormat="1" applyFont="1" applyAlignment="1">
      <alignment horizontal="left"/>
    </xf>
    <xf numFmtId="165" fontId="15" fillId="0" borderId="0" xfId="2" quotePrefix="1" applyNumberFormat="1" applyFont="1" applyAlignment="1">
      <alignment horizontal="center" vertical="top"/>
    </xf>
    <xf numFmtId="39" fontId="7" fillId="0" borderId="0" xfId="2" applyNumberFormat="1" applyFont="1"/>
    <xf numFmtId="39" fontId="5" fillId="0" borderId="0" xfId="2" applyNumberFormat="1" applyFont="1" applyAlignment="1">
      <alignment vertical="center"/>
    </xf>
    <xf numFmtId="39" fontId="7" fillId="0" borderId="0" xfId="2" applyNumberFormat="1" applyFont="1" applyAlignment="1">
      <alignment vertical="center"/>
    </xf>
    <xf numFmtId="39" fontId="8" fillId="0" borderId="0" xfId="2" applyNumberFormat="1" applyFont="1" applyAlignment="1">
      <alignment vertical="center"/>
    </xf>
    <xf numFmtId="39" fontId="14" fillId="0" borderId="0" xfId="2" applyNumberFormat="1" applyFont="1" applyAlignment="1">
      <alignment vertical="center"/>
    </xf>
    <xf numFmtId="164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4" fontId="6" fillId="0" borderId="0" xfId="2" applyNumberFormat="1" applyFont="1" applyAlignment="1">
      <alignment vertical="center"/>
    </xf>
    <xf numFmtId="164" fontId="15" fillId="0" borderId="0" xfId="2" quotePrefix="1" applyNumberFormat="1" applyFont="1" applyAlignment="1">
      <alignment horizontal="center" vertical="center"/>
    </xf>
    <xf numFmtId="39" fontId="13" fillId="0" borderId="0" xfId="2" applyNumberFormat="1" applyFont="1" applyAlignment="1">
      <alignment vertical="center"/>
    </xf>
    <xf numFmtId="164" fontId="15" fillId="0" borderId="0" xfId="2" quotePrefix="1" applyNumberFormat="1" applyFont="1" applyAlignment="1">
      <alignment horizontal="left" vertical="center"/>
    </xf>
    <xf numFmtId="39" fontId="15" fillId="0" borderId="0" xfId="2" quotePrefix="1" applyNumberFormat="1" applyFont="1" applyAlignment="1">
      <alignment horizontal="center" vertical="center"/>
    </xf>
    <xf numFmtId="39" fontId="16" fillId="0" borderId="0" xfId="2" applyNumberFormat="1" applyFont="1" applyAlignment="1">
      <alignment vertical="center"/>
    </xf>
    <xf numFmtId="39" fontId="22" fillId="0" borderId="0" xfId="2" applyNumberFormat="1" applyFont="1" applyAlignment="1">
      <alignment horizontal="left" vertical="center"/>
    </xf>
    <xf numFmtId="0" fontId="15" fillId="0" borderId="0" xfId="2" quotePrefix="1" applyFont="1" applyAlignment="1">
      <alignment horizontal="center" vertical="center"/>
    </xf>
    <xf numFmtId="164" fontId="15" fillId="0" borderId="0" xfId="2" applyNumberFormat="1" applyFont="1" applyAlignment="1">
      <alignment horizontal="left" vertical="center"/>
    </xf>
    <xf numFmtId="39" fontId="16" fillId="0" borderId="0" xfId="2" applyNumberFormat="1" applyFont="1"/>
    <xf numFmtId="39" fontId="12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39" fontId="15" fillId="0" borderId="2" xfId="2" applyNumberFormat="1" applyFont="1" applyBorder="1" applyAlignment="1">
      <alignment vertical="center"/>
    </xf>
    <xf numFmtId="39" fontId="16" fillId="0" borderId="1" xfId="2" applyNumberFormat="1" applyFont="1" applyBorder="1" applyAlignment="1">
      <alignment vertical="center"/>
    </xf>
    <xf numFmtId="39" fontId="16" fillId="0" borderId="0" xfId="2" quotePrefix="1" applyNumberFormat="1" applyFont="1"/>
    <xf numFmtId="39" fontId="12" fillId="0" borderId="0" xfId="2" applyNumberFormat="1" applyFont="1"/>
    <xf numFmtId="39" fontId="15" fillId="0" borderId="3" xfId="2" applyNumberFormat="1" applyFont="1" applyBorder="1" applyAlignment="1">
      <alignment horizontal="left"/>
    </xf>
    <xf numFmtId="39" fontId="15" fillId="0" borderId="4" xfId="0" applyNumberFormat="1" applyFont="1" applyBorder="1" applyAlignment="1">
      <alignment vertical="center"/>
    </xf>
    <xf numFmtId="168" fontId="1" fillId="0" borderId="0" xfId="2" applyNumberFormat="1"/>
    <xf numFmtId="39" fontId="15" fillId="0" borderId="0" xfId="0" applyNumberFormat="1" applyFont="1" applyAlignment="1">
      <alignment vertical="top"/>
    </xf>
    <xf numFmtId="39" fontId="15" fillId="0" borderId="0" xfId="0" applyNumberFormat="1" applyFont="1" applyAlignment="1">
      <alignment wrapText="1"/>
    </xf>
    <xf numFmtId="39" fontId="27" fillId="0" borderId="0" xfId="0" applyNumberFormat="1" applyFont="1"/>
    <xf numFmtId="39" fontId="29" fillId="0" borderId="0" xfId="0" applyNumberFormat="1" applyFont="1"/>
    <xf numFmtId="39" fontId="30" fillId="0" borderId="0" xfId="0" applyNumberFormat="1" applyFont="1"/>
    <xf numFmtId="39" fontId="29" fillId="0" borderId="0" xfId="0" quotePrefix="1" applyNumberFormat="1" applyFont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Continuous" vertical="center"/>
    </xf>
    <xf numFmtId="4" fontId="28" fillId="0" borderId="1" xfId="0" applyNumberFormat="1" applyFont="1" applyBorder="1" applyAlignment="1">
      <alignment vertical="center"/>
    </xf>
    <xf numFmtId="39" fontId="28" fillId="0" borderId="0" xfId="0" applyNumberFormat="1" applyFont="1" applyAlignment="1">
      <alignment vertical="center"/>
    </xf>
    <xf numFmtId="165" fontId="29" fillId="0" borderId="0" xfId="0" applyNumberFormat="1" applyFont="1" applyAlignment="1">
      <alignment horizontal="center"/>
    </xf>
    <xf numFmtId="39" fontId="28" fillId="0" borderId="0" xfId="0" applyNumberFormat="1" applyFont="1"/>
    <xf numFmtId="39" fontId="29" fillId="0" borderId="0" xfId="0" quotePrefix="1" applyNumberFormat="1" applyFont="1" applyAlignment="1">
      <alignment horizontal="center"/>
    </xf>
    <xf numFmtId="39" fontId="29" fillId="0" borderId="0" xfId="0" applyNumberFormat="1" applyFont="1" applyAlignment="1">
      <alignment horizontal="center"/>
    </xf>
    <xf numFmtId="39" fontId="29" fillId="0" borderId="0" xfId="0" quotePrefix="1" applyNumberFormat="1" applyFont="1"/>
    <xf numFmtId="39" fontId="31" fillId="0" borderId="0" xfId="0" applyNumberFormat="1" applyFont="1"/>
    <xf numFmtId="165" fontId="29" fillId="0" borderId="0" xfId="0" quotePrefix="1" applyNumberFormat="1" applyFont="1" applyAlignment="1">
      <alignment horizontal="center"/>
    </xf>
    <xf numFmtId="39" fontId="32" fillId="0" borderId="0" xfId="0" applyNumberFormat="1" applyFont="1"/>
    <xf numFmtId="39" fontId="27" fillId="0" borderId="0" xfId="0" applyNumberFormat="1" applyFont="1" applyAlignment="1">
      <alignment horizontal="center"/>
    </xf>
    <xf numFmtId="39" fontId="29" fillId="0" borderId="2" xfId="0" applyNumberFormat="1" applyFont="1" applyBorder="1"/>
    <xf numFmtId="39" fontId="29" fillId="0" borderId="1" xfId="0" quotePrefix="1" applyNumberFormat="1" applyFont="1" applyBorder="1" applyAlignment="1">
      <alignment horizontal="left" vertical="center"/>
    </xf>
    <xf numFmtId="39" fontId="29" fillId="0" borderId="1" xfId="0" applyNumberFormat="1" applyFont="1" applyBorder="1" applyAlignment="1">
      <alignment horizontal="left" vertical="center"/>
    </xf>
    <xf numFmtId="39" fontId="29" fillId="0" borderId="1" xfId="0" applyNumberFormat="1" applyFont="1" applyBorder="1" applyAlignment="1">
      <alignment vertical="center"/>
    </xf>
    <xf numFmtId="39" fontId="29" fillId="0" borderId="1" xfId="0" applyNumberFormat="1" applyFont="1" applyBorder="1"/>
    <xf numFmtId="39" fontId="28" fillId="0" borderId="7" xfId="0" applyNumberFormat="1" applyFont="1" applyBorder="1" applyAlignment="1">
      <alignment horizontal="center" vertical="center" wrapText="1"/>
    </xf>
    <xf numFmtId="39" fontId="28" fillId="0" borderId="7" xfId="0" applyNumberFormat="1" applyFont="1" applyBorder="1" applyAlignment="1">
      <alignment horizontal="center" vertical="center"/>
    </xf>
    <xf numFmtId="39" fontId="28" fillId="0" borderId="8" xfId="0" applyNumberFormat="1" applyFont="1" applyBorder="1" applyAlignment="1">
      <alignment horizontal="center" vertical="center"/>
    </xf>
    <xf numFmtId="39" fontId="28" fillId="0" borderId="0" xfId="0" applyNumberFormat="1" applyFont="1" applyAlignment="1">
      <alignment horizontal="center" wrapText="1"/>
    </xf>
    <xf numFmtId="39" fontId="28" fillId="0" borderId="0" xfId="0" applyNumberFormat="1" applyFont="1" applyAlignment="1">
      <alignment horizontal="center" vertical="center" wrapText="1"/>
    </xf>
    <xf numFmtId="39" fontId="28" fillId="0" borderId="0" xfId="0" applyNumberFormat="1" applyFont="1" applyAlignment="1">
      <alignment horizontal="center" vertical="center"/>
    </xf>
    <xf numFmtId="39" fontId="29" fillId="0" borderId="3" xfId="0" applyNumberFormat="1" applyFont="1" applyBorder="1"/>
    <xf numFmtId="39" fontId="29" fillId="0" borderId="0" xfId="0" applyNumberFormat="1" applyFont="1" applyAlignment="1">
      <alignment horizontal="left"/>
    </xf>
    <xf numFmtId="39" fontId="29" fillId="0" borderId="0" xfId="0" applyNumberFormat="1" applyFont="1" applyAlignment="1">
      <alignment horizontal="centerContinuous"/>
    </xf>
    <xf numFmtId="39" fontId="29" fillId="0" borderId="0" xfId="0" applyNumberFormat="1" applyFont="1" applyAlignment="1">
      <alignment vertical="center"/>
    </xf>
    <xf numFmtId="39" fontId="29" fillId="0" borderId="0" xfId="0" applyNumberFormat="1" applyFont="1" applyAlignment="1">
      <alignment horizontal="center" vertical="center"/>
    </xf>
    <xf numFmtId="39" fontId="27" fillId="0" borderId="0" xfId="0" applyNumberFormat="1" applyFont="1" applyAlignment="1">
      <alignment vertical="center"/>
    </xf>
    <xf numFmtId="39" fontId="33" fillId="0" borderId="0" xfId="0" applyNumberFormat="1" applyFont="1"/>
    <xf numFmtId="39" fontId="33" fillId="0" borderId="0" xfId="0" quotePrefix="1" applyNumberFormat="1" applyFont="1" applyAlignment="1">
      <alignment horizontal="left"/>
    </xf>
    <xf numFmtId="39" fontId="33" fillId="0" borderId="0" xfId="0" quotePrefix="1" applyNumberFormat="1" applyFont="1"/>
    <xf numFmtId="43" fontId="15" fillId="0" borderId="2" xfId="1" applyFont="1" applyBorder="1"/>
    <xf numFmtId="39" fontId="34" fillId="0" borderId="0" xfId="0" applyNumberFormat="1" applyFont="1"/>
    <xf numFmtId="0" fontId="2" fillId="0" borderId="1" xfId="0" applyFont="1" applyBorder="1" applyAlignment="1">
      <alignment vertical="center"/>
    </xf>
    <xf numFmtId="14" fontId="2" fillId="0" borderId="0" xfId="2" applyNumberFormat="1" applyFont="1" applyAlignment="1">
      <alignment vertical="center"/>
    </xf>
    <xf numFmtId="14" fontId="1" fillId="0" borderId="0" xfId="2" applyNumberFormat="1"/>
    <xf numFmtId="170" fontId="0" fillId="0" borderId="0" xfId="0" applyNumberFormat="1"/>
    <xf numFmtId="43" fontId="15" fillId="0" borderId="0" xfId="1" applyFont="1" applyAlignment="1">
      <alignment horizontal="left" vertical="center"/>
    </xf>
    <xf numFmtId="39" fontId="14" fillId="0" borderId="0" xfId="2" applyNumberFormat="1" applyFont="1" applyAlignment="1">
      <alignment horizontal="left" vertical="center"/>
    </xf>
    <xf numFmtId="39" fontId="2" fillId="0" borderId="0" xfId="2" applyNumberFormat="1" applyFont="1" applyAlignment="1">
      <alignment horizontal="left" vertical="center"/>
    </xf>
    <xf numFmtId="43" fontId="15" fillId="0" borderId="0" xfId="1" quotePrefix="1" applyFont="1" applyAlignment="1">
      <alignment horizontal="left"/>
    </xf>
    <xf numFmtId="39" fontId="0" fillId="0" borderId="0" xfId="0" applyNumberFormat="1" applyAlignment="1">
      <alignment wrapText="1"/>
    </xf>
    <xf numFmtId="49" fontId="25" fillId="0" borderId="0" xfId="7" quotePrefix="1" applyNumberFormat="1" applyFont="1" applyAlignment="1">
      <alignment horizontal="center" vertical="center"/>
    </xf>
    <xf numFmtId="0" fontId="25" fillId="0" borderId="0" xfId="7" applyFont="1" applyAlignment="1">
      <alignment horizontal="center" vertical="center"/>
    </xf>
    <xf numFmtId="165" fontId="25" fillId="0" borderId="0" xfId="7" quotePrefix="1" applyNumberFormat="1" applyFont="1" applyAlignment="1">
      <alignment horizontal="center" vertical="center"/>
    </xf>
    <xf numFmtId="165" fontId="25" fillId="0" borderId="0" xfId="7" applyNumberFormat="1" applyFont="1" applyAlignment="1">
      <alignment horizontal="center" vertical="center"/>
    </xf>
    <xf numFmtId="43" fontId="17" fillId="0" borderId="0" xfId="1" applyFont="1"/>
    <xf numFmtId="0" fontId="15" fillId="0" borderId="0" xfId="0" applyFont="1"/>
    <xf numFmtId="39" fontId="24" fillId="0" borderId="0" xfId="9" applyNumberFormat="1" applyFont="1"/>
    <xf numFmtId="39" fontId="37" fillId="0" borderId="0" xfId="0" applyNumberFormat="1" applyFont="1"/>
    <xf numFmtId="171" fontId="15" fillId="0" borderId="0" xfId="1" applyNumberFormat="1" applyFont="1"/>
    <xf numFmtId="43" fontId="15" fillId="0" borderId="0" xfId="1" applyFont="1" applyAlignment="1">
      <alignment vertical="center"/>
    </xf>
    <xf numFmtId="43" fontId="15" fillId="0" borderId="0" xfId="0" applyNumberFormat="1" applyFont="1"/>
    <xf numFmtId="166" fontId="0" fillId="0" borderId="0" xfId="0" applyNumberFormat="1"/>
    <xf numFmtId="39" fontId="2" fillId="0" borderId="1" xfId="0" applyNumberFormat="1" applyFont="1" applyBorder="1"/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Border="1"/>
    <xf numFmtId="39" fontId="15" fillId="0" borderId="0" xfId="0" applyNumberFormat="1" applyFont="1" applyBorder="1" applyAlignment="1">
      <alignment horizontal="center" vertical="center"/>
    </xf>
    <xf numFmtId="39" fontId="15" fillId="0" borderId="0" xfId="0" applyNumberFormat="1" applyFont="1" applyBorder="1" applyAlignment="1">
      <alignment vertical="center"/>
    </xf>
    <xf numFmtId="168" fontId="15" fillId="0" borderId="0" xfId="0" applyNumberFormat="1" applyFont="1"/>
    <xf numFmtId="166" fontId="2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39" fontId="15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172" fontId="0" fillId="0" borderId="0" xfId="0" applyNumberFormat="1"/>
    <xf numFmtId="171" fontId="0" fillId="0" borderId="0" xfId="1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39" fontId="22" fillId="0" borderId="0" xfId="2" quotePrefix="1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2" applyNumberFormat="1" applyFont="1" applyBorder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Border="1" applyAlignment="1">
      <alignment horizontal="left"/>
    </xf>
    <xf numFmtId="43" fontId="2" fillId="0" borderId="2" xfId="1" applyFont="1" applyBorder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165" fontId="15" fillId="0" borderId="0" xfId="0" quotePrefix="1" applyNumberFormat="1" applyFont="1" applyAlignme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/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0" fillId="0" borderId="0" xfId="0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2" fontId="15" fillId="0" borderId="0" xfId="0" applyNumberFormat="1" applyFont="1"/>
    <xf numFmtId="169" fontId="15" fillId="0" borderId="0" xfId="0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15" fillId="0" borderId="0" xfId="0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173" fontId="15" fillId="0" borderId="0" xfId="0" applyNumberFormat="1" applyFont="1"/>
    <xf numFmtId="169" fontId="0" fillId="0" borderId="0" xfId="0" applyNumberForma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174" fontId="15" fillId="0" borderId="0" xfId="0" applyNumberFormat="1" applyFont="1"/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2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39" fontId="15" fillId="0" borderId="0" xfId="0" applyNumberFormat="1" applyFont="1" applyAlignment="1">
      <alignment horizontal="center"/>
    </xf>
    <xf numFmtId="0" fontId="25" fillId="0" borderId="12" xfId="2" applyFont="1" applyBorder="1" applyAlignment="1">
      <alignment horizontal="center" vertical="center"/>
    </xf>
    <xf numFmtId="165" fontId="25" fillId="0" borderId="13" xfId="2" quotePrefix="1" applyNumberFormat="1" applyFont="1" applyBorder="1" applyAlignment="1">
      <alignment horizontal="center" vertical="center"/>
    </xf>
    <xf numFmtId="49" fontId="25" fillId="0" borderId="12" xfId="2" quotePrefix="1" applyNumberFormat="1" applyFont="1" applyBorder="1" applyAlignment="1">
      <alignment horizontal="center" vertical="center"/>
    </xf>
    <xf numFmtId="39" fontId="6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39" fontId="2" fillId="0" borderId="0" xfId="2" applyNumberFormat="1" applyFont="1" applyAlignment="1">
      <alignment horizontal="center"/>
    </xf>
    <xf numFmtId="39" fontId="10" fillId="0" borderId="0" xfId="0" applyNumberFormat="1" applyFont="1" applyAlignment="1">
      <alignment horizontal="center"/>
    </xf>
    <xf numFmtId="39" fontId="26" fillId="0" borderId="0" xfId="0" applyNumberFormat="1" applyFont="1" applyAlignment="1">
      <alignment horizontal="center"/>
    </xf>
    <xf numFmtId="39" fontId="2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Alignment="1">
      <alignment horizontal="center"/>
    </xf>
    <xf numFmtId="14" fontId="23" fillId="0" borderId="0" xfId="0" quotePrefix="1" applyNumberFormat="1" applyFont="1" applyAlignment="1">
      <alignment horizontal="center"/>
    </xf>
    <xf numFmtId="39" fontId="11" fillId="0" borderId="0" xfId="0" applyNumberFormat="1" applyFont="1" applyAlignment="1">
      <alignment horizontal="center"/>
    </xf>
  </cellXfs>
  <cellStyles count="10">
    <cellStyle name="Comma" xfId="1" builtinId="3"/>
    <cellStyle name="Comma 2" xfId="8" xr:uid="{00000000-0005-0000-0000-000034000000}"/>
    <cellStyle name="Hyperlink" xfId="9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4" xr:uid="{00000000-0005-0000-0000-000004000000}"/>
    <cellStyle name="Normal 3" xfId="3" xr:uid="{00000000-0005-0000-0000-000005000000}"/>
    <cellStyle name="Normal 4" xfId="6" xr:uid="{00000000-0005-0000-0000-000006000000}"/>
    <cellStyle name="Normal 5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671" Type="http://schemas.openxmlformats.org/officeDocument/2006/relationships/worksheet" Target="worksheets/sheet671.xml"/><Relationship Id="rId769" Type="http://schemas.openxmlformats.org/officeDocument/2006/relationships/worksheet" Target="worksheets/sheet769.xml"/><Relationship Id="rId21" Type="http://schemas.openxmlformats.org/officeDocument/2006/relationships/worksheet" Target="worksheets/sheet21.xml"/><Relationship Id="rId324" Type="http://schemas.openxmlformats.org/officeDocument/2006/relationships/worksheet" Target="worksheets/sheet324.xml"/><Relationship Id="rId531" Type="http://schemas.openxmlformats.org/officeDocument/2006/relationships/worksheet" Target="worksheets/sheet531.xml"/><Relationship Id="rId629" Type="http://schemas.openxmlformats.org/officeDocument/2006/relationships/worksheet" Target="worksheets/sheet629.xml"/><Relationship Id="rId170" Type="http://schemas.openxmlformats.org/officeDocument/2006/relationships/worksheet" Target="worksheets/sheet170.xml"/><Relationship Id="rId268" Type="http://schemas.openxmlformats.org/officeDocument/2006/relationships/worksheet" Target="worksheets/sheet268.xml"/><Relationship Id="rId475" Type="http://schemas.openxmlformats.org/officeDocument/2006/relationships/worksheet" Target="worksheets/sheet475.xml"/><Relationship Id="rId682" Type="http://schemas.openxmlformats.org/officeDocument/2006/relationships/worksheet" Target="worksheets/sheet682.xml"/><Relationship Id="rId32" Type="http://schemas.openxmlformats.org/officeDocument/2006/relationships/worksheet" Target="worksheets/sheet32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542" Type="http://schemas.openxmlformats.org/officeDocument/2006/relationships/worksheet" Target="worksheets/sheet542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791" Type="http://schemas.openxmlformats.org/officeDocument/2006/relationships/theme" Target="theme/theme1.xml"/><Relationship Id="rId279" Type="http://schemas.openxmlformats.org/officeDocument/2006/relationships/worksheet" Target="worksheets/sheet279.xml"/><Relationship Id="rId444" Type="http://schemas.openxmlformats.org/officeDocument/2006/relationships/worksheet" Target="worksheets/sheet444.xml"/><Relationship Id="rId486" Type="http://schemas.openxmlformats.org/officeDocument/2006/relationships/worksheet" Target="worksheets/sheet486.xml"/><Relationship Id="rId651" Type="http://schemas.openxmlformats.org/officeDocument/2006/relationships/worksheet" Target="worksheets/sheet651.xml"/><Relationship Id="rId693" Type="http://schemas.openxmlformats.org/officeDocument/2006/relationships/worksheet" Target="worksheets/sheet693.xml"/><Relationship Id="rId707" Type="http://schemas.openxmlformats.org/officeDocument/2006/relationships/worksheet" Target="worksheets/sheet707.xml"/><Relationship Id="rId749" Type="http://schemas.openxmlformats.org/officeDocument/2006/relationships/worksheet" Target="worksheets/sheet74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511" Type="http://schemas.openxmlformats.org/officeDocument/2006/relationships/worksheet" Target="worksheets/sheet511.xml"/><Relationship Id="rId553" Type="http://schemas.openxmlformats.org/officeDocument/2006/relationships/worksheet" Target="worksheets/sheet553.xml"/><Relationship Id="rId609" Type="http://schemas.openxmlformats.org/officeDocument/2006/relationships/worksheet" Target="worksheets/sheet609.xml"/><Relationship Id="rId760" Type="http://schemas.openxmlformats.org/officeDocument/2006/relationships/worksheet" Target="worksheets/sheet76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595" Type="http://schemas.openxmlformats.org/officeDocument/2006/relationships/worksheet" Target="worksheets/sheet595.xml"/><Relationship Id="rId248" Type="http://schemas.openxmlformats.org/officeDocument/2006/relationships/worksheet" Target="worksheets/sheet248.xml"/><Relationship Id="rId455" Type="http://schemas.openxmlformats.org/officeDocument/2006/relationships/worksheet" Target="worksheets/sheet455.xml"/><Relationship Id="rId497" Type="http://schemas.openxmlformats.org/officeDocument/2006/relationships/worksheet" Target="worksheets/sheet497.xml"/><Relationship Id="rId620" Type="http://schemas.openxmlformats.org/officeDocument/2006/relationships/worksheet" Target="worksheets/sheet620.xml"/><Relationship Id="rId662" Type="http://schemas.openxmlformats.org/officeDocument/2006/relationships/worksheet" Target="worksheets/sheet662.xml"/><Relationship Id="rId718" Type="http://schemas.openxmlformats.org/officeDocument/2006/relationships/worksheet" Target="worksheets/sheet71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22" Type="http://schemas.openxmlformats.org/officeDocument/2006/relationships/worksheet" Target="worksheets/sheet522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564" Type="http://schemas.openxmlformats.org/officeDocument/2006/relationships/worksheet" Target="worksheets/sheet564.xml"/><Relationship Id="rId771" Type="http://schemas.openxmlformats.org/officeDocument/2006/relationships/worksheet" Target="worksheets/sheet771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466" Type="http://schemas.openxmlformats.org/officeDocument/2006/relationships/worksheet" Target="worksheets/sheet466.xml"/><Relationship Id="rId631" Type="http://schemas.openxmlformats.org/officeDocument/2006/relationships/worksheet" Target="worksheets/sheet631.xml"/><Relationship Id="rId673" Type="http://schemas.openxmlformats.org/officeDocument/2006/relationships/worksheet" Target="worksheets/sheet673.xml"/><Relationship Id="rId729" Type="http://schemas.openxmlformats.org/officeDocument/2006/relationships/worksheet" Target="worksheets/sheet72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533" Type="http://schemas.openxmlformats.org/officeDocument/2006/relationships/worksheet" Target="worksheets/sheet533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575" Type="http://schemas.openxmlformats.org/officeDocument/2006/relationships/worksheet" Target="worksheets/sheet575.xml"/><Relationship Id="rId740" Type="http://schemas.openxmlformats.org/officeDocument/2006/relationships/worksheet" Target="worksheets/sheet740.xml"/><Relationship Id="rId782" Type="http://schemas.openxmlformats.org/officeDocument/2006/relationships/worksheet" Target="worksheets/sheet782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477" Type="http://schemas.openxmlformats.org/officeDocument/2006/relationships/worksheet" Target="worksheets/sheet477.xml"/><Relationship Id="rId600" Type="http://schemas.openxmlformats.org/officeDocument/2006/relationships/worksheet" Target="worksheets/sheet600.xml"/><Relationship Id="rId642" Type="http://schemas.openxmlformats.org/officeDocument/2006/relationships/worksheet" Target="worksheets/sheet642.xml"/><Relationship Id="rId684" Type="http://schemas.openxmlformats.org/officeDocument/2006/relationships/worksheet" Target="worksheets/sheet684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502" Type="http://schemas.openxmlformats.org/officeDocument/2006/relationships/worksheet" Target="worksheets/sheet502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544" Type="http://schemas.openxmlformats.org/officeDocument/2006/relationships/worksheet" Target="worksheets/sheet544.xml"/><Relationship Id="rId586" Type="http://schemas.openxmlformats.org/officeDocument/2006/relationships/worksheet" Target="worksheets/sheet586.xml"/><Relationship Id="rId751" Type="http://schemas.openxmlformats.org/officeDocument/2006/relationships/worksheet" Target="worksheets/sheet751.xml"/><Relationship Id="rId79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worksheet" Target="worksheets/sheet446.xml"/><Relationship Id="rId611" Type="http://schemas.openxmlformats.org/officeDocument/2006/relationships/worksheet" Target="worksheets/sheet611.xml"/><Relationship Id="rId653" Type="http://schemas.openxmlformats.org/officeDocument/2006/relationships/worksheet" Target="worksheets/sheet653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88" Type="http://schemas.openxmlformats.org/officeDocument/2006/relationships/worksheet" Target="worksheets/sheet488.xml"/><Relationship Id="rId695" Type="http://schemas.openxmlformats.org/officeDocument/2006/relationships/worksheet" Target="worksheets/sheet695.xml"/><Relationship Id="rId709" Type="http://schemas.openxmlformats.org/officeDocument/2006/relationships/worksheet" Target="worksheets/sheet709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513" Type="http://schemas.openxmlformats.org/officeDocument/2006/relationships/worksheet" Target="worksheets/sheet513.xml"/><Relationship Id="rId555" Type="http://schemas.openxmlformats.org/officeDocument/2006/relationships/worksheet" Target="worksheets/sheet555.xml"/><Relationship Id="rId597" Type="http://schemas.openxmlformats.org/officeDocument/2006/relationships/worksheet" Target="worksheets/sheet597.xml"/><Relationship Id="rId720" Type="http://schemas.openxmlformats.org/officeDocument/2006/relationships/worksheet" Target="worksheets/sheet720.xml"/><Relationship Id="rId762" Type="http://schemas.openxmlformats.org/officeDocument/2006/relationships/worksheet" Target="worksheets/sheet762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457" Type="http://schemas.openxmlformats.org/officeDocument/2006/relationships/worksheet" Target="worksheets/sheet457.xml"/><Relationship Id="rId622" Type="http://schemas.openxmlformats.org/officeDocument/2006/relationships/worksheet" Target="worksheets/sheet622.xml"/><Relationship Id="rId261" Type="http://schemas.openxmlformats.org/officeDocument/2006/relationships/worksheet" Target="worksheets/sheet261.xml"/><Relationship Id="rId499" Type="http://schemas.openxmlformats.org/officeDocument/2006/relationships/worksheet" Target="worksheets/sheet499.xml"/><Relationship Id="rId664" Type="http://schemas.openxmlformats.org/officeDocument/2006/relationships/worksheet" Target="worksheets/sheet664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524" Type="http://schemas.openxmlformats.org/officeDocument/2006/relationships/worksheet" Target="worksheets/sheet524.xml"/><Relationship Id="rId566" Type="http://schemas.openxmlformats.org/officeDocument/2006/relationships/worksheet" Target="worksheets/sheet566.xml"/><Relationship Id="rId731" Type="http://schemas.openxmlformats.org/officeDocument/2006/relationships/worksheet" Target="worksheets/sheet731.xml"/><Relationship Id="rId773" Type="http://schemas.openxmlformats.org/officeDocument/2006/relationships/worksheet" Target="worksheets/sheet77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633" Type="http://schemas.openxmlformats.org/officeDocument/2006/relationships/worksheet" Target="worksheets/sheet633.xml"/><Relationship Id="rId230" Type="http://schemas.openxmlformats.org/officeDocument/2006/relationships/worksheet" Target="worksheets/sheet230.xml"/><Relationship Id="rId468" Type="http://schemas.openxmlformats.org/officeDocument/2006/relationships/worksheet" Target="worksheets/sheet468.xml"/><Relationship Id="rId675" Type="http://schemas.openxmlformats.org/officeDocument/2006/relationships/worksheet" Target="worksheets/sheet675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535" Type="http://schemas.openxmlformats.org/officeDocument/2006/relationships/worksheet" Target="worksheets/sheet535.xml"/><Relationship Id="rId577" Type="http://schemas.openxmlformats.org/officeDocument/2006/relationships/worksheet" Target="worksheets/sheet577.xml"/><Relationship Id="rId700" Type="http://schemas.openxmlformats.org/officeDocument/2006/relationships/worksheet" Target="worksheets/sheet700.xml"/><Relationship Id="rId742" Type="http://schemas.openxmlformats.org/officeDocument/2006/relationships/worksheet" Target="worksheets/sheet742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602" Type="http://schemas.openxmlformats.org/officeDocument/2006/relationships/worksheet" Target="worksheets/sheet602.xml"/><Relationship Id="rId784" Type="http://schemas.openxmlformats.org/officeDocument/2006/relationships/worksheet" Target="worksheets/sheet784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479" Type="http://schemas.openxmlformats.org/officeDocument/2006/relationships/worksheet" Target="worksheets/sheet479.xml"/><Relationship Id="rId644" Type="http://schemas.openxmlformats.org/officeDocument/2006/relationships/worksheet" Target="worksheets/sheet644.xml"/><Relationship Id="rId686" Type="http://schemas.openxmlformats.org/officeDocument/2006/relationships/worksheet" Target="worksheets/sheet686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490" Type="http://schemas.openxmlformats.org/officeDocument/2006/relationships/worksheet" Target="worksheets/sheet490.xml"/><Relationship Id="rId504" Type="http://schemas.openxmlformats.org/officeDocument/2006/relationships/worksheet" Target="worksheets/sheet504.xml"/><Relationship Id="rId546" Type="http://schemas.openxmlformats.org/officeDocument/2006/relationships/worksheet" Target="worksheets/sheet546.xml"/><Relationship Id="rId711" Type="http://schemas.openxmlformats.org/officeDocument/2006/relationships/worksheet" Target="worksheets/sheet711.xml"/><Relationship Id="rId753" Type="http://schemas.openxmlformats.org/officeDocument/2006/relationships/worksheet" Target="worksheets/sheet753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588" Type="http://schemas.openxmlformats.org/officeDocument/2006/relationships/worksheet" Target="worksheets/sheet588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448" Type="http://schemas.openxmlformats.org/officeDocument/2006/relationships/worksheet" Target="worksheets/sheet448.xml"/><Relationship Id="rId613" Type="http://schemas.openxmlformats.org/officeDocument/2006/relationships/worksheet" Target="worksheets/sheet613.xml"/><Relationship Id="rId655" Type="http://schemas.openxmlformats.org/officeDocument/2006/relationships/worksheet" Target="worksheets/sheet655.xml"/><Relationship Id="rId697" Type="http://schemas.openxmlformats.org/officeDocument/2006/relationships/worksheet" Target="worksheets/sheet697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515" Type="http://schemas.openxmlformats.org/officeDocument/2006/relationships/worksheet" Target="worksheets/sheet515.xml"/><Relationship Id="rId722" Type="http://schemas.openxmlformats.org/officeDocument/2006/relationships/worksheet" Target="worksheets/sheet722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557" Type="http://schemas.openxmlformats.org/officeDocument/2006/relationships/worksheet" Target="worksheets/sheet557.xml"/><Relationship Id="rId599" Type="http://schemas.openxmlformats.org/officeDocument/2006/relationships/worksheet" Target="worksheets/sheet599.xml"/><Relationship Id="rId764" Type="http://schemas.openxmlformats.org/officeDocument/2006/relationships/worksheet" Target="worksheets/sheet764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459" Type="http://schemas.openxmlformats.org/officeDocument/2006/relationships/worksheet" Target="worksheets/sheet459.xml"/><Relationship Id="rId624" Type="http://schemas.openxmlformats.org/officeDocument/2006/relationships/worksheet" Target="worksheets/sheet624.xml"/><Relationship Id="rId666" Type="http://schemas.openxmlformats.org/officeDocument/2006/relationships/worksheet" Target="worksheets/sheet66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470" Type="http://schemas.openxmlformats.org/officeDocument/2006/relationships/worksheet" Target="worksheets/sheet470.xml"/><Relationship Id="rId526" Type="http://schemas.openxmlformats.org/officeDocument/2006/relationships/worksheet" Target="worksheets/sheet526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568" Type="http://schemas.openxmlformats.org/officeDocument/2006/relationships/worksheet" Target="worksheets/sheet568.xml"/><Relationship Id="rId733" Type="http://schemas.openxmlformats.org/officeDocument/2006/relationships/worksheet" Target="worksheets/sheet733.xml"/><Relationship Id="rId775" Type="http://schemas.openxmlformats.org/officeDocument/2006/relationships/worksheet" Target="worksheets/sheet775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635" Type="http://schemas.openxmlformats.org/officeDocument/2006/relationships/worksheet" Target="worksheets/sheet635.xml"/><Relationship Id="rId677" Type="http://schemas.openxmlformats.org/officeDocument/2006/relationships/worksheet" Target="worksheets/sheet677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481" Type="http://schemas.openxmlformats.org/officeDocument/2006/relationships/worksheet" Target="worksheets/sheet481.xml"/><Relationship Id="rId702" Type="http://schemas.openxmlformats.org/officeDocument/2006/relationships/worksheet" Target="worksheets/sheet702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37" Type="http://schemas.openxmlformats.org/officeDocument/2006/relationships/worksheet" Target="worksheets/sheet537.xml"/><Relationship Id="rId579" Type="http://schemas.openxmlformats.org/officeDocument/2006/relationships/worksheet" Target="worksheets/sheet579.xml"/><Relationship Id="rId744" Type="http://schemas.openxmlformats.org/officeDocument/2006/relationships/worksheet" Target="worksheets/sheet744.xml"/><Relationship Id="rId786" Type="http://schemas.openxmlformats.org/officeDocument/2006/relationships/worksheet" Target="worksheets/sheet786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590" Type="http://schemas.openxmlformats.org/officeDocument/2006/relationships/worksheet" Target="worksheets/sheet590.xml"/><Relationship Id="rId604" Type="http://schemas.openxmlformats.org/officeDocument/2006/relationships/worksheet" Target="worksheets/sheet604.xml"/><Relationship Id="rId646" Type="http://schemas.openxmlformats.org/officeDocument/2006/relationships/worksheet" Target="worksheets/sheet646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worksheet" Target="worksheets/sheet450.xml"/><Relationship Id="rId506" Type="http://schemas.openxmlformats.org/officeDocument/2006/relationships/worksheet" Target="worksheets/sheet506.xml"/><Relationship Id="rId688" Type="http://schemas.openxmlformats.org/officeDocument/2006/relationships/worksheet" Target="worksheets/sheet688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492" Type="http://schemas.openxmlformats.org/officeDocument/2006/relationships/worksheet" Target="worksheets/sheet492.xml"/><Relationship Id="rId548" Type="http://schemas.openxmlformats.org/officeDocument/2006/relationships/worksheet" Target="worksheets/sheet548.xml"/><Relationship Id="rId713" Type="http://schemas.openxmlformats.org/officeDocument/2006/relationships/worksheet" Target="worksheets/sheet713.xml"/><Relationship Id="rId755" Type="http://schemas.openxmlformats.org/officeDocument/2006/relationships/worksheet" Target="worksheets/sheet755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615" Type="http://schemas.openxmlformats.org/officeDocument/2006/relationships/worksheet" Target="worksheets/sheet615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657" Type="http://schemas.openxmlformats.org/officeDocument/2006/relationships/worksheet" Target="worksheets/sheet657.xml"/><Relationship Id="rId699" Type="http://schemas.openxmlformats.org/officeDocument/2006/relationships/worksheet" Target="worksheets/sheet699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461" Type="http://schemas.openxmlformats.org/officeDocument/2006/relationships/worksheet" Target="worksheets/sheet461.xml"/><Relationship Id="rId517" Type="http://schemas.openxmlformats.org/officeDocument/2006/relationships/worksheet" Target="worksheets/sheet517.xml"/><Relationship Id="rId559" Type="http://schemas.openxmlformats.org/officeDocument/2006/relationships/worksheet" Target="worksheets/sheet559.xml"/><Relationship Id="rId724" Type="http://schemas.openxmlformats.org/officeDocument/2006/relationships/worksheet" Target="worksheets/sheet724.xml"/><Relationship Id="rId766" Type="http://schemas.openxmlformats.org/officeDocument/2006/relationships/worksheet" Target="worksheets/sheet76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570" Type="http://schemas.openxmlformats.org/officeDocument/2006/relationships/worksheet" Target="worksheets/sheet570.xml"/><Relationship Id="rId626" Type="http://schemas.openxmlformats.org/officeDocument/2006/relationships/worksheet" Target="worksheets/sheet626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668" Type="http://schemas.openxmlformats.org/officeDocument/2006/relationships/worksheet" Target="worksheets/sheet668.xml"/><Relationship Id="rId18" Type="http://schemas.openxmlformats.org/officeDocument/2006/relationships/worksheet" Target="worksheets/sheet18.xml"/><Relationship Id="rId265" Type="http://schemas.openxmlformats.org/officeDocument/2006/relationships/worksheet" Target="worksheets/sheet265.xml"/><Relationship Id="rId472" Type="http://schemas.openxmlformats.org/officeDocument/2006/relationships/worksheet" Target="worksheets/sheet472.xml"/><Relationship Id="rId528" Type="http://schemas.openxmlformats.org/officeDocument/2006/relationships/worksheet" Target="worksheets/sheet528.xml"/><Relationship Id="rId735" Type="http://schemas.openxmlformats.org/officeDocument/2006/relationships/worksheet" Target="worksheets/sheet735.xml"/><Relationship Id="rId125" Type="http://schemas.openxmlformats.org/officeDocument/2006/relationships/worksheet" Target="worksheets/sheet125.xml"/><Relationship Id="rId167" Type="http://schemas.openxmlformats.org/officeDocument/2006/relationships/worksheet" Target="worksheets/sheet167.xml"/><Relationship Id="rId332" Type="http://schemas.openxmlformats.org/officeDocument/2006/relationships/worksheet" Target="worksheets/sheet332.xml"/><Relationship Id="rId374" Type="http://schemas.openxmlformats.org/officeDocument/2006/relationships/worksheet" Target="worksheets/sheet374.xml"/><Relationship Id="rId581" Type="http://schemas.openxmlformats.org/officeDocument/2006/relationships/worksheet" Target="worksheets/sheet581.xml"/><Relationship Id="rId777" Type="http://schemas.openxmlformats.org/officeDocument/2006/relationships/worksheet" Target="worksheets/sheet777.xml"/><Relationship Id="rId71" Type="http://schemas.openxmlformats.org/officeDocument/2006/relationships/worksheet" Target="worksheets/sheet71.xml"/><Relationship Id="rId234" Type="http://schemas.openxmlformats.org/officeDocument/2006/relationships/worksheet" Target="worksheets/sheet234.xml"/><Relationship Id="rId637" Type="http://schemas.openxmlformats.org/officeDocument/2006/relationships/worksheet" Target="worksheets/sheet637.xml"/><Relationship Id="rId679" Type="http://schemas.openxmlformats.org/officeDocument/2006/relationships/worksheet" Target="worksheets/sheet67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76" Type="http://schemas.openxmlformats.org/officeDocument/2006/relationships/worksheet" Target="worksheets/sheet276.xml"/><Relationship Id="rId441" Type="http://schemas.openxmlformats.org/officeDocument/2006/relationships/worksheet" Target="worksheets/sheet441.xml"/><Relationship Id="rId483" Type="http://schemas.openxmlformats.org/officeDocument/2006/relationships/worksheet" Target="worksheets/sheet483.xml"/><Relationship Id="rId539" Type="http://schemas.openxmlformats.org/officeDocument/2006/relationships/worksheet" Target="worksheets/sheet539.xml"/><Relationship Id="rId690" Type="http://schemas.openxmlformats.org/officeDocument/2006/relationships/worksheet" Target="worksheets/sheet690.xml"/><Relationship Id="rId704" Type="http://schemas.openxmlformats.org/officeDocument/2006/relationships/worksheet" Target="worksheets/sheet704.xml"/><Relationship Id="rId746" Type="http://schemas.openxmlformats.org/officeDocument/2006/relationships/worksheet" Target="worksheets/sheet746.xml"/><Relationship Id="rId40" Type="http://schemas.openxmlformats.org/officeDocument/2006/relationships/worksheet" Target="worksheets/sheet40.xml"/><Relationship Id="rId136" Type="http://schemas.openxmlformats.org/officeDocument/2006/relationships/worksheet" Target="worksheets/sheet136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43" Type="http://schemas.openxmlformats.org/officeDocument/2006/relationships/worksheet" Target="worksheets/sheet343.xml"/><Relationship Id="rId550" Type="http://schemas.openxmlformats.org/officeDocument/2006/relationships/worksheet" Target="worksheets/sheet550.xml"/><Relationship Id="rId788" Type="http://schemas.openxmlformats.org/officeDocument/2006/relationships/worksheet" Target="worksheets/sheet788.xml"/><Relationship Id="rId82" Type="http://schemas.openxmlformats.org/officeDocument/2006/relationships/worksheet" Target="worksheets/sheet82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592" Type="http://schemas.openxmlformats.org/officeDocument/2006/relationships/worksheet" Target="worksheets/sheet592.xml"/><Relationship Id="rId606" Type="http://schemas.openxmlformats.org/officeDocument/2006/relationships/worksheet" Target="worksheets/sheet606.xml"/><Relationship Id="rId648" Type="http://schemas.openxmlformats.org/officeDocument/2006/relationships/worksheet" Target="worksheets/sheet648.xml"/><Relationship Id="rId245" Type="http://schemas.openxmlformats.org/officeDocument/2006/relationships/worksheet" Target="worksheets/sheet245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52" Type="http://schemas.openxmlformats.org/officeDocument/2006/relationships/worksheet" Target="worksheets/sheet452.xml"/><Relationship Id="rId494" Type="http://schemas.openxmlformats.org/officeDocument/2006/relationships/worksheet" Target="worksheets/sheet494.xml"/><Relationship Id="rId508" Type="http://schemas.openxmlformats.org/officeDocument/2006/relationships/worksheet" Target="worksheets/sheet508.xml"/><Relationship Id="rId715" Type="http://schemas.openxmlformats.org/officeDocument/2006/relationships/worksheet" Target="worksheets/sheet715.xml"/><Relationship Id="rId105" Type="http://schemas.openxmlformats.org/officeDocument/2006/relationships/worksheet" Target="worksheets/sheet105.xml"/><Relationship Id="rId147" Type="http://schemas.openxmlformats.org/officeDocument/2006/relationships/worksheet" Target="worksheets/sheet147.xml"/><Relationship Id="rId312" Type="http://schemas.openxmlformats.org/officeDocument/2006/relationships/worksheet" Target="worksheets/sheet312.xml"/><Relationship Id="rId354" Type="http://schemas.openxmlformats.org/officeDocument/2006/relationships/worksheet" Target="worksheets/sheet354.xml"/><Relationship Id="rId757" Type="http://schemas.openxmlformats.org/officeDocument/2006/relationships/worksheet" Target="worksheets/sheet757.xml"/><Relationship Id="rId51" Type="http://schemas.openxmlformats.org/officeDocument/2006/relationships/worksheet" Target="worksheets/sheet51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96" Type="http://schemas.openxmlformats.org/officeDocument/2006/relationships/worksheet" Target="worksheets/sheet396.xml"/><Relationship Id="rId561" Type="http://schemas.openxmlformats.org/officeDocument/2006/relationships/worksheet" Target="worksheets/sheet561.xml"/><Relationship Id="rId617" Type="http://schemas.openxmlformats.org/officeDocument/2006/relationships/worksheet" Target="worksheets/sheet617.xml"/><Relationship Id="rId659" Type="http://schemas.openxmlformats.org/officeDocument/2006/relationships/worksheet" Target="worksheets/sheet659.xml"/><Relationship Id="rId214" Type="http://schemas.openxmlformats.org/officeDocument/2006/relationships/worksheet" Target="worksheets/sheet214.xml"/><Relationship Id="rId256" Type="http://schemas.openxmlformats.org/officeDocument/2006/relationships/worksheet" Target="worksheets/sheet256.xml"/><Relationship Id="rId298" Type="http://schemas.openxmlformats.org/officeDocument/2006/relationships/worksheet" Target="worksheets/sheet298.xml"/><Relationship Id="rId421" Type="http://schemas.openxmlformats.org/officeDocument/2006/relationships/worksheet" Target="worksheets/sheet421.xml"/><Relationship Id="rId463" Type="http://schemas.openxmlformats.org/officeDocument/2006/relationships/worksheet" Target="worksheets/sheet463.xml"/><Relationship Id="rId519" Type="http://schemas.openxmlformats.org/officeDocument/2006/relationships/worksheet" Target="worksheets/sheet519.xml"/><Relationship Id="rId670" Type="http://schemas.openxmlformats.org/officeDocument/2006/relationships/worksheet" Target="worksheets/sheet670.xml"/><Relationship Id="rId116" Type="http://schemas.openxmlformats.org/officeDocument/2006/relationships/worksheet" Target="worksheets/sheet116.xml"/><Relationship Id="rId158" Type="http://schemas.openxmlformats.org/officeDocument/2006/relationships/worksheet" Target="worksheets/sheet158.xml"/><Relationship Id="rId323" Type="http://schemas.openxmlformats.org/officeDocument/2006/relationships/worksheet" Target="worksheets/sheet323.xml"/><Relationship Id="rId530" Type="http://schemas.openxmlformats.org/officeDocument/2006/relationships/worksheet" Target="worksheets/sheet530.xml"/><Relationship Id="rId726" Type="http://schemas.openxmlformats.org/officeDocument/2006/relationships/worksheet" Target="worksheets/sheet726.xml"/><Relationship Id="rId768" Type="http://schemas.openxmlformats.org/officeDocument/2006/relationships/worksheet" Target="worksheets/sheet768.xml"/><Relationship Id="rId20" Type="http://schemas.openxmlformats.org/officeDocument/2006/relationships/worksheet" Target="worksheets/sheet20.xml"/><Relationship Id="rId62" Type="http://schemas.openxmlformats.org/officeDocument/2006/relationships/worksheet" Target="worksheets/sheet62.xml"/><Relationship Id="rId365" Type="http://schemas.openxmlformats.org/officeDocument/2006/relationships/worksheet" Target="worksheets/sheet365.xml"/><Relationship Id="rId572" Type="http://schemas.openxmlformats.org/officeDocument/2006/relationships/worksheet" Target="worksheets/sheet572.xml"/><Relationship Id="rId628" Type="http://schemas.openxmlformats.org/officeDocument/2006/relationships/worksheet" Target="worksheets/sheet628.xml"/><Relationship Id="rId225" Type="http://schemas.openxmlformats.org/officeDocument/2006/relationships/worksheet" Target="worksheets/sheet225.xml"/><Relationship Id="rId267" Type="http://schemas.openxmlformats.org/officeDocument/2006/relationships/worksheet" Target="worksheets/sheet267.xml"/><Relationship Id="rId432" Type="http://schemas.openxmlformats.org/officeDocument/2006/relationships/worksheet" Target="worksheets/sheet432.xml"/><Relationship Id="rId474" Type="http://schemas.openxmlformats.org/officeDocument/2006/relationships/worksheet" Target="worksheets/sheet474.xml"/><Relationship Id="rId127" Type="http://schemas.openxmlformats.org/officeDocument/2006/relationships/worksheet" Target="worksheets/sheet127.xml"/><Relationship Id="rId681" Type="http://schemas.openxmlformats.org/officeDocument/2006/relationships/worksheet" Target="worksheets/sheet681.xml"/><Relationship Id="rId737" Type="http://schemas.openxmlformats.org/officeDocument/2006/relationships/worksheet" Target="worksheets/sheet737.xml"/><Relationship Id="rId779" Type="http://schemas.openxmlformats.org/officeDocument/2006/relationships/worksheet" Target="worksheets/sheet779.xml"/><Relationship Id="rId31" Type="http://schemas.openxmlformats.org/officeDocument/2006/relationships/worksheet" Target="worksheets/sheet31.xml"/><Relationship Id="rId73" Type="http://schemas.openxmlformats.org/officeDocument/2006/relationships/worksheet" Target="worksheets/sheet73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76" Type="http://schemas.openxmlformats.org/officeDocument/2006/relationships/worksheet" Target="worksheets/sheet376.xml"/><Relationship Id="rId541" Type="http://schemas.openxmlformats.org/officeDocument/2006/relationships/worksheet" Target="worksheets/sheet541.xml"/><Relationship Id="rId583" Type="http://schemas.openxmlformats.org/officeDocument/2006/relationships/worksheet" Target="worksheets/sheet583.xml"/><Relationship Id="rId639" Type="http://schemas.openxmlformats.org/officeDocument/2006/relationships/worksheet" Target="worksheets/sheet639.xml"/><Relationship Id="rId790" Type="http://schemas.openxmlformats.org/officeDocument/2006/relationships/worksheet" Target="worksheets/sheet790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36" Type="http://schemas.openxmlformats.org/officeDocument/2006/relationships/worksheet" Target="worksheets/sheet236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43" Type="http://schemas.openxmlformats.org/officeDocument/2006/relationships/worksheet" Target="worksheets/sheet443.xml"/><Relationship Id="rId650" Type="http://schemas.openxmlformats.org/officeDocument/2006/relationships/worksheet" Target="worksheets/sheet650.xml"/><Relationship Id="rId303" Type="http://schemas.openxmlformats.org/officeDocument/2006/relationships/worksheet" Target="worksheets/sheet303.xml"/><Relationship Id="rId485" Type="http://schemas.openxmlformats.org/officeDocument/2006/relationships/worksheet" Target="worksheets/sheet485.xml"/><Relationship Id="rId692" Type="http://schemas.openxmlformats.org/officeDocument/2006/relationships/worksheet" Target="worksheets/sheet692.xml"/><Relationship Id="rId706" Type="http://schemas.openxmlformats.org/officeDocument/2006/relationships/worksheet" Target="worksheets/sheet706.xml"/><Relationship Id="rId748" Type="http://schemas.openxmlformats.org/officeDocument/2006/relationships/worksheet" Target="worksheets/sheet74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510" Type="http://schemas.openxmlformats.org/officeDocument/2006/relationships/worksheet" Target="worksheets/sheet510.xml"/><Relationship Id="rId552" Type="http://schemas.openxmlformats.org/officeDocument/2006/relationships/worksheet" Target="worksheets/sheet552.xml"/><Relationship Id="rId594" Type="http://schemas.openxmlformats.org/officeDocument/2006/relationships/worksheet" Target="worksheets/sheet594.xml"/><Relationship Id="rId608" Type="http://schemas.openxmlformats.org/officeDocument/2006/relationships/worksheet" Target="worksheets/sheet60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454" Type="http://schemas.openxmlformats.org/officeDocument/2006/relationships/worksheet" Target="worksheets/sheet454.xml"/><Relationship Id="rId496" Type="http://schemas.openxmlformats.org/officeDocument/2006/relationships/worksheet" Target="worksheets/sheet496.xml"/><Relationship Id="rId661" Type="http://schemas.openxmlformats.org/officeDocument/2006/relationships/worksheet" Target="worksheets/sheet661.xml"/><Relationship Id="rId717" Type="http://schemas.openxmlformats.org/officeDocument/2006/relationships/worksheet" Target="worksheets/sheet717.xml"/><Relationship Id="rId759" Type="http://schemas.openxmlformats.org/officeDocument/2006/relationships/worksheet" Target="worksheets/sheet75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521" Type="http://schemas.openxmlformats.org/officeDocument/2006/relationships/worksheet" Target="worksheets/sheet521.xml"/><Relationship Id="rId563" Type="http://schemas.openxmlformats.org/officeDocument/2006/relationships/worksheet" Target="worksheets/sheet563.xml"/><Relationship Id="rId619" Type="http://schemas.openxmlformats.org/officeDocument/2006/relationships/worksheet" Target="worksheets/sheet619.xml"/><Relationship Id="rId770" Type="http://schemas.openxmlformats.org/officeDocument/2006/relationships/worksheet" Target="worksheets/sheet77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465" Type="http://schemas.openxmlformats.org/officeDocument/2006/relationships/worksheet" Target="worksheets/sheet465.xml"/><Relationship Id="rId630" Type="http://schemas.openxmlformats.org/officeDocument/2006/relationships/worksheet" Target="worksheets/sheet630.xml"/><Relationship Id="rId672" Type="http://schemas.openxmlformats.org/officeDocument/2006/relationships/worksheet" Target="worksheets/sheet672.xml"/><Relationship Id="rId728" Type="http://schemas.openxmlformats.org/officeDocument/2006/relationships/worksheet" Target="worksheets/sheet72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532" Type="http://schemas.openxmlformats.org/officeDocument/2006/relationships/worksheet" Target="worksheets/sheet532.xml"/><Relationship Id="rId574" Type="http://schemas.openxmlformats.org/officeDocument/2006/relationships/worksheet" Target="worksheets/sheet574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781" Type="http://schemas.openxmlformats.org/officeDocument/2006/relationships/worksheet" Target="worksheets/sheet781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476" Type="http://schemas.openxmlformats.org/officeDocument/2006/relationships/worksheet" Target="worksheets/sheet476.xml"/><Relationship Id="rId641" Type="http://schemas.openxmlformats.org/officeDocument/2006/relationships/worksheet" Target="worksheets/sheet641.xml"/><Relationship Id="rId683" Type="http://schemas.openxmlformats.org/officeDocument/2006/relationships/worksheet" Target="worksheets/sheet683.xml"/><Relationship Id="rId739" Type="http://schemas.openxmlformats.org/officeDocument/2006/relationships/worksheet" Target="worksheets/sheet73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501" Type="http://schemas.openxmlformats.org/officeDocument/2006/relationships/worksheet" Target="worksheets/sheet501.xml"/><Relationship Id="rId543" Type="http://schemas.openxmlformats.org/officeDocument/2006/relationships/worksheet" Target="worksheets/sheet543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585" Type="http://schemas.openxmlformats.org/officeDocument/2006/relationships/worksheet" Target="worksheets/sheet585.xml"/><Relationship Id="rId750" Type="http://schemas.openxmlformats.org/officeDocument/2006/relationships/worksheet" Target="worksheets/sheet750.xml"/><Relationship Id="rId792" Type="http://schemas.openxmlformats.org/officeDocument/2006/relationships/styles" Target="styles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worksheet" Target="worksheets/sheet445.xml"/><Relationship Id="rId487" Type="http://schemas.openxmlformats.org/officeDocument/2006/relationships/worksheet" Target="worksheets/sheet487.xml"/><Relationship Id="rId610" Type="http://schemas.openxmlformats.org/officeDocument/2006/relationships/worksheet" Target="worksheets/sheet610.xml"/><Relationship Id="rId652" Type="http://schemas.openxmlformats.org/officeDocument/2006/relationships/worksheet" Target="worksheets/sheet652.xml"/><Relationship Id="rId694" Type="http://schemas.openxmlformats.org/officeDocument/2006/relationships/worksheet" Target="worksheets/sheet694.xml"/><Relationship Id="rId708" Type="http://schemas.openxmlformats.org/officeDocument/2006/relationships/worksheet" Target="worksheets/sheet70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512" Type="http://schemas.openxmlformats.org/officeDocument/2006/relationships/worksheet" Target="worksheets/sheet512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554" Type="http://schemas.openxmlformats.org/officeDocument/2006/relationships/worksheet" Target="worksheets/sheet554.xml"/><Relationship Id="rId596" Type="http://schemas.openxmlformats.org/officeDocument/2006/relationships/worksheet" Target="worksheets/sheet596.xml"/><Relationship Id="rId761" Type="http://schemas.openxmlformats.org/officeDocument/2006/relationships/worksheet" Target="worksheets/sheet761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456" Type="http://schemas.openxmlformats.org/officeDocument/2006/relationships/worksheet" Target="worksheets/sheet456.xml"/><Relationship Id="rId498" Type="http://schemas.openxmlformats.org/officeDocument/2006/relationships/worksheet" Target="worksheets/sheet498.xml"/><Relationship Id="rId621" Type="http://schemas.openxmlformats.org/officeDocument/2006/relationships/worksheet" Target="worksheets/sheet621.xml"/><Relationship Id="rId663" Type="http://schemas.openxmlformats.org/officeDocument/2006/relationships/worksheet" Target="worksheets/sheet66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23" Type="http://schemas.openxmlformats.org/officeDocument/2006/relationships/worksheet" Target="worksheets/sheet523.xml"/><Relationship Id="rId719" Type="http://schemas.openxmlformats.org/officeDocument/2006/relationships/worksheet" Target="worksheets/sheet719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565" Type="http://schemas.openxmlformats.org/officeDocument/2006/relationships/worksheet" Target="worksheets/sheet565.xml"/><Relationship Id="rId730" Type="http://schemas.openxmlformats.org/officeDocument/2006/relationships/worksheet" Target="worksheets/sheet730.xml"/><Relationship Id="rId772" Type="http://schemas.openxmlformats.org/officeDocument/2006/relationships/worksheet" Target="worksheets/sheet772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467" Type="http://schemas.openxmlformats.org/officeDocument/2006/relationships/worksheet" Target="worksheets/sheet467.xml"/><Relationship Id="rId632" Type="http://schemas.openxmlformats.org/officeDocument/2006/relationships/worksheet" Target="worksheets/sheet632.xml"/><Relationship Id="rId271" Type="http://schemas.openxmlformats.org/officeDocument/2006/relationships/worksheet" Target="worksheets/sheet271.xml"/><Relationship Id="rId674" Type="http://schemas.openxmlformats.org/officeDocument/2006/relationships/worksheet" Target="worksheets/sheet674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534" Type="http://schemas.openxmlformats.org/officeDocument/2006/relationships/worksheet" Target="worksheets/sheet534.xml"/><Relationship Id="rId576" Type="http://schemas.openxmlformats.org/officeDocument/2006/relationships/worksheet" Target="worksheets/sheet576.xml"/><Relationship Id="rId741" Type="http://schemas.openxmlformats.org/officeDocument/2006/relationships/worksheet" Target="worksheets/sheet741.xml"/><Relationship Id="rId783" Type="http://schemas.openxmlformats.org/officeDocument/2006/relationships/worksheet" Target="worksheets/sheet783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601" Type="http://schemas.openxmlformats.org/officeDocument/2006/relationships/worksheet" Target="worksheets/sheet601.xml"/><Relationship Id="rId643" Type="http://schemas.openxmlformats.org/officeDocument/2006/relationships/worksheet" Target="worksheets/sheet643.xml"/><Relationship Id="rId240" Type="http://schemas.openxmlformats.org/officeDocument/2006/relationships/worksheet" Target="worksheets/sheet240.xml"/><Relationship Id="rId478" Type="http://schemas.openxmlformats.org/officeDocument/2006/relationships/worksheet" Target="worksheets/sheet478.xml"/><Relationship Id="rId685" Type="http://schemas.openxmlformats.org/officeDocument/2006/relationships/worksheet" Target="worksheets/sheet685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503" Type="http://schemas.openxmlformats.org/officeDocument/2006/relationships/worksheet" Target="worksheets/sheet503.xml"/><Relationship Id="rId545" Type="http://schemas.openxmlformats.org/officeDocument/2006/relationships/worksheet" Target="worksheets/sheet545.xml"/><Relationship Id="rId587" Type="http://schemas.openxmlformats.org/officeDocument/2006/relationships/worksheet" Target="worksheets/sheet587.xml"/><Relationship Id="rId710" Type="http://schemas.openxmlformats.org/officeDocument/2006/relationships/worksheet" Target="worksheets/sheet710.xml"/><Relationship Id="rId752" Type="http://schemas.openxmlformats.org/officeDocument/2006/relationships/worksheet" Target="worksheets/sheet752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447" Type="http://schemas.openxmlformats.org/officeDocument/2006/relationships/worksheet" Target="worksheets/sheet447.xml"/><Relationship Id="rId612" Type="http://schemas.openxmlformats.org/officeDocument/2006/relationships/worksheet" Target="worksheets/sheet612.xml"/><Relationship Id="rId794" Type="http://schemas.openxmlformats.org/officeDocument/2006/relationships/calcChain" Target="calcChain.xml"/><Relationship Id="rId251" Type="http://schemas.openxmlformats.org/officeDocument/2006/relationships/worksheet" Target="worksheets/sheet251.xml"/><Relationship Id="rId489" Type="http://schemas.openxmlformats.org/officeDocument/2006/relationships/worksheet" Target="worksheets/sheet489.xml"/><Relationship Id="rId654" Type="http://schemas.openxmlformats.org/officeDocument/2006/relationships/worksheet" Target="worksheets/sheet654.xml"/><Relationship Id="rId696" Type="http://schemas.openxmlformats.org/officeDocument/2006/relationships/worksheet" Target="worksheets/sheet696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514" Type="http://schemas.openxmlformats.org/officeDocument/2006/relationships/worksheet" Target="worksheets/sheet514.xml"/><Relationship Id="rId556" Type="http://schemas.openxmlformats.org/officeDocument/2006/relationships/worksheet" Target="worksheets/sheet556.xml"/><Relationship Id="rId721" Type="http://schemas.openxmlformats.org/officeDocument/2006/relationships/worksheet" Target="worksheets/sheet721.xml"/><Relationship Id="rId763" Type="http://schemas.openxmlformats.org/officeDocument/2006/relationships/worksheet" Target="worksheets/sheet76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598" Type="http://schemas.openxmlformats.org/officeDocument/2006/relationships/worksheet" Target="worksheets/sheet598.xml"/><Relationship Id="rId220" Type="http://schemas.openxmlformats.org/officeDocument/2006/relationships/worksheet" Target="worksheets/sheet220.xml"/><Relationship Id="rId458" Type="http://schemas.openxmlformats.org/officeDocument/2006/relationships/worksheet" Target="worksheets/sheet458.xml"/><Relationship Id="rId623" Type="http://schemas.openxmlformats.org/officeDocument/2006/relationships/worksheet" Target="worksheets/sheet623.xml"/><Relationship Id="rId665" Type="http://schemas.openxmlformats.org/officeDocument/2006/relationships/worksheet" Target="worksheets/sheet665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525" Type="http://schemas.openxmlformats.org/officeDocument/2006/relationships/worksheet" Target="worksheets/sheet525.xml"/><Relationship Id="rId567" Type="http://schemas.openxmlformats.org/officeDocument/2006/relationships/worksheet" Target="worksheets/sheet567.xml"/><Relationship Id="rId732" Type="http://schemas.openxmlformats.org/officeDocument/2006/relationships/worksheet" Target="worksheets/sheet732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774" Type="http://schemas.openxmlformats.org/officeDocument/2006/relationships/worksheet" Target="worksheets/sheet774.xml"/><Relationship Id="rId427" Type="http://schemas.openxmlformats.org/officeDocument/2006/relationships/worksheet" Target="worksheets/sheet427.xml"/><Relationship Id="rId469" Type="http://schemas.openxmlformats.org/officeDocument/2006/relationships/worksheet" Target="worksheets/sheet469.xml"/><Relationship Id="rId634" Type="http://schemas.openxmlformats.org/officeDocument/2006/relationships/worksheet" Target="worksheets/sheet634.xml"/><Relationship Id="rId676" Type="http://schemas.openxmlformats.org/officeDocument/2006/relationships/worksheet" Target="worksheets/sheet67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480" Type="http://schemas.openxmlformats.org/officeDocument/2006/relationships/worksheet" Target="worksheets/sheet480.xml"/><Relationship Id="rId536" Type="http://schemas.openxmlformats.org/officeDocument/2006/relationships/worksheet" Target="worksheets/sheet536.xml"/><Relationship Id="rId701" Type="http://schemas.openxmlformats.org/officeDocument/2006/relationships/worksheet" Target="worksheets/sheet701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578" Type="http://schemas.openxmlformats.org/officeDocument/2006/relationships/worksheet" Target="worksheets/sheet578.xml"/><Relationship Id="rId743" Type="http://schemas.openxmlformats.org/officeDocument/2006/relationships/worksheet" Target="worksheets/sheet743.xml"/><Relationship Id="rId785" Type="http://schemas.openxmlformats.org/officeDocument/2006/relationships/worksheet" Target="worksheets/sheet785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603" Type="http://schemas.openxmlformats.org/officeDocument/2006/relationships/worksheet" Target="worksheets/sheet603.xml"/><Relationship Id="rId645" Type="http://schemas.openxmlformats.org/officeDocument/2006/relationships/worksheet" Target="worksheets/sheet645.xml"/><Relationship Id="rId687" Type="http://schemas.openxmlformats.org/officeDocument/2006/relationships/worksheet" Target="worksheets/sheet687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worksheet" Target="worksheets/sheet491.xml"/><Relationship Id="rId505" Type="http://schemas.openxmlformats.org/officeDocument/2006/relationships/worksheet" Target="worksheets/sheet505.xml"/><Relationship Id="rId712" Type="http://schemas.openxmlformats.org/officeDocument/2006/relationships/worksheet" Target="worksheets/sheet712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worksheet" Target="worksheets/sheet547.xml"/><Relationship Id="rId589" Type="http://schemas.openxmlformats.org/officeDocument/2006/relationships/worksheet" Target="worksheets/sheet589.xml"/><Relationship Id="rId754" Type="http://schemas.openxmlformats.org/officeDocument/2006/relationships/worksheet" Target="worksheets/sheet75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449" Type="http://schemas.openxmlformats.org/officeDocument/2006/relationships/worksheet" Target="worksheets/sheet449.xml"/><Relationship Id="rId614" Type="http://schemas.openxmlformats.org/officeDocument/2006/relationships/worksheet" Target="worksheets/sheet614.xml"/><Relationship Id="rId656" Type="http://schemas.openxmlformats.org/officeDocument/2006/relationships/worksheet" Target="worksheets/sheet656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60" Type="http://schemas.openxmlformats.org/officeDocument/2006/relationships/worksheet" Target="worksheets/sheet460.xml"/><Relationship Id="rId516" Type="http://schemas.openxmlformats.org/officeDocument/2006/relationships/worksheet" Target="worksheets/sheet516.xml"/><Relationship Id="rId698" Type="http://schemas.openxmlformats.org/officeDocument/2006/relationships/worksheet" Target="worksheets/sheet698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558" Type="http://schemas.openxmlformats.org/officeDocument/2006/relationships/worksheet" Target="worksheets/sheet558.xml"/><Relationship Id="rId723" Type="http://schemas.openxmlformats.org/officeDocument/2006/relationships/worksheet" Target="worksheets/sheet723.xml"/><Relationship Id="rId765" Type="http://schemas.openxmlformats.org/officeDocument/2006/relationships/worksheet" Target="worksheets/sheet765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625" Type="http://schemas.openxmlformats.org/officeDocument/2006/relationships/worksheet" Target="worksheets/sheet625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worksheet" Target="worksheets/sheet471.xml"/><Relationship Id="rId667" Type="http://schemas.openxmlformats.org/officeDocument/2006/relationships/worksheet" Target="worksheets/sheet667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527" Type="http://schemas.openxmlformats.org/officeDocument/2006/relationships/worksheet" Target="worksheets/sheet527.xml"/><Relationship Id="rId569" Type="http://schemas.openxmlformats.org/officeDocument/2006/relationships/worksheet" Target="worksheets/sheet569.xml"/><Relationship Id="rId734" Type="http://schemas.openxmlformats.org/officeDocument/2006/relationships/worksheet" Target="worksheets/sheet734.xml"/><Relationship Id="rId776" Type="http://schemas.openxmlformats.org/officeDocument/2006/relationships/worksheet" Target="worksheets/sheet776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580" Type="http://schemas.openxmlformats.org/officeDocument/2006/relationships/worksheet" Target="worksheets/sheet580.xml"/><Relationship Id="rId636" Type="http://schemas.openxmlformats.org/officeDocument/2006/relationships/worksheet" Target="worksheets/sheet636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678" Type="http://schemas.openxmlformats.org/officeDocument/2006/relationships/worksheet" Target="worksheets/sheet678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482" Type="http://schemas.openxmlformats.org/officeDocument/2006/relationships/worksheet" Target="worksheets/sheet482.xml"/><Relationship Id="rId538" Type="http://schemas.openxmlformats.org/officeDocument/2006/relationships/worksheet" Target="worksheets/sheet538.xml"/><Relationship Id="rId703" Type="http://schemas.openxmlformats.org/officeDocument/2006/relationships/worksheet" Target="worksheets/sheet703.xml"/><Relationship Id="rId745" Type="http://schemas.openxmlformats.org/officeDocument/2006/relationships/worksheet" Target="worksheets/sheet745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591" Type="http://schemas.openxmlformats.org/officeDocument/2006/relationships/worksheet" Target="worksheets/sheet591.xml"/><Relationship Id="rId605" Type="http://schemas.openxmlformats.org/officeDocument/2006/relationships/worksheet" Target="worksheets/sheet605.xml"/><Relationship Id="rId787" Type="http://schemas.openxmlformats.org/officeDocument/2006/relationships/worksheet" Target="worksheets/sheet787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647" Type="http://schemas.openxmlformats.org/officeDocument/2006/relationships/worksheet" Target="worksheets/sheet647.xml"/><Relationship Id="rId689" Type="http://schemas.openxmlformats.org/officeDocument/2006/relationships/worksheet" Target="worksheets/sheet689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worksheet" Target="worksheets/sheet451.xml"/><Relationship Id="rId493" Type="http://schemas.openxmlformats.org/officeDocument/2006/relationships/worksheet" Target="worksheets/sheet493.xml"/><Relationship Id="rId507" Type="http://schemas.openxmlformats.org/officeDocument/2006/relationships/worksheet" Target="worksheets/sheet507.xml"/><Relationship Id="rId549" Type="http://schemas.openxmlformats.org/officeDocument/2006/relationships/worksheet" Target="worksheets/sheet549.xml"/><Relationship Id="rId714" Type="http://schemas.openxmlformats.org/officeDocument/2006/relationships/worksheet" Target="worksheets/sheet714.xml"/><Relationship Id="rId756" Type="http://schemas.openxmlformats.org/officeDocument/2006/relationships/worksheet" Target="worksheets/sheet75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53" Type="http://schemas.openxmlformats.org/officeDocument/2006/relationships/worksheet" Target="worksheets/sheet353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560" Type="http://schemas.openxmlformats.org/officeDocument/2006/relationships/worksheet" Target="worksheets/sheet560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420" Type="http://schemas.openxmlformats.org/officeDocument/2006/relationships/worksheet" Target="worksheets/sheet420.xml"/><Relationship Id="rId616" Type="http://schemas.openxmlformats.org/officeDocument/2006/relationships/worksheet" Target="worksheets/sheet616.xml"/><Relationship Id="rId658" Type="http://schemas.openxmlformats.org/officeDocument/2006/relationships/worksheet" Target="worksheets/sheet658.xml"/><Relationship Id="rId255" Type="http://schemas.openxmlformats.org/officeDocument/2006/relationships/worksheet" Target="worksheets/sheet255.xml"/><Relationship Id="rId297" Type="http://schemas.openxmlformats.org/officeDocument/2006/relationships/worksheet" Target="worksheets/sheet297.xml"/><Relationship Id="rId462" Type="http://schemas.openxmlformats.org/officeDocument/2006/relationships/worksheet" Target="worksheets/sheet462.xml"/><Relationship Id="rId518" Type="http://schemas.openxmlformats.org/officeDocument/2006/relationships/worksheet" Target="worksheets/sheet518.xml"/><Relationship Id="rId725" Type="http://schemas.openxmlformats.org/officeDocument/2006/relationships/worksheet" Target="worksheets/sheet725.xml"/><Relationship Id="rId115" Type="http://schemas.openxmlformats.org/officeDocument/2006/relationships/worksheet" Target="worksheets/sheet115.xml"/><Relationship Id="rId157" Type="http://schemas.openxmlformats.org/officeDocument/2006/relationships/worksheet" Target="worksheets/sheet157.xml"/><Relationship Id="rId322" Type="http://schemas.openxmlformats.org/officeDocument/2006/relationships/worksheet" Target="worksheets/sheet322.xml"/><Relationship Id="rId364" Type="http://schemas.openxmlformats.org/officeDocument/2006/relationships/worksheet" Target="worksheets/sheet364.xml"/><Relationship Id="rId767" Type="http://schemas.openxmlformats.org/officeDocument/2006/relationships/worksheet" Target="worksheets/sheet767.xml"/><Relationship Id="rId61" Type="http://schemas.openxmlformats.org/officeDocument/2006/relationships/worksheet" Target="worksheets/sheet61.xml"/><Relationship Id="rId199" Type="http://schemas.openxmlformats.org/officeDocument/2006/relationships/worksheet" Target="worksheets/sheet199.xml"/><Relationship Id="rId571" Type="http://schemas.openxmlformats.org/officeDocument/2006/relationships/worksheet" Target="worksheets/sheet571.xml"/><Relationship Id="rId627" Type="http://schemas.openxmlformats.org/officeDocument/2006/relationships/worksheet" Target="worksheets/sheet627.xml"/><Relationship Id="rId669" Type="http://schemas.openxmlformats.org/officeDocument/2006/relationships/worksheet" Target="worksheets/sheet66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66" Type="http://schemas.openxmlformats.org/officeDocument/2006/relationships/worksheet" Target="worksheets/sheet266.xml"/><Relationship Id="rId431" Type="http://schemas.openxmlformats.org/officeDocument/2006/relationships/worksheet" Target="worksheets/sheet431.xml"/><Relationship Id="rId473" Type="http://schemas.openxmlformats.org/officeDocument/2006/relationships/worksheet" Target="worksheets/sheet473.xml"/><Relationship Id="rId529" Type="http://schemas.openxmlformats.org/officeDocument/2006/relationships/worksheet" Target="worksheets/sheet529.xml"/><Relationship Id="rId680" Type="http://schemas.openxmlformats.org/officeDocument/2006/relationships/worksheet" Target="worksheets/sheet680.xml"/><Relationship Id="rId736" Type="http://schemas.openxmlformats.org/officeDocument/2006/relationships/worksheet" Target="worksheets/sheet736.xml"/><Relationship Id="rId30" Type="http://schemas.openxmlformats.org/officeDocument/2006/relationships/worksheet" Target="worksheets/sheet30.xml"/><Relationship Id="rId126" Type="http://schemas.openxmlformats.org/officeDocument/2006/relationships/worksheet" Target="worksheets/sheet126.xml"/><Relationship Id="rId168" Type="http://schemas.openxmlformats.org/officeDocument/2006/relationships/worksheet" Target="worksheets/sheet168.xml"/><Relationship Id="rId333" Type="http://schemas.openxmlformats.org/officeDocument/2006/relationships/worksheet" Target="worksheets/sheet333.xml"/><Relationship Id="rId540" Type="http://schemas.openxmlformats.org/officeDocument/2006/relationships/worksheet" Target="worksheets/sheet540.xml"/><Relationship Id="rId778" Type="http://schemas.openxmlformats.org/officeDocument/2006/relationships/worksheet" Target="worksheets/sheet778.xml"/><Relationship Id="rId72" Type="http://schemas.openxmlformats.org/officeDocument/2006/relationships/worksheet" Target="worksheets/sheet72.xml"/><Relationship Id="rId375" Type="http://schemas.openxmlformats.org/officeDocument/2006/relationships/worksheet" Target="worksheets/sheet375.xml"/><Relationship Id="rId582" Type="http://schemas.openxmlformats.org/officeDocument/2006/relationships/worksheet" Target="worksheets/sheet582.xml"/><Relationship Id="rId638" Type="http://schemas.openxmlformats.org/officeDocument/2006/relationships/worksheet" Target="worksheets/sheet638.xml"/><Relationship Id="rId3" Type="http://schemas.openxmlformats.org/officeDocument/2006/relationships/worksheet" Target="worksheets/sheet3.xml"/><Relationship Id="rId235" Type="http://schemas.openxmlformats.org/officeDocument/2006/relationships/worksheet" Target="worksheets/sheet235.xml"/><Relationship Id="rId277" Type="http://schemas.openxmlformats.org/officeDocument/2006/relationships/worksheet" Target="worksheets/sheet277.xml"/><Relationship Id="rId400" Type="http://schemas.openxmlformats.org/officeDocument/2006/relationships/worksheet" Target="worksheets/sheet400.xml"/><Relationship Id="rId442" Type="http://schemas.openxmlformats.org/officeDocument/2006/relationships/worksheet" Target="worksheets/sheet442.xml"/><Relationship Id="rId484" Type="http://schemas.openxmlformats.org/officeDocument/2006/relationships/worksheet" Target="worksheets/sheet484.xml"/><Relationship Id="rId705" Type="http://schemas.openxmlformats.org/officeDocument/2006/relationships/worksheet" Target="worksheets/sheet705.xml"/><Relationship Id="rId137" Type="http://schemas.openxmlformats.org/officeDocument/2006/relationships/worksheet" Target="worksheets/sheet137.xml"/><Relationship Id="rId302" Type="http://schemas.openxmlformats.org/officeDocument/2006/relationships/worksheet" Target="worksheets/sheet302.xml"/><Relationship Id="rId344" Type="http://schemas.openxmlformats.org/officeDocument/2006/relationships/worksheet" Target="worksheets/sheet344.xml"/><Relationship Id="rId691" Type="http://schemas.openxmlformats.org/officeDocument/2006/relationships/worksheet" Target="worksheets/sheet691.xml"/><Relationship Id="rId747" Type="http://schemas.openxmlformats.org/officeDocument/2006/relationships/worksheet" Target="worksheets/sheet747.xml"/><Relationship Id="rId789" Type="http://schemas.openxmlformats.org/officeDocument/2006/relationships/worksheet" Target="worksheets/sheet789.xml"/><Relationship Id="rId41" Type="http://schemas.openxmlformats.org/officeDocument/2006/relationships/worksheet" Target="worksheets/sheet41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86" Type="http://schemas.openxmlformats.org/officeDocument/2006/relationships/worksheet" Target="worksheets/sheet386.xml"/><Relationship Id="rId551" Type="http://schemas.openxmlformats.org/officeDocument/2006/relationships/worksheet" Target="worksheets/sheet551.xml"/><Relationship Id="rId593" Type="http://schemas.openxmlformats.org/officeDocument/2006/relationships/worksheet" Target="worksheets/sheet593.xml"/><Relationship Id="rId607" Type="http://schemas.openxmlformats.org/officeDocument/2006/relationships/worksheet" Target="worksheets/sheet607.xml"/><Relationship Id="rId649" Type="http://schemas.openxmlformats.org/officeDocument/2006/relationships/worksheet" Target="worksheets/sheet64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46" Type="http://schemas.openxmlformats.org/officeDocument/2006/relationships/worksheet" Target="worksheets/sheet246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53" Type="http://schemas.openxmlformats.org/officeDocument/2006/relationships/worksheet" Target="worksheets/sheet453.xml"/><Relationship Id="rId509" Type="http://schemas.openxmlformats.org/officeDocument/2006/relationships/worksheet" Target="worksheets/sheet509.xml"/><Relationship Id="rId660" Type="http://schemas.openxmlformats.org/officeDocument/2006/relationships/worksheet" Target="worksheets/sheet660.xml"/><Relationship Id="rId106" Type="http://schemas.openxmlformats.org/officeDocument/2006/relationships/worksheet" Target="worksheets/sheet106.xml"/><Relationship Id="rId313" Type="http://schemas.openxmlformats.org/officeDocument/2006/relationships/worksheet" Target="worksheets/sheet313.xml"/><Relationship Id="rId495" Type="http://schemas.openxmlformats.org/officeDocument/2006/relationships/worksheet" Target="worksheets/sheet495.xml"/><Relationship Id="rId716" Type="http://schemas.openxmlformats.org/officeDocument/2006/relationships/worksheet" Target="worksheets/sheet716.xml"/><Relationship Id="rId758" Type="http://schemas.openxmlformats.org/officeDocument/2006/relationships/worksheet" Target="worksheets/sheet758.xml"/><Relationship Id="rId10" Type="http://schemas.openxmlformats.org/officeDocument/2006/relationships/worksheet" Target="worksheets/sheet10.xml"/><Relationship Id="rId52" Type="http://schemas.openxmlformats.org/officeDocument/2006/relationships/worksheet" Target="worksheets/sheet52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355" Type="http://schemas.openxmlformats.org/officeDocument/2006/relationships/worksheet" Target="worksheets/sheet355.xml"/><Relationship Id="rId397" Type="http://schemas.openxmlformats.org/officeDocument/2006/relationships/worksheet" Target="worksheets/sheet397.xml"/><Relationship Id="rId520" Type="http://schemas.openxmlformats.org/officeDocument/2006/relationships/worksheet" Target="worksheets/sheet520.xml"/><Relationship Id="rId562" Type="http://schemas.openxmlformats.org/officeDocument/2006/relationships/worksheet" Target="worksheets/sheet562.xml"/><Relationship Id="rId618" Type="http://schemas.openxmlformats.org/officeDocument/2006/relationships/worksheet" Target="worksheets/sheet618.xml"/><Relationship Id="rId215" Type="http://schemas.openxmlformats.org/officeDocument/2006/relationships/worksheet" Target="worksheets/sheet215.xml"/><Relationship Id="rId257" Type="http://schemas.openxmlformats.org/officeDocument/2006/relationships/worksheet" Target="worksheets/sheet257.xml"/><Relationship Id="rId422" Type="http://schemas.openxmlformats.org/officeDocument/2006/relationships/worksheet" Target="worksheets/sheet422.xml"/><Relationship Id="rId464" Type="http://schemas.openxmlformats.org/officeDocument/2006/relationships/worksheet" Target="worksheets/sheet464.xml"/><Relationship Id="rId299" Type="http://schemas.openxmlformats.org/officeDocument/2006/relationships/worksheet" Target="worksheets/sheet299.xml"/><Relationship Id="rId727" Type="http://schemas.openxmlformats.org/officeDocument/2006/relationships/worksheet" Target="worksheets/sheet727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66" Type="http://schemas.openxmlformats.org/officeDocument/2006/relationships/worksheet" Target="worksheets/sheet366.xml"/><Relationship Id="rId573" Type="http://schemas.openxmlformats.org/officeDocument/2006/relationships/worksheet" Target="worksheets/sheet573.xml"/><Relationship Id="rId780" Type="http://schemas.openxmlformats.org/officeDocument/2006/relationships/worksheet" Target="worksheets/sheet78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640" Type="http://schemas.openxmlformats.org/officeDocument/2006/relationships/worksheet" Target="worksheets/sheet640.xml"/><Relationship Id="rId738" Type="http://schemas.openxmlformats.org/officeDocument/2006/relationships/worksheet" Target="worksheets/sheet738.xml"/><Relationship Id="rId74" Type="http://schemas.openxmlformats.org/officeDocument/2006/relationships/worksheet" Target="worksheets/sheet74.xml"/><Relationship Id="rId377" Type="http://schemas.openxmlformats.org/officeDocument/2006/relationships/worksheet" Target="worksheets/sheet377.xml"/><Relationship Id="rId500" Type="http://schemas.openxmlformats.org/officeDocument/2006/relationships/worksheet" Target="worksheets/sheet500.xml"/><Relationship Id="rId584" Type="http://schemas.openxmlformats.org/officeDocument/2006/relationships/worksheet" Target="worksheets/sheet58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8.bin"/><Relationship Id="rId1" Type="http://schemas.openxmlformats.org/officeDocument/2006/relationships/printerSettings" Target="../printerSettings/printerSettings167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5.bin"/><Relationship Id="rId1" Type="http://schemas.openxmlformats.org/officeDocument/2006/relationships/printerSettings" Target="../printerSettings/printerSettings174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0.bin"/><Relationship Id="rId1" Type="http://schemas.openxmlformats.org/officeDocument/2006/relationships/printerSettings" Target="../printerSettings/printerSettings179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4.bin"/><Relationship Id="rId1" Type="http://schemas.openxmlformats.org/officeDocument/2006/relationships/printerSettings" Target="../printerSettings/printerSettings183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8.bin"/><Relationship Id="rId1" Type="http://schemas.openxmlformats.org/officeDocument/2006/relationships/printerSettings" Target="../printerSettings/printerSettings18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2.bin"/><Relationship Id="rId1" Type="http://schemas.openxmlformats.org/officeDocument/2006/relationships/printerSettings" Target="../printerSettings/printerSettings19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6.bin"/><Relationship Id="rId1" Type="http://schemas.openxmlformats.org/officeDocument/2006/relationships/printerSettings" Target="../printerSettings/printerSettings195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1.bin"/><Relationship Id="rId1" Type="http://schemas.openxmlformats.org/officeDocument/2006/relationships/printerSettings" Target="../printerSettings/printerSettings200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3.bin"/><Relationship Id="rId1" Type="http://schemas.openxmlformats.org/officeDocument/2006/relationships/printerSettings" Target="../printerSettings/printerSettings202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5.bin"/><Relationship Id="rId1" Type="http://schemas.openxmlformats.org/officeDocument/2006/relationships/printerSettings" Target="../printerSettings/printerSettings204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9.bin"/><Relationship Id="rId1" Type="http://schemas.openxmlformats.org/officeDocument/2006/relationships/printerSettings" Target="../printerSettings/printerSettings208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1.bin"/><Relationship Id="rId1" Type="http://schemas.openxmlformats.org/officeDocument/2006/relationships/printerSettings" Target="../printerSettings/printerSettings210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5.bin"/><Relationship Id="rId1" Type="http://schemas.openxmlformats.org/officeDocument/2006/relationships/printerSettings" Target="../printerSettings/printerSettings214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7.bin"/><Relationship Id="rId1" Type="http://schemas.openxmlformats.org/officeDocument/2006/relationships/printerSettings" Target="../printerSettings/printerSettings216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9.bin"/><Relationship Id="rId1" Type="http://schemas.openxmlformats.org/officeDocument/2006/relationships/printerSettings" Target="../printerSettings/printerSettings218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1.bin"/><Relationship Id="rId1" Type="http://schemas.openxmlformats.org/officeDocument/2006/relationships/printerSettings" Target="../printerSettings/printerSettings220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3.bin"/><Relationship Id="rId1" Type="http://schemas.openxmlformats.org/officeDocument/2006/relationships/printerSettings" Target="../printerSettings/printerSettings222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5.bin"/><Relationship Id="rId1" Type="http://schemas.openxmlformats.org/officeDocument/2006/relationships/printerSettings" Target="../printerSettings/printerSettings224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22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9.bin"/><Relationship Id="rId1" Type="http://schemas.openxmlformats.org/officeDocument/2006/relationships/printerSettings" Target="../printerSettings/printerSettings228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30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3.bin"/><Relationship Id="rId1" Type="http://schemas.openxmlformats.org/officeDocument/2006/relationships/printerSettings" Target="../printerSettings/printerSettings23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5.bin"/><Relationship Id="rId1" Type="http://schemas.openxmlformats.org/officeDocument/2006/relationships/printerSettings" Target="../printerSettings/printerSettings234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9.bin"/><Relationship Id="rId1" Type="http://schemas.openxmlformats.org/officeDocument/2006/relationships/printerSettings" Target="../printerSettings/printerSettings238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1.bin"/><Relationship Id="rId1" Type="http://schemas.openxmlformats.org/officeDocument/2006/relationships/printerSettings" Target="../printerSettings/printerSettings240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3.bin"/><Relationship Id="rId1" Type="http://schemas.openxmlformats.org/officeDocument/2006/relationships/printerSettings" Target="../printerSettings/printerSettings242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5.bin"/><Relationship Id="rId1" Type="http://schemas.openxmlformats.org/officeDocument/2006/relationships/printerSettings" Target="../printerSettings/printerSettings244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7.bin"/><Relationship Id="rId1" Type="http://schemas.openxmlformats.org/officeDocument/2006/relationships/printerSettings" Target="../printerSettings/printerSettings2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9.bin"/><Relationship Id="rId1" Type="http://schemas.openxmlformats.org/officeDocument/2006/relationships/printerSettings" Target="../printerSettings/printerSettings248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1.bin"/><Relationship Id="rId1" Type="http://schemas.openxmlformats.org/officeDocument/2006/relationships/printerSettings" Target="../printerSettings/printerSettings250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3.bin"/><Relationship Id="rId1" Type="http://schemas.openxmlformats.org/officeDocument/2006/relationships/printerSettings" Target="../printerSettings/printerSettings2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5.bin"/><Relationship Id="rId1" Type="http://schemas.openxmlformats.org/officeDocument/2006/relationships/printerSettings" Target="../printerSettings/printerSettings254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7.bin"/><Relationship Id="rId1" Type="http://schemas.openxmlformats.org/officeDocument/2006/relationships/printerSettings" Target="../printerSettings/printerSettings256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9.bin"/><Relationship Id="rId1" Type="http://schemas.openxmlformats.org/officeDocument/2006/relationships/printerSettings" Target="../printerSettings/printerSettings258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5.bin"/><Relationship Id="rId1" Type="http://schemas.openxmlformats.org/officeDocument/2006/relationships/printerSettings" Target="../printerSettings/printerSettings26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7.bin"/><Relationship Id="rId1" Type="http://schemas.openxmlformats.org/officeDocument/2006/relationships/printerSettings" Target="../printerSettings/printerSettings266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9.bin"/><Relationship Id="rId1" Type="http://schemas.openxmlformats.org/officeDocument/2006/relationships/printerSettings" Target="../printerSettings/printerSettings268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1.bin"/><Relationship Id="rId1" Type="http://schemas.openxmlformats.org/officeDocument/2006/relationships/printerSettings" Target="../printerSettings/printerSettings27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4.bin"/><Relationship Id="rId1" Type="http://schemas.openxmlformats.org/officeDocument/2006/relationships/printerSettings" Target="../printerSettings/printerSettings283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8.bin"/><Relationship Id="rId1" Type="http://schemas.openxmlformats.org/officeDocument/2006/relationships/printerSettings" Target="../printerSettings/printerSettings287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2.bin"/><Relationship Id="rId1" Type="http://schemas.openxmlformats.org/officeDocument/2006/relationships/printerSettings" Target="../printerSettings/printerSettings291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6.bin"/><Relationship Id="rId1" Type="http://schemas.openxmlformats.org/officeDocument/2006/relationships/printerSettings" Target="../printerSettings/printerSettings295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0.bin"/><Relationship Id="rId1" Type="http://schemas.openxmlformats.org/officeDocument/2006/relationships/printerSettings" Target="../printerSettings/printerSettings299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4.bin"/><Relationship Id="rId1" Type="http://schemas.openxmlformats.org/officeDocument/2006/relationships/printerSettings" Target="../printerSettings/printerSettings303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8.bin"/><Relationship Id="rId1" Type="http://schemas.openxmlformats.org/officeDocument/2006/relationships/printerSettings" Target="../printerSettings/printerSettings307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2.bin"/><Relationship Id="rId1" Type="http://schemas.openxmlformats.org/officeDocument/2006/relationships/printerSettings" Target="../printerSettings/printerSettings311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6.bin"/><Relationship Id="rId1" Type="http://schemas.openxmlformats.org/officeDocument/2006/relationships/printerSettings" Target="../printerSettings/printerSettings315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4.bin"/><Relationship Id="rId1" Type="http://schemas.openxmlformats.org/officeDocument/2006/relationships/printerSettings" Target="../printerSettings/printerSettings323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8.bin"/><Relationship Id="rId1" Type="http://schemas.openxmlformats.org/officeDocument/2006/relationships/printerSettings" Target="../printerSettings/printerSettings327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2.bin"/><Relationship Id="rId1" Type="http://schemas.openxmlformats.org/officeDocument/2006/relationships/printerSettings" Target="../printerSettings/printerSettings331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6.bin"/><Relationship Id="rId1" Type="http://schemas.openxmlformats.org/officeDocument/2006/relationships/printerSettings" Target="../printerSettings/printerSettings335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0.bin"/><Relationship Id="rId1" Type="http://schemas.openxmlformats.org/officeDocument/2006/relationships/printerSettings" Target="../printerSettings/printerSettings339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4.bin"/><Relationship Id="rId1" Type="http://schemas.openxmlformats.org/officeDocument/2006/relationships/printerSettings" Target="../printerSettings/printerSettings343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8.bin"/><Relationship Id="rId1" Type="http://schemas.openxmlformats.org/officeDocument/2006/relationships/printerSettings" Target="../printerSettings/printerSettings347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2.bin"/><Relationship Id="rId1" Type="http://schemas.openxmlformats.org/officeDocument/2006/relationships/printerSettings" Target="../printerSettings/printerSettings351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6.bin"/><Relationship Id="rId1" Type="http://schemas.openxmlformats.org/officeDocument/2006/relationships/printerSettings" Target="../printerSettings/printerSettings355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0.bin"/><Relationship Id="rId1" Type="http://schemas.openxmlformats.org/officeDocument/2006/relationships/printerSettings" Target="../printerSettings/printerSettings359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4.bin"/><Relationship Id="rId1" Type="http://schemas.openxmlformats.org/officeDocument/2006/relationships/printerSettings" Target="../printerSettings/printerSettings363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8.bin"/><Relationship Id="rId1" Type="http://schemas.openxmlformats.org/officeDocument/2006/relationships/printerSettings" Target="../printerSettings/printerSettings367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2.bin"/><Relationship Id="rId1" Type="http://schemas.openxmlformats.org/officeDocument/2006/relationships/printerSettings" Target="../printerSettings/printerSettings371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6.bin"/><Relationship Id="rId1" Type="http://schemas.openxmlformats.org/officeDocument/2006/relationships/printerSettings" Target="../printerSettings/printerSettings375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0.bin"/><Relationship Id="rId1" Type="http://schemas.openxmlformats.org/officeDocument/2006/relationships/printerSettings" Target="../printerSettings/printerSettings379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4.bin"/><Relationship Id="rId1" Type="http://schemas.openxmlformats.org/officeDocument/2006/relationships/printerSettings" Target="../printerSettings/printerSettings383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8.bin"/><Relationship Id="rId1" Type="http://schemas.openxmlformats.org/officeDocument/2006/relationships/printerSettings" Target="../printerSettings/printerSettings387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91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6.bin"/><Relationship Id="rId1" Type="http://schemas.openxmlformats.org/officeDocument/2006/relationships/printerSettings" Target="../printerSettings/printerSettings395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0.bin"/><Relationship Id="rId1" Type="http://schemas.openxmlformats.org/officeDocument/2006/relationships/printerSettings" Target="../printerSettings/printerSettings399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4.bin"/><Relationship Id="rId1" Type="http://schemas.openxmlformats.org/officeDocument/2006/relationships/printerSettings" Target="../printerSettings/printerSettings403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8.bin"/><Relationship Id="rId1" Type="http://schemas.openxmlformats.org/officeDocument/2006/relationships/printerSettings" Target="../printerSettings/printerSettings407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2.bin"/><Relationship Id="rId1" Type="http://schemas.openxmlformats.org/officeDocument/2006/relationships/printerSettings" Target="../printerSettings/printerSettings411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6.bin"/><Relationship Id="rId1" Type="http://schemas.openxmlformats.org/officeDocument/2006/relationships/printerSettings" Target="../printerSettings/printerSettings415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0.bin"/><Relationship Id="rId1" Type="http://schemas.openxmlformats.org/officeDocument/2006/relationships/printerSettings" Target="../printerSettings/printerSettings419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4.bin"/><Relationship Id="rId1" Type="http://schemas.openxmlformats.org/officeDocument/2006/relationships/printerSettings" Target="../printerSettings/printerSettings423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8.bin"/><Relationship Id="rId1" Type="http://schemas.openxmlformats.org/officeDocument/2006/relationships/printerSettings" Target="../printerSettings/printerSettings427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2.bin"/><Relationship Id="rId1" Type="http://schemas.openxmlformats.org/officeDocument/2006/relationships/printerSettings" Target="../printerSettings/printerSettings431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6.bin"/><Relationship Id="rId1" Type="http://schemas.openxmlformats.org/officeDocument/2006/relationships/printerSettings" Target="../printerSettings/printerSettings435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0.bin"/><Relationship Id="rId1" Type="http://schemas.openxmlformats.org/officeDocument/2006/relationships/printerSettings" Target="../printerSettings/printerSettings439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4.bin"/><Relationship Id="rId1" Type="http://schemas.openxmlformats.org/officeDocument/2006/relationships/printerSettings" Target="../printerSettings/printerSettings443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8.bin"/><Relationship Id="rId1" Type="http://schemas.openxmlformats.org/officeDocument/2006/relationships/printerSettings" Target="../printerSettings/printerSettings447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2.bin"/><Relationship Id="rId1" Type="http://schemas.openxmlformats.org/officeDocument/2006/relationships/printerSettings" Target="../printerSettings/printerSettings451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6.bin"/><Relationship Id="rId1" Type="http://schemas.openxmlformats.org/officeDocument/2006/relationships/printerSettings" Target="../printerSettings/printerSettings455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0.bin"/><Relationship Id="rId1" Type="http://schemas.openxmlformats.org/officeDocument/2006/relationships/printerSettings" Target="../printerSettings/printerSettings459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/Relationships>
</file>

<file path=xl/worksheets/_rels/sheet2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4.bin"/><Relationship Id="rId1" Type="http://schemas.openxmlformats.org/officeDocument/2006/relationships/printerSettings" Target="../printerSettings/printerSettings463.bin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/Relationships>
</file>

<file path=xl/worksheets/_rels/sheet2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8.bin"/><Relationship Id="rId1" Type="http://schemas.openxmlformats.org/officeDocument/2006/relationships/printerSettings" Target="../printerSettings/printerSettings467.bin"/></Relationships>
</file>

<file path=xl/worksheets/_rels/sheet2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/Relationships>
</file>

<file path=xl/worksheets/_rels/sheet2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2.bin"/><Relationship Id="rId1" Type="http://schemas.openxmlformats.org/officeDocument/2006/relationships/printerSettings" Target="../printerSettings/printerSettings471.bin"/></Relationships>
</file>

<file path=xl/worksheets/_rels/sheet2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5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6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7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8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9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0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1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2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3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5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6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7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8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9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0.bin"/></Relationships>
</file>

<file path=xl/worksheets/_rels/sheet2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2.bin"/><Relationship Id="rId1" Type="http://schemas.openxmlformats.org/officeDocument/2006/relationships/printerSettings" Target="../printerSettings/printerSettings491.bin"/></Relationships>
</file>

<file path=xl/worksheets/_rels/sheet2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/Relationships>
</file>

<file path=xl/worksheets/_rels/sheet2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6.bin"/><Relationship Id="rId1" Type="http://schemas.openxmlformats.org/officeDocument/2006/relationships/printerSettings" Target="../printerSettings/printerSettings495.bin"/></Relationships>
</file>

<file path=xl/worksheets/_rels/sheet2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0.bin"/><Relationship Id="rId1" Type="http://schemas.openxmlformats.org/officeDocument/2006/relationships/printerSettings" Target="../printerSettings/printerSettings499.bin"/></Relationships>
</file>

<file path=xl/worksheets/_rels/sheet2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/Relationships>
</file>

<file path=xl/worksheets/_rels/sheet2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4.bin"/><Relationship Id="rId1" Type="http://schemas.openxmlformats.org/officeDocument/2006/relationships/printerSettings" Target="../printerSettings/printerSettings503.bin"/></Relationships>
</file>

<file path=xl/worksheets/_rels/sheet2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/Relationships>
</file>

<file path=xl/worksheets/_rels/sheet2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8.bin"/><Relationship Id="rId1" Type="http://schemas.openxmlformats.org/officeDocument/2006/relationships/printerSettings" Target="../printerSettings/printerSettings507.bin"/></Relationships>
</file>

<file path=xl/worksheets/_rels/sheet2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/Relationships>
</file>

<file path=xl/worksheets/_rels/sheet29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2.bin"/><Relationship Id="rId1" Type="http://schemas.openxmlformats.org/officeDocument/2006/relationships/printerSettings" Target="../printerSettings/printerSettings511.bin"/></Relationships>
</file>

<file path=xl/worksheets/_rels/sheet2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/Relationships>
</file>

<file path=xl/worksheets/_rels/sheet2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6.bin"/><Relationship Id="rId1" Type="http://schemas.openxmlformats.org/officeDocument/2006/relationships/printerSettings" Target="../printerSettings/printerSettings515.bin"/></Relationships>
</file>

<file path=xl/worksheets/_rels/sheet2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9.bin"/></Relationships>
</file>

<file path=xl/worksheets/_rels/sheet3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1.bin"/><Relationship Id="rId1" Type="http://schemas.openxmlformats.org/officeDocument/2006/relationships/printerSettings" Target="../printerSettings/printerSettings520.bin"/></Relationships>
</file>

<file path=xl/worksheets/_rels/sheet3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3.bin"/><Relationship Id="rId1" Type="http://schemas.openxmlformats.org/officeDocument/2006/relationships/printerSettings" Target="../printerSettings/printerSettings522.bin"/></Relationships>
</file>

<file path=xl/worksheets/_rels/sheet3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5.bin"/><Relationship Id="rId1" Type="http://schemas.openxmlformats.org/officeDocument/2006/relationships/printerSettings" Target="../printerSettings/printerSettings524.bin"/></Relationships>
</file>

<file path=xl/worksheets/_rels/sheet3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7.bin"/><Relationship Id="rId1" Type="http://schemas.openxmlformats.org/officeDocument/2006/relationships/printerSettings" Target="../printerSettings/printerSettings526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8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9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0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1.bin"/></Relationships>
</file>

<file path=xl/worksheets/_rels/sheet3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3.bin"/><Relationship Id="rId1" Type="http://schemas.openxmlformats.org/officeDocument/2006/relationships/printerSettings" Target="../printerSettings/printerSettings53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3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5.bin"/><Relationship Id="rId1" Type="http://schemas.openxmlformats.org/officeDocument/2006/relationships/printerSettings" Target="../printerSettings/printerSettings534.bin"/></Relationships>
</file>

<file path=xl/worksheets/_rels/sheet3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7.bin"/><Relationship Id="rId1" Type="http://schemas.openxmlformats.org/officeDocument/2006/relationships/printerSettings" Target="../printerSettings/printerSettings536.bin"/></Relationships>
</file>

<file path=xl/worksheets/_rels/sheet3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9.bin"/><Relationship Id="rId1" Type="http://schemas.openxmlformats.org/officeDocument/2006/relationships/printerSettings" Target="../printerSettings/printerSettings538.bin"/></Relationships>
</file>

<file path=xl/worksheets/_rels/sheet3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1.bin"/><Relationship Id="rId1" Type="http://schemas.openxmlformats.org/officeDocument/2006/relationships/printerSettings" Target="../printerSettings/printerSettings540.bin"/></Relationships>
</file>

<file path=xl/worksheets/_rels/sheet3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3.bin"/><Relationship Id="rId1" Type="http://schemas.openxmlformats.org/officeDocument/2006/relationships/printerSettings" Target="../printerSettings/printerSettings542.bin"/></Relationships>
</file>

<file path=xl/worksheets/_rels/sheet3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5.bin"/><Relationship Id="rId1" Type="http://schemas.openxmlformats.org/officeDocument/2006/relationships/printerSettings" Target="../printerSettings/printerSettings544.bin"/></Relationships>
</file>

<file path=xl/worksheets/_rels/sheet3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7.bin"/><Relationship Id="rId1" Type="http://schemas.openxmlformats.org/officeDocument/2006/relationships/printerSettings" Target="../printerSettings/printerSettings546.bin"/></Relationships>
</file>

<file path=xl/worksheets/_rels/sheet3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9.bin"/><Relationship Id="rId1" Type="http://schemas.openxmlformats.org/officeDocument/2006/relationships/printerSettings" Target="../printerSettings/printerSettings548.bin"/></Relationships>
</file>

<file path=xl/worksheets/_rels/sheet3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1.bin"/><Relationship Id="rId1" Type="http://schemas.openxmlformats.org/officeDocument/2006/relationships/printerSettings" Target="../printerSettings/printerSettings550.bin"/></Relationships>
</file>

<file path=xl/worksheets/_rels/sheet3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3.bin"/><Relationship Id="rId1" Type="http://schemas.openxmlformats.org/officeDocument/2006/relationships/printerSettings" Target="../printerSettings/printerSettings55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3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5.bin"/><Relationship Id="rId1" Type="http://schemas.openxmlformats.org/officeDocument/2006/relationships/printerSettings" Target="../printerSettings/printerSettings554.bin"/></Relationships>
</file>

<file path=xl/worksheets/_rels/sheet3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56.bin"/></Relationships>
</file>

<file path=xl/worksheets/_rels/sheet3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9.bin"/><Relationship Id="rId1" Type="http://schemas.openxmlformats.org/officeDocument/2006/relationships/printerSettings" Target="../printerSettings/printerSettings558.bin"/></Relationships>
</file>

<file path=xl/worksheets/_rels/sheet3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1.bin"/><Relationship Id="rId1" Type="http://schemas.openxmlformats.org/officeDocument/2006/relationships/printerSettings" Target="../printerSettings/printerSettings560.bin"/></Relationships>
</file>

<file path=xl/worksheets/_rels/sheet3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3.bin"/><Relationship Id="rId1" Type="http://schemas.openxmlformats.org/officeDocument/2006/relationships/printerSettings" Target="../printerSettings/printerSettings562.bin"/></Relationships>
</file>

<file path=xl/worksheets/_rels/sheet3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5.bin"/><Relationship Id="rId1" Type="http://schemas.openxmlformats.org/officeDocument/2006/relationships/printerSettings" Target="../printerSettings/printerSettings564.bin"/></Relationships>
</file>

<file path=xl/worksheets/_rels/sheet3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7.bin"/><Relationship Id="rId1" Type="http://schemas.openxmlformats.org/officeDocument/2006/relationships/printerSettings" Target="../printerSettings/printerSettings566.bin"/></Relationships>
</file>

<file path=xl/worksheets/_rels/sheet3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9.bin"/><Relationship Id="rId1" Type="http://schemas.openxmlformats.org/officeDocument/2006/relationships/printerSettings" Target="../printerSettings/printerSettings568.bin"/></Relationships>
</file>

<file path=xl/worksheets/_rels/sheet3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1.bin"/><Relationship Id="rId1" Type="http://schemas.openxmlformats.org/officeDocument/2006/relationships/printerSettings" Target="../printerSettings/printerSettings570.bin"/></Relationships>
</file>

<file path=xl/worksheets/_rels/sheet3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3.bin"/><Relationship Id="rId1" Type="http://schemas.openxmlformats.org/officeDocument/2006/relationships/printerSettings" Target="../printerSettings/printerSettings57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3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5.bin"/><Relationship Id="rId1" Type="http://schemas.openxmlformats.org/officeDocument/2006/relationships/printerSettings" Target="../printerSettings/printerSettings574.bin"/></Relationships>
</file>

<file path=xl/worksheets/_rels/sheet3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7.bin"/><Relationship Id="rId1" Type="http://schemas.openxmlformats.org/officeDocument/2006/relationships/printerSettings" Target="../printerSettings/printerSettings576.bin"/></Relationships>
</file>

<file path=xl/worksheets/_rels/sheet3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9.bin"/><Relationship Id="rId1" Type="http://schemas.openxmlformats.org/officeDocument/2006/relationships/printerSettings" Target="../printerSettings/printerSettings578.bin"/></Relationships>
</file>

<file path=xl/worksheets/_rels/sheet3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1.bin"/><Relationship Id="rId1" Type="http://schemas.openxmlformats.org/officeDocument/2006/relationships/printerSettings" Target="../printerSettings/printerSettings580.bin"/></Relationships>
</file>

<file path=xl/worksheets/_rels/sheet3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3.bin"/><Relationship Id="rId1" Type="http://schemas.openxmlformats.org/officeDocument/2006/relationships/printerSettings" Target="../printerSettings/printerSettings582.bin"/></Relationships>
</file>

<file path=xl/worksheets/_rels/sheet3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5.bin"/><Relationship Id="rId1" Type="http://schemas.openxmlformats.org/officeDocument/2006/relationships/printerSettings" Target="../printerSettings/printerSettings584.bin"/></Relationships>
</file>

<file path=xl/worksheets/_rels/sheet3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7.bin"/><Relationship Id="rId1" Type="http://schemas.openxmlformats.org/officeDocument/2006/relationships/printerSettings" Target="../printerSettings/printerSettings586.bin"/></Relationships>
</file>

<file path=xl/worksheets/_rels/sheet3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9.bin"/><Relationship Id="rId1" Type="http://schemas.openxmlformats.org/officeDocument/2006/relationships/printerSettings" Target="../printerSettings/printerSettings588.bin"/></Relationships>
</file>

<file path=xl/worksheets/_rels/sheet3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1.bin"/><Relationship Id="rId1" Type="http://schemas.openxmlformats.org/officeDocument/2006/relationships/printerSettings" Target="../printerSettings/printerSettings590.bin"/></Relationships>
</file>

<file path=xl/worksheets/_rels/sheet3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3.bin"/><Relationship Id="rId1" Type="http://schemas.openxmlformats.org/officeDocument/2006/relationships/printerSettings" Target="../printerSettings/printerSettings59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3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5.bin"/><Relationship Id="rId1" Type="http://schemas.openxmlformats.org/officeDocument/2006/relationships/printerSettings" Target="../printerSettings/printerSettings594.bin"/></Relationships>
</file>

<file path=xl/worksheets/_rels/sheet3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7.bin"/><Relationship Id="rId1" Type="http://schemas.openxmlformats.org/officeDocument/2006/relationships/printerSettings" Target="../printerSettings/printerSettings596.bin"/></Relationships>
</file>

<file path=xl/worksheets/_rels/sheet3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9.bin"/><Relationship Id="rId1" Type="http://schemas.openxmlformats.org/officeDocument/2006/relationships/printerSettings" Target="../printerSettings/printerSettings598.bin"/></Relationships>
</file>

<file path=xl/worksheets/_rels/sheet3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1.bin"/><Relationship Id="rId1" Type="http://schemas.openxmlformats.org/officeDocument/2006/relationships/printerSettings" Target="../printerSettings/printerSettings600.bin"/></Relationships>
</file>

<file path=xl/worksheets/_rels/sheet3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3.bin"/><Relationship Id="rId1" Type="http://schemas.openxmlformats.org/officeDocument/2006/relationships/printerSettings" Target="../printerSettings/printerSettings602.bin"/></Relationships>
</file>

<file path=xl/worksheets/_rels/sheet3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5.bin"/><Relationship Id="rId1" Type="http://schemas.openxmlformats.org/officeDocument/2006/relationships/printerSettings" Target="../printerSettings/printerSettings604.bin"/></Relationships>
</file>

<file path=xl/worksheets/_rels/sheet3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7.bin"/><Relationship Id="rId1" Type="http://schemas.openxmlformats.org/officeDocument/2006/relationships/printerSettings" Target="../printerSettings/printerSettings606.bin"/></Relationships>
</file>

<file path=xl/worksheets/_rels/sheet3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9.bin"/><Relationship Id="rId1" Type="http://schemas.openxmlformats.org/officeDocument/2006/relationships/printerSettings" Target="../printerSettings/printerSettings608.bin"/></Relationships>
</file>

<file path=xl/worksheets/_rels/sheet3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1.bin"/><Relationship Id="rId1" Type="http://schemas.openxmlformats.org/officeDocument/2006/relationships/printerSettings" Target="../printerSettings/printerSettings610.bin"/></Relationships>
</file>

<file path=xl/worksheets/_rels/sheet3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3.bin"/><Relationship Id="rId1" Type="http://schemas.openxmlformats.org/officeDocument/2006/relationships/printerSettings" Target="../printerSettings/printerSettings61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3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5.bin"/><Relationship Id="rId1" Type="http://schemas.openxmlformats.org/officeDocument/2006/relationships/printerSettings" Target="../printerSettings/printerSettings614.bin"/></Relationships>
</file>

<file path=xl/worksheets/_rels/sheet3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7.bin"/><Relationship Id="rId1" Type="http://schemas.openxmlformats.org/officeDocument/2006/relationships/printerSettings" Target="../printerSettings/printerSettings616.bin"/></Relationships>
</file>

<file path=xl/worksheets/_rels/sheet3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9.bin"/><Relationship Id="rId1" Type="http://schemas.openxmlformats.org/officeDocument/2006/relationships/printerSettings" Target="../printerSettings/printerSettings618.bin"/></Relationships>
</file>

<file path=xl/worksheets/_rels/sheet3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1.bin"/><Relationship Id="rId1" Type="http://schemas.openxmlformats.org/officeDocument/2006/relationships/printerSettings" Target="../printerSettings/printerSettings620.bin"/></Relationships>
</file>

<file path=xl/worksheets/_rels/sheet3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622.bin"/></Relationships>
</file>

<file path=xl/worksheets/_rels/sheet3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5.bin"/><Relationship Id="rId1" Type="http://schemas.openxmlformats.org/officeDocument/2006/relationships/printerSettings" Target="../printerSettings/printerSettings624.bin"/></Relationships>
</file>

<file path=xl/worksheets/_rels/sheet3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7.bin"/><Relationship Id="rId1" Type="http://schemas.openxmlformats.org/officeDocument/2006/relationships/printerSettings" Target="../printerSettings/printerSettings626.bin"/></Relationships>
</file>

<file path=xl/worksheets/_rels/sheet3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9.bin"/><Relationship Id="rId1" Type="http://schemas.openxmlformats.org/officeDocument/2006/relationships/printerSettings" Target="../printerSettings/printerSettings628.bin"/></Relationships>
</file>

<file path=xl/worksheets/_rels/sheet3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1.bin"/><Relationship Id="rId1" Type="http://schemas.openxmlformats.org/officeDocument/2006/relationships/printerSettings" Target="../printerSettings/printerSettings630.bin"/></Relationships>
</file>

<file path=xl/worksheets/_rels/sheet3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3.bin"/><Relationship Id="rId1" Type="http://schemas.openxmlformats.org/officeDocument/2006/relationships/printerSettings" Target="../printerSettings/printerSettings6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3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5.bin"/><Relationship Id="rId1" Type="http://schemas.openxmlformats.org/officeDocument/2006/relationships/printerSettings" Target="../printerSettings/printerSettings634.bin"/></Relationships>
</file>

<file path=xl/worksheets/_rels/sheet3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7.bin"/><Relationship Id="rId1" Type="http://schemas.openxmlformats.org/officeDocument/2006/relationships/printerSettings" Target="../printerSettings/printerSettings636.bin"/></Relationships>
</file>

<file path=xl/worksheets/_rels/sheet3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9.bin"/><Relationship Id="rId1" Type="http://schemas.openxmlformats.org/officeDocument/2006/relationships/printerSettings" Target="../printerSettings/printerSettings638.bin"/></Relationships>
</file>

<file path=xl/worksheets/_rels/sheet3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1.bin"/><Relationship Id="rId1" Type="http://schemas.openxmlformats.org/officeDocument/2006/relationships/printerSettings" Target="../printerSettings/printerSettings640.bin"/></Relationships>
</file>

<file path=xl/worksheets/_rels/sheet3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3.bin"/><Relationship Id="rId1" Type="http://schemas.openxmlformats.org/officeDocument/2006/relationships/printerSettings" Target="../printerSettings/printerSettings642.bin"/></Relationships>
</file>

<file path=xl/worksheets/_rels/sheet3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5.bin"/><Relationship Id="rId1" Type="http://schemas.openxmlformats.org/officeDocument/2006/relationships/printerSettings" Target="../printerSettings/printerSettings644.bin"/></Relationships>
</file>

<file path=xl/worksheets/_rels/sheet3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7.bin"/><Relationship Id="rId1" Type="http://schemas.openxmlformats.org/officeDocument/2006/relationships/printerSettings" Target="../printerSettings/printerSettings646.bin"/></Relationships>
</file>

<file path=xl/worksheets/_rels/sheet3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9.bin"/><Relationship Id="rId1" Type="http://schemas.openxmlformats.org/officeDocument/2006/relationships/printerSettings" Target="../printerSettings/printerSettings648.bin"/></Relationships>
</file>

<file path=xl/worksheets/_rels/sheet3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1.bin"/><Relationship Id="rId1" Type="http://schemas.openxmlformats.org/officeDocument/2006/relationships/printerSettings" Target="../printerSettings/printerSettings650.bin"/></Relationships>
</file>

<file path=xl/worksheets/_rels/sheet3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3.bin"/><Relationship Id="rId1" Type="http://schemas.openxmlformats.org/officeDocument/2006/relationships/printerSettings" Target="../printerSettings/printerSettings65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5.bin"/><Relationship Id="rId1" Type="http://schemas.openxmlformats.org/officeDocument/2006/relationships/printerSettings" Target="../printerSettings/printerSettings654.bin"/></Relationships>
</file>

<file path=xl/worksheets/_rels/sheet3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7.bin"/><Relationship Id="rId1" Type="http://schemas.openxmlformats.org/officeDocument/2006/relationships/printerSettings" Target="../printerSettings/printerSettings656.bin"/></Relationships>
</file>

<file path=xl/worksheets/_rels/sheet3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9.bin"/><Relationship Id="rId1" Type="http://schemas.openxmlformats.org/officeDocument/2006/relationships/printerSettings" Target="../printerSettings/printerSettings658.bin"/></Relationships>
</file>

<file path=xl/worksheets/_rels/sheet3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1.bin"/><Relationship Id="rId1" Type="http://schemas.openxmlformats.org/officeDocument/2006/relationships/printerSettings" Target="../printerSettings/printerSettings660.bin"/></Relationships>
</file>

<file path=xl/worksheets/_rels/sheet3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2.bin"/></Relationships>
</file>

<file path=xl/worksheets/_rels/sheet3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4.bin"/><Relationship Id="rId1" Type="http://schemas.openxmlformats.org/officeDocument/2006/relationships/printerSettings" Target="../printerSettings/printerSettings663.bin"/></Relationships>
</file>

<file path=xl/worksheets/_rels/sheet3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/Relationships>
</file>

<file path=xl/worksheets/_rels/sheet3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8.bin"/><Relationship Id="rId1" Type="http://schemas.openxmlformats.org/officeDocument/2006/relationships/printerSettings" Target="../printerSettings/printerSettings667.bin"/></Relationships>
</file>

<file path=xl/worksheets/_rels/sheet3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/Relationships>
</file>

<file path=xl/worksheets/_rels/sheet3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3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2.bin"/></Relationships>
</file>

<file path=xl/worksheets/_rels/sheet3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3.bin"/></Relationships>
</file>

<file path=xl/worksheets/_rels/sheet3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4.bin"/></Relationships>
</file>

<file path=xl/worksheets/_rels/sheet3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5.bin"/></Relationships>
</file>

<file path=xl/worksheets/_rels/sheet3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6.bin"/></Relationships>
</file>

<file path=xl/worksheets/_rels/sheet3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7.bin"/></Relationships>
</file>

<file path=xl/worksheets/_rels/sheet3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8.bin"/></Relationships>
</file>

<file path=xl/worksheets/_rels/sheet3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9.bin"/></Relationships>
</file>

<file path=xl/worksheets/_rels/sheet3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0.bin"/></Relationships>
</file>

<file path=xl/worksheets/_rels/sheet3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/Relationships>
</file>

<file path=xl/worksheets/_rels/sheet3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2.bin"/></Relationships>
</file>

<file path=xl/worksheets/_rels/sheet3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4.bin"/><Relationship Id="rId1" Type="http://schemas.openxmlformats.org/officeDocument/2006/relationships/printerSettings" Target="../printerSettings/printerSettings683.bin"/></Relationships>
</file>

<file path=xl/worksheets/_rels/sheet3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/Relationships>
</file>

<file path=xl/worksheets/_rels/sheet3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8.bin"/><Relationship Id="rId1" Type="http://schemas.openxmlformats.org/officeDocument/2006/relationships/printerSettings" Target="../printerSettings/printerSettings687.bin"/></Relationships>
</file>

<file path=xl/worksheets/_rels/sheet3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2.bin"/><Relationship Id="rId1" Type="http://schemas.openxmlformats.org/officeDocument/2006/relationships/printerSettings" Target="../printerSettings/printerSettings691.bin"/></Relationships>
</file>

<file path=xl/worksheets/_rels/sheet39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/Relationships>
</file>

<file path=xl/worksheets/_rels/sheet3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6.bin"/><Relationship Id="rId1" Type="http://schemas.openxmlformats.org/officeDocument/2006/relationships/printerSettings" Target="../printerSettings/printerSettings695.bin"/></Relationships>
</file>

<file path=xl/worksheets/_rels/sheet3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/Relationships>
</file>

<file path=xl/worksheets/_rels/sheet3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0.bin"/><Relationship Id="rId1" Type="http://schemas.openxmlformats.org/officeDocument/2006/relationships/printerSettings" Target="../printerSettings/printerSettings69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4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/Relationships>
</file>

<file path=xl/worksheets/_rels/sheet4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4.bin"/><Relationship Id="rId1" Type="http://schemas.openxmlformats.org/officeDocument/2006/relationships/printerSettings" Target="../printerSettings/printerSettings703.bin"/></Relationships>
</file>

<file path=xl/worksheets/_rels/sheet4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/Relationships>
</file>

<file path=xl/worksheets/_rels/sheet4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8.bin"/><Relationship Id="rId1" Type="http://schemas.openxmlformats.org/officeDocument/2006/relationships/printerSettings" Target="../printerSettings/printerSettings707.bin"/></Relationships>
</file>

<file path=xl/worksheets/_rels/sheet4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/Relationships>
</file>

<file path=xl/worksheets/_rels/sheet4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2.bin"/><Relationship Id="rId1" Type="http://schemas.openxmlformats.org/officeDocument/2006/relationships/printerSettings" Target="../printerSettings/printerSettings711.bin"/></Relationships>
</file>

<file path=xl/worksheets/_rels/sheet4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/Relationships>
</file>

<file path=xl/worksheets/_rels/sheet4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6.bin"/><Relationship Id="rId1" Type="http://schemas.openxmlformats.org/officeDocument/2006/relationships/printerSettings" Target="../printerSettings/printerSettings715.bin"/></Relationships>
</file>

<file path=xl/worksheets/_rels/sheet4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/Relationships>
</file>

<file path=xl/worksheets/_rels/sheet4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0.bin"/><Relationship Id="rId1" Type="http://schemas.openxmlformats.org/officeDocument/2006/relationships/printerSettings" Target="../printerSettings/printerSettings71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4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/Relationships>
</file>

<file path=xl/worksheets/_rels/sheet4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4.bin"/><Relationship Id="rId1" Type="http://schemas.openxmlformats.org/officeDocument/2006/relationships/printerSettings" Target="../printerSettings/printerSettings723.bin"/></Relationships>
</file>

<file path=xl/worksheets/_rels/sheet4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/Relationships>
</file>

<file path=xl/worksheets/_rels/sheet4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7.bin"/></Relationships>
</file>

<file path=xl/worksheets/_rels/sheet4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8.bin"/></Relationships>
</file>

<file path=xl/worksheets/_rels/sheet4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9.bin"/></Relationships>
</file>

<file path=xl/worksheets/_rels/sheet4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0.bin"/></Relationships>
</file>

<file path=xl/worksheets/_rels/sheet4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1.bin"/></Relationships>
</file>

<file path=xl/worksheets/_rels/sheet4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2.bin"/></Relationships>
</file>

<file path=xl/worksheets/_rels/sheet4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/Relationships>
</file>

<file path=xl/worksheets/_rels/sheet4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4.bin"/></Relationships>
</file>

<file path=xl/worksheets/_rels/sheet4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5.bin"/></Relationships>
</file>

<file path=xl/worksheets/_rels/sheet4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6.bin"/></Relationships>
</file>

<file path=xl/worksheets/_rels/sheet4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7.bin"/></Relationships>
</file>

<file path=xl/worksheets/_rels/sheet4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9.bin"/><Relationship Id="rId1" Type="http://schemas.openxmlformats.org/officeDocument/2006/relationships/printerSettings" Target="../printerSettings/printerSettings738.bin"/></Relationships>
</file>

<file path=xl/worksheets/_rels/sheet4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0.bin"/></Relationships>
</file>

<file path=xl/worksheets/_rels/sheet4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/Relationships>
</file>

<file path=xl/worksheets/_rels/sheet4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4.bin"/><Relationship Id="rId1" Type="http://schemas.openxmlformats.org/officeDocument/2006/relationships/printerSettings" Target="../printerSettings/printerSettings743.bin"/></Relationships>
</file>

<file path=xl/worksheets/_rels/sheet4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/Relationships>
</file>

<file path=xl/worksheets/_rels/sheet4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4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9.bin"/><Relationship Id="rId1" Type="http://schemas.openxmlformats.org/officeDocument/2006/relationships/printerSettings" Target="../printerSettings/printerSettings748.bin"/></Relationships>
</file>

<file path=xl/worksheets/_rels/sheet4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0.bin"/></Relationships>
</file>

<file path=xl/worksheets/_rels/sheet4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2.bin"/><Relationship Id="rId1" Type="http://schemas.openxmlformats.org/officeDocument/2006/relationships/printerSettings" Target="../printerSettings/printerSettings751.bin"/></Relationships>
</file>

<file path=xl/worksheets/_rels/sheet4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/Relationships>
</file>

<file path=xl/worksheets/_rels/sheet4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6.bin"/><Relationship Id="rId1" Type="http://schemas.openxmlformats.org/officeDocument/2006/relationships/printerSettings" Target="../printerSettings/printerSettings755.bin"/></Relationships>
</file>

<file path=xl/worksheets/_rels/sheet4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/Relationships>
</file>

<file path=xl/worksheets/_rels/sheet4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0.bin"/><Relationship Id="rId1" Type="http://schemas.openxmlformats.org/officeDocument/2006/relationships/printerSettings" Target="../printerSettings/printerSettings759.bin"/></Relationships>
</file>

<file path=xl/worksheets/_rels/sheet4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/Relationships>
</file>

<file path=xl/worksheets/_rels/sheet4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4.bin"/><Relationship Id="rId1" Type="http://schemas.openxmlformats.org/officeDocument/2006/relationships/printerSettings" Target="../printerSettings/printerSettings763.bin"/></Relationships>
</file>

<file path=xl/worksheets/_rels/sheet4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4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8.bin"/><Relationship Id="rId1" Type="http://schemas.openxmlformats.org/officeDocument/2006/relationships/printerSettings" Target="../printerSettings/printerSettings767.bin"/></Relationships>
</file>

<file path=xl/worksheets/_rels/sheet4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/Relationships>
</file>

<file path=xl/worksheets/_rels/sheet4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2.bin"/><Relationship Id="rId1" Type="http://schemas.openxmlformats.org/officeDocument/2006/relationships/printerSettings" Target="../printerSettings/printerSettings771.bin"/></Relationships>
</file>

<file path=xl/worksheets/_rels/sheet4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/Relationships>
</file>

<file path=xl/worksheets/_rels/sheet4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6.bin"/><Relationship Id="rId1" Type="http://schemas.openxmlformats.org/officeDocument/2006/relationships/printerSettings" Target="../printerSettings/printerSettings775.bin"/></Relationships>
</file>

<file path=xl/worksheets/_rels/sheet4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/Relationships>
</file>

<file path=xl/worksheets/_rels/sheet4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0.bin"/><Relationship Id="rId1" Type="http://schemas.openxmlformats.org/officeDocument/2006/relationships/printerSettings" Target="../printerSettings/printerSettings779.bin"/></Relationships>
</file>

<file path=xl/worksheets/_rels/sheet4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/Relationships>
</file>

<file path=xl/worksheets/_rels/sheet4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4.bin"/><Relationship Id="rId1" Type="http://schemas.openxmlformats.org/officeDocument/2006/relationships/printerSettings" Target="../printerSettings/printerSettings783.bin"/></Relationships>
</file>

<file path=xl/worksheets/_rels/sheet4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4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8.bin"/><Relationship Id="rId1" Type="http://schemas.openxmlformats.org/officeDocument/2006/relationships/printerSettings" Target="../printerSettings/printerSettings787.bin"/></Relationships>
</file>

<file path=xl/worksheets/_rels/sheet4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/Relationships>
</file>

<file path=xl/worksheets/_rels/sheet4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2.bin"/><Relationship Id="rId1" Type="http://schemas.openxmlformats.org/officeDocument/2006/relationships/printerSettings" Target="../printerSettings/printerSettings791.bin"/></Relationships>
</file>

<file path=xl/worksheets/_rels/sheet4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/Relationships>
</file>

<file path=xl/worksheets/_rels/sheet4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6.bin"/><Relationship Id="rId1" Type="http://schemas.openxmlformats.org/officeDocument/2006/relationships/printerSettings" Target="../printerSettings/printerSettings795.bin"/></Relationships>
</file>

<file path=xl/worksheets/_rels/sheet4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8.bin"/><Relationship Id="rId1" Type="http://schemas.openxmlformats.org/officeDocument/2006/relationships/printerSettings" Target="../printerSettings/printerSettings797.bin"/></Relationships>
</file>

<file path=xl/worksheets/_rels/sheet4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0.bin"/><Relationship Id="rId1" Type="http://schemas.openxmlformats.org/officeDocument/2006/relationships/printerSettings" Target="../printerSettings/printerSettings799.bin"/></Relationships>
</file>

<file path=xl/worksheets/_rels/sheet4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2.bin"/><Relationship Id="rId1" Type="http://schemas.openxmlformats.org/officeDocument/2006/relationships/printerSettings" Target="../printerSettings/printerSettings801.bin"/></Relationships>
</file>

<file path=xl/worksheets/_rels/sheet4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4.bin"/><Relationship Id="rId1" Type="http://schemas.openxmlformats.org/officeDocument/2006/relationships/printerSettings" Target="../printerSettings/printerSettings803.bin"/></Relationships>
</file>

<file path=xl/worksheets/_rels/sheet4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6.bin"/><Relationship Id="rId1" Type="http://schemas.openxmlformats.org/officeDocument/2006/relationships/printerSettings" Target="../printerSettings/printerSettings80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8.bin"/><Relationship Id="rId1" Type="http://schemas.openxmlformats.org/officeDocument/2006/relationships/printerSettings" Target="../printerSettings/printerSettings807.bin"/></Relationships>
</file>

<file path=xl/worksheets/_rels/sheet4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0.bin"/><Relationship Id="rId1" Type="http://schemas.openxmlformats.org/officeDocument/2006/relationships/printerSettings" Target="../printerSettings/printerSettings809.bin"/></Relationships>
</file>

<file path=xl/worksheets/_rels/sheet4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2.bin"/><Relationship Id="rId1" Type="http://schemas.openxmlformats.org/officeDocument/2006/relationships/printerSettings" Target="../printerSettings/printerSettings811.bin"/></Relationships>
</file>

<file path=xl/worksheets/_rels/sheet4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3.bin"/></Relationships>
</file>

<file path=xl/worksheets/_rels/sheet4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4.bin"/></Relationships>
</file>

<file path=xl/worksheets/_rels/sheet4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5.bin"/></Relationships>
</file>

<file path=xl/worksheets/_rels/sheet4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6.bin"/></Relationships>
</file>

<file path=xl/worksheets/_rels/sheet4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7.bin"/></Relationships>
</file>

<file path=xl/worksheets/_rels/sheet4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8.bin"/></Relationships>
</file>

<file path=xl/worksheets/_rels/sheet4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0.bin"/><Relationship Id="rId1" Type="http://schemas.openxmlformats.org/officeDocument/2006/relationships/printerSettings" Target="../printerSettings/printerSettings81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4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2.bin"/><Relationship Id="rId1" Type="http://schemas.openxmlformats.org/officeDocument/2006/relationships/printerSettings" Target="../printerSettings/printerSettings821.bin"/></Relationships>
</file>

<file path=xl/worksheets/_rels/sheet4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3.bin"/></Relationships>
</file>

<file path=xl/worksheets/_rels/sheet4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5.bin"/><Relationship Id="rId1" Type="http://schemas.openxmlformats.org/officeDocument/2006/relationships/printerSettings" Target="../printerSettings/printerSettings824.bin"/></Relationships>
</file>

<file path=xl/worksheets/_rels/sheet4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7.bin"/><Relationship Id="rId1" Type="http://schemas.openxmlformats.org/officeDocument/2006/relationships/printerSettings" Target="../printerSettings/printerSettings826.bin"/></Relationships>
</file>

<file path=xl/worksheets/_rels/sheet4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9.bin"/><Relationship Id="rId1" Type="http://schemas.openxmlformats.org/officeDocument/2006/relationships/printerSettings" Target="../printerSettings/printerSettings828.bin"/></Relationships>
</file>

<file path=xl/worksheets/_rels/sheet4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1.bin"/><Relationship Id="rId1" Type="http://schemas.openxmlformats.org/officeDocument/2006/relationships/printerSettings" Target="../printerSettings/printerSettings830.bin"/></Relationships>
</file>

<file path=xl/worksheets/_rels/sheet4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3.bin"/><Relationship Id="rId1" Type="http://schemas.openxmlformats.org/officeDocument/2006/relationships/printerSettings" Target="../printerSettings/printerSettings832.bin"/></Relationships>
</file>

<file path=xl/worksheets/_rels/sheet4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5.bin"/><Relationship Id="rId1" Type="http://schemas.openxmlformats.org/officeDocument/2006/relationships/printerSettings" Target="../printerSettings/printerSettings834.bin"/></Relationships>
</file>

<file path=xl/worksheets/_rels/sheet4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7.bin"/><Relationship Id="rId1" Type="http://schemas.openxmlformats.org/officeDocument/2006/relationships/printerSettings" Target="../printerSettings/printerSettings836.bin"/></Relationships>
</file>

<file path=xl/worksheets/_rels/sheet4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9.bin"/><Relationship Id="rId1" Type="http://schemas.openxmlformats.org/officeDocument/2006/relationships/printerSettings" Target="../printerSettings/printerSettings8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4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1.bin"/><Relationship Id="rId1" Type="http://schemas.openxmlformats.org/officeDocument/2006/relationships/printerSettings" Target="../printerSettings/printerSettings840.bin"/></Relationships>
</file>

<file path=xl/worksheets/_rels/sheet4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3.bin"/><Relationship Id="rId1" Type="http://schemas.openxmlformats.org/officeDocument/2006/relationships/printerSettings" Target="../printerSettings/printerSettings842.bin"/></Relationships>
</file>

<file path=xl/worksheets/_rels/sheet4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5.bin"/><Relationship Id="rId1" Type="http://schemas.openxmlformats.org/officeDocument/2006/relationships/printerSettings" Target="../printerSettings/printerSettings844.bin"/></Relationships>
</file>

<file path=xl/worksheets/_rels/sheet4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7.bin"/><Relationship Id="rId1" Type="http://schemas.openxmlformats.org/officeDocument/2006/relationships/printerSettings" Target="../printerSettings/printerSettings846.bin"/></Relationships>
</file>

<file path=xl/worksheets/_rels/sheet4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9.bin"/><Relationship Id="rId1" Type="http://schemas.openxmlformats.org/officeDocument/2006/relationships/printerSettings" Target="../printerSettings/printerSettings848.bin"/></Relationships>
</file>

<file path=xl/worksheets/_rels/sheet4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1.bin"/><Relationship Id="rId1" Type="http://schemas.openxmlformats.org/officeDocument/2006/relationships/printerSettings" Target="../printerSettings/printerSettings850.bin"/></Relationships>
</file>

<file path=xl/worksheets/_rels/sheet4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2.bin"/></Relationships>
</file>

<file path=xl/worksheets/_rels/sheet4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4.bin"/><Relationship Id="rId1" Type="http://schemas.openxmlformats.org/officeDocument/2006/relationships/printerSettings" Target="../printerSettings/printerSettings853.bin"/></Relationships>
</file>

<file path=xl/worksheets/_rels/sheet4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6.bin"/><Relationship Id="rId1" Type="http://schemas.openxmlformats.org/officeDocument/2006/relationships/printerSettings" Target="../printerSettings/printerSettings855.bin"/></Relationships>
</file>

<file path=xl/worksheets/_rels/sheet4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8.bin"/><Relationship Id="rId1" Type="http://schemas.openxmlformats.org/officeDocument/2006/relationships/printerSettings" Target="../printerSettings/printerSettings85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4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0.bin"/><Relationship Id="rId1" Type="http://schemas.openxmlformats.org/officeDocument/2006/relationships/printerSettings" Target="../printerSettings/printerSettings859.bin"/></Relationships>
</file>

<file path=xl/worksheets/_rels/sheet4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1.bin"/></Relationships>
</file>

<file path=xl/worksheets/_rels/sheet4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2.bin"/></Relationships>
</file>

<file path=xl/worksheets/_rels/sheet4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3.bin"/></Relationships>
</file>

<file path=xl/worksheets/_rels/sheet4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4.bin"/></Relationships>
</file>

<file path=xl/worksheets/_rels/sheet4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5.bin"/></Relationships>
</file>

<file path=xl/worksheets/_rels/sheet4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6.bin"/></Relationships>
</file>

<file path=xl/worksheets/_rels/sheet4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7.bin"/></Relationships>
</file>

<file path=xl/worksheets/_rels/sheet4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8.bin"/></Relationships>
</file>

<file path=xl/worksheets/_rels/sheet4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5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0.bin"/></Relationships>
</file>

<file path=xl/worksheets/_rels/sheet5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2.bin"/><Relationship Id="rId1" Type="http://schemas.openxmlformats.org/officeDocument/2006/relationships/printerSettings" Target="../printerSettings/printerSettings871.bin"/></Relationships>
</file>

<file path=xl/worksheets/_rels/sheet5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3.bin"/></Relationships>
</file>

<file path=xl/worksheets/_rels/sheet5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5.bin"/><Relationship Id="rId1" Type="http://schemas.openxmlformats.org/officeDocument/2006/relationships/printerSettings" Target="../printerSettings/printerSettings874.bin"/></Relationships>
</file>

<file path=xl/worksheets/_rels/sheet5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7.bin"/><Relationship Id="rId1" Type="http://schemas.openxmlformats.org/officeDocument/2006/relationships/printerSettings" Target="../printerSettings/printerSettings876.bin"/></Relationships>
</file>

<file path=xl/worksheets/_rels/sheet5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9.bin"/><Relationship Id="rId1" Type="http://schemas.openxmlformats.org/officeDocument/2006/relationships/printerSettings" Target="../printerSettings/printerSettings878.bin"/></Relationships>
</file>

<file path=xl/worksheets/_rels/sheet5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1.bin"/><Relationship Id="rId1" Type="http://schemas.openxmlformats.org/officeDocument/2006/relationships/printerSettings" Target="../printerSettings/printerSettings880.bin"/></Relationships>
</file>

<file path=xl/worksheets/_rels/sheet5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3.bin"/><Relationship Id="rId1" Type="http://schemas.openxmlformats.org/officeDocument/2006/relationships/printerSettings" Target="../printerSettings/printerSettings882.bin"/></Relationships>
</file>

<file path=xl/worksheets/_rels/sheet5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5.bin"/><Relationship Id="rId1" Type="http://schemas.openxmlformats.org/officeDocument/2006/relationships/printerSettings" Target="../printerSettings/printerSettings884.bin"/></Relationships>
</file>

<file path=xl/worksheets/_rels/sheet5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7.bin"/><Relationship Id="rId1" Type="http://schemas.openxmlformats.org/officeDocument/2006/relationships/printerSettings" Target="../printerSettings/printerSettings88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5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9.bin"/><Relationship Id="rId1" Type="http://schemas.openxmlformats.org/officeDocument/2006/relationships/printerSettings" Target="../printerSettings/printerSettings888.bin"/></Relationships>
</file>

<file path=xl/worksheets/_rels/sheet5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1.bin"/><Relationship Id="rId1" Type="http://schemas.openxmlformats.org/officeDocument/2006/relationships/printerSettings" Target="../printerSettings/printerSettings890.bin"/></Relationships>
</file>

<file path=xl/worksheets/_rels/sheet5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3.bin"/><Relationship Id="rId1" Type="http://schemas.openxmlformats.org/officeDocument/2006/relationships/printerSettings" Target="../printerSettings/printerSettings892.bin"/></Relationships>
</file>

<file path=xl/worksheets/_rels/sheet5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5.bin"/><Relationship Id="rId1" Type="http://schemas.openxmlformats.org/officeDocument/2006/relationships/printerSettings" Target="../printerSettings/printerSettings894.bin"/></Relationships>
</file>

<file path=xl/worksheets/_rels/sheet5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7.bin"/><Relationship Id="rId1" Type="http://schemas.openxmlformats.org/officeDocument/2006/relationships/printerSettings" Target="../printerSettings/printerSettings896.bin"/></Relationships>
</file>

<file path=xl/worksheets/_rels/sheet5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9.bin"/><Relationship Id="rId1" Type="http://schemas.openxmlformats.org/officeDocument/2006/relationships/printerSettings" Target="../printerSettings/printerSettings898.bin"/></Relationships>
</file>

<file path=xl/worksheets/_rels/sheet5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1.bin"/><Relationship Id="rId1" Type="http://schemas.openxmlformats.org/officeDocument/2006/relationships/printerSettings" Target="../printerSettings/printerSettings900.bin"/></Relationships>
</file>

<file path=xl/worksheets/_rels/sheet5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3.bin"/><Relationship Id="rId1" Type="http://schemas.openxmlformats.org/officeDocument/2006/relationships/printerSettings" Target="../printerSettings/printerSettings902.bin"/></Relationships>
</file>

<file path=xl/worksheets/_rels/sheet5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5.bin"/><Relationship Id="rId1" Type="http://schemas.openxmlformats.org/officeDocument/2006/relationships/printerSettings" Target="../printerSettings/printerSettings904.bin"/></Relationships>
</file>

<file path=xl/worksheets/_rels/sheet5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7.bin"/><Relationship Id="rId1" Type="http://schemas.openxmlformats.org/officeDocument/2006/relationships/printerSettings" Target="../printerSettings/printerSettings90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5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8.bin"/></Relationships>
</file>

<file path=xl/worksheets/_rels/sheet5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9.bin"/></Relationships>
</file>

<file path=xl/worksheets/_rels/sheet5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0.bin"/></Relationships>
</file>

<file path=xl/worksheets/_rels/sheet5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1.bin"/></Relationships>
</file>

<file path=xl/worksheets/_rels/sheet5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2.bin"/></Relationships>
</file>

<file path=xl/worksheets/_rels/sheet5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3.bin"/></Relationships>
</file>

<file path=xl/worksheets/_rels/sheet5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4.bin"/></Relationships>
</file>

<file path=xl/worksheets/_rels/sheet5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5.bin"/></Relationships>
</file>

<file path=xl/worksheets/_rels/sheet5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6.bin"/></Relationships>
</file>

<file path=xl/worksheets/_rels/sheet5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5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9.bin"/><Relationship Id="rId1" Type="http://schemas.openxmlformats.org/officeDocument/2006/relationships/printerSettings" Target="../printerSettings/printerSettings918.bin"/></Relationships>
</file>

<file path=xl/worksheets/_rels/sheet5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1.bin"/><Relationship Id="rId1" Type="http://schemas.openxmlformats.org/officeDocument/2006/relationships/printerSettings" Target="../printerSettings/printerSettings920.bin"/></Relationships>
</file>

<file path=xl/worksheets/_rels/sheet5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3.bin"/><Relationship Id="rId1" Type="http://schemas.openxmlformats.org/officeDocument/2006/relationships/printerSettings" Target="../printerSettings/printerSettings922.bin"/></Relationships>
</file>

<file path=xl/worksheets/_rels/sheet5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5.bin"/><Relationship Id="rId1" Type="http://schemas.openxmlformats.org/officeDocument/2006/relationships/printerSettings" Target="../printerSettings/printerSettings924.bin"/></Relationships>
</file>

<file path=xl/worksheets/_rels/sheet5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7.bin"/><Relationship Id="rId1" Type="http://schemas.openxmlformats.org/officeDocument/2006/relationships/printerSettings" Target="../printerSettings/printerSettings926.bin"/></Relationships>
</file>

<file path=xl/worksheets/_rels/sheet5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9.bin"/><Relationship Id="rId1" Type="http://schemas.openxmlformats.org/officeDocument/2006/relationships/printerSettings" Target="../printerSettings/printerSettings928.bin"/></Relationships>
</file>

<file path=xl/worksheets/_rels/sheet5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1.bin"/><Relationship Id="rId1" Type="http://schemas.openxmlformats.org/officeDocument/2006/relationships/printerSettings" Target="../printerSettings/printerSettings930.bin"/></Relationships>
</file>

<file path=xl/worksheets/_rels/sheet5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2.bin"/></Relationships>
</file>

<file path=xl/worksheets/_rels/sheet5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4.bin"/><Relationship Id="rId1" Type="http://schemas.openxmlformats.org/officeDocument/2006/relationships/printerSettings" Target="../printerSettings/printerSettings933.bin"/></Relationships>
</file>

<file path=xl/worksheets/_rels/sheet5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6.bin"/><Relationship Id="rId1" Type="http://schemas.openxmlformats.org/officeDocument/2006/relationships/printerSettings" Target="../printerSettings/printerSettings93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5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8.bin"/><Relationship Id="rId1" Type="http://schemas.openxmlformats.org/officeDocument/2006/relationships/printerSettings" Target="../printerSettings/printerSettings937.bin"/></Relationships>
</file>

<file path=xl/worksheets/_rels/sheet5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0.bin"/><Relationship Id="rId1" Type="http://schemas.openxmlformats.org/officeDocument/2006/relationships/printerSettings" Target="../printerSettings/printerSettings939.bin"/></Relationships>
</file>

<file path=xl/worksheets/_rels/sheet5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2.bin"/><Relationship Id="rId1" Type="http://schemas.openxmlformats.org/officeDocument/2006/relationships/printerSettings" Target="../printerSettings/printerSettings941.bin"/></Relationships>
</file>

<file path=xl/worksheets/_rels/sheet5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4.bin"/><Relationship Id="rId1" Type="http://schemas.openxmlformats.org/officeDocument/2006/relationships/printerSettings" Target="../printerSettings/printerSettings943.bin"/></Relationships>
</file>

<file path=xl/worksheets/_rels/sheet5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6.bin"/><Relationship Id="rId1" Type="http://schemas.openxmlformats.org/officeDocument/2006/relationships/printerSettings" Target="../printerSettings/printerSettings945.bin"/></Relationships>
</file>

<file path=xl/worksheets/_rels/sheet5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8.bin"/><Relationship Id="rId1" Type="http://schemas.openxmlformats.org/officeDocument/2006/relationships/printerSettings" Target="../printerSettings/printerSettings947.bin"/></Relationships>
</file>

<file path=xl/worksheets/_rels/sheet5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0.bin"/><Relationship Id="rId1" Type="http://schemas.openxmlformats.org/officeDocument/2006/relationships/printerSettings" Target="../printerSettings/printerSettings949.bin"/></Relationships>
</file>

<file path=xl/worksheets/_rels/sheet5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2.bin"/><Relationship Id="rId1" Type="http://schemas.openxmlformats.org/officeDocument/2006/relationships/printerSettings" Target="../printerSettings/printerSettings951.bin"/></Relationships>
</file>

<file path=xl/worksheets/_rels/sheet5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4.bin"/><Relationship Id="rId1" Type="http://schemas.openxmlformats.org/officeDocument/2006/relationships/printerSettings" Target="../printerSettings/printerSettings953.bin"/></Relationships>
</file>

<file path=xl/worksheets/_rels/sheet5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6.bin"/><Relationship Id="rId1" Type="http://schemas.openxmlformats.org/officeDocument/2006/relationships/printerSettings" Target="../printerSettings/printerSettings95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5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8.bin"/><Relationship Id="rId1" Type="http://schemas.openxmlformats.org/officeDocument/2006/relationships/printerSettings" Target="../printerSettings/printerSettings957.bin"/></Relationships>
</file>

<file path=xl/worksheets/_rels/sheet5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0.bin"/><Relationship Id="rId1" Type="http://schemas.openxmlformats.org/officeDocument/2006/relationships/printerSettings" Target="../printerSettings/printerSettings959.bin"/></Relationships>
</file>

<file path=xl/worksheets/_rels/sheet5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2.bin"/><Relationship Id="rId1" Type="http://schemas.openxmlformats.org/officeDocument/2006/relationships/printerSettings" Target="../printerSettings/printerSettings961.bin"/></Relationships>
</file>

<file path=xl/worksheets/_rels/sheet5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4.bin"/><Relationship Id="rId1" Type="http://schemas.openxmlformats.org/officeDocument/2006/relationships/printerSettings" Target="../printerSettings/printerSettings963.bin"/></Relationships>
</file>

<file path=xl/worksheets/_rels/sheet5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6.bin"/><Relationship Id="rId1" Type="http://schemas.openxmlformats.org/officeDocument/2006/relationships/printerSettings" Target="../printerSettings/printerSettings965.bin"/></Relationships>
</file>

<file path=xl/worksheets/_rels/sheet5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8.bin"/><Relationship Id="rId1" Type="http://schemas.openxmlformats.org/officeDocument/2006/relationships/printerSettings" Target="../printerSettings/printerSettings967.bin"/></Relationships>
</file>

<file path=xl/worksheets/_rels/sheet5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0.bin"/><Relationship Id="rId1" Type="http://schemas.openxmlformats.org/officeDocument/2006/relationships/printerSettings" Target="../printerSettings/printerSettings969.bin"/></Relationships>
</file>

<file path=xl/worksheets/_rels/sheet5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2.bin"/><Relationship Id="rId1" Type="http://schemas.openxmlformats.org/officeDocument/2006/relationships/printerSettings" Target="../printerSettings/printerSettings971.bin"/></Relationships>
</file>

<file path=xl/worksheets/_rels/sheet5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4.bin"/><Relationship Id="rId1" Type="http://schemas.openxmlformats.org/officeDocument/2006/relationships/printerSettings" Target="../printerSettings/printerSettings973.bin"/></Relationships>
</file>

<file path=xl/worksheets/_rels/sheet5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6.bin"/><Relationship Id="rId1" Type="http://schemas.openxmlformats.org/officeDocument/2006/relationships/printerSettings" Target="../printerSettings/printerSettings97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5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8.bin"/><Relationship Id="rId1" Type="http://schemas.openxmlformats.org/officeDocument/2006/relationships/printerSettings" Target="../printerSettings/printerSettings977.bin"/></Relationships>
</file>

<file path=xl/worksheets/_rels/sheet5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0.bin"/><Relationship Id="rId1" Type="http://schemas.openxmlformats.org/officeDocument/2006/relationships/printerSettings" Target="../printerSettings/printerSettings979.bin"/></Relationships>
</file>

<file path=xl/worksheets/_rels/sheet5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2.bin"/><Relationship Id="rId1" Type="http://schemas.openxmlformats.org/officeDocument/2006/relationships/printerSettings" Target="../printerSettings/printerSettings981.bin"/></Relationships>
</file>

<file path=xl/worksheets/_rels/sheet5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3.bin"/></Relationships>
</file>

<file path=xl/worksheets/_rels/sheet5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4.bin"/></Relationships>
</file>

<file path=xl/worksheets/_rels/sheet5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5.bin"/></Relationships>
</file>

<file path=xl/worksheets/_rels/sheet5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6.bin"/></Relationships>
</file>

<file path=xl/worksheets/_rels/sheet5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7.bin"/></Relationships>
</file>

<file path=xl/worksheets/_rels/sheet5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8.bin"/></Relationships>
</file>

<file path=xl/worksheets/_rels/sheet5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9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/Relationships>
</file>

<file path=xl/worksheets/_rels/sheet5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0.bin"/><Relationship Id="rId1" Type="http://schemas.openxmlformats.org/officeDocument/2006/relationships/hyperlink" Target="http://www.what2seeonline.com/" TargetMode="External"/></Relationships>
</file>

<file path=xl/worksheets/_rels/sheet5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1.bin"/></Relationships>
</file>

<file path=xl/worksheets/_rels/sheet5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2.bin"/></Relationships>
</file>

<file path=xl/worksheets/_rels/sheet5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3.bin"/></Relationships>
</file>

<file path=xl/worksheets/_rels/sheet5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4.bin"/></Relationships>
</file>

<file path=xl/worksheets/_rels/sheet5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5.bin"/></Relationships>
</file>

<file path=xl/worksheets/_rels/sheet5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6.bin"/></Relationships>
</file>

<file path=xl/worksheets/_rels/sheet5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7.bin"/></Relationships>
</file>

<file path=xl/worksheets/_rels/sheet5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8.bin"/></Relationships>
</file>

<file path=xl/worksheets/_rels/sheet5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9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/Relationships>
</file>

<file path=xl/worksheets/_rels/sheet5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0.bin"/></Relationships>
</file>

<file path=xl/worksheets/_rels/sheet5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1.bin"/></Relationships>
</file>

<file path=xl/worksheets/_rels/sheet5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2.bin"/></Relationships>
</file>

<file path=xl/worksheets/_rels/sheet5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3.bin"/></Relationships>
</file>

<file path=xl/worksheets/_rels/sheet5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4.bin"/></Relationships>
</file>

<file path=xl/worksheets/_rels/sheet5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5.bin"/></Relationships>
</file>

<file path=xl/worksheets/_rels/sheet5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6.bin"/></Relationships>
</file>

<file path=xl/worksheets/_rels/sheet5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7.bin"/></Relationships>
</file>

<file path=xl/worksheets/_rels/sheet5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8.bin"/></Relationships>
</file>

<file path=xl/worksheets/_rels/sheet5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9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/Relationships>
</file>

<file path=xl/worksheets/_rels/sheet5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0.bin"/></Relationships>
</file>

<file path=xl/worksheets/_rels/sheet5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1.bin"/></Relationships>
</file>

<file path=xl/worksheets/_rels/sheet5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2.bin"/></Relationships>
</file>

<file path=xl/worksheets/_rels/sheet5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3.bin"/></Relationships>
</file>

<file path=xl/worksheets/_rels/sheet5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4.bin"/></Relationships>
</file>

<file path=xl/worksheets/_rels/sheet5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5.bin"/></Relationships>
</file>

<file path=xl/worksheets/_rels/sheet5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6.bin"/></Relationships>
</file>

<file path=xl/worksheets/_rels/sheet5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7.bin"/></Relationships>
</file>

<file path=xl/worksheets/_rels/sheet5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8.bin"/></Relationships>
</file>

<file path=xl/worksheets/_rels/sheet5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90.bin"/></Relationships>
</file>

<file path=xl/worksheets/_rels/sheet6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0.bin"/></Relationships>
</file>

<file path=xl/worksheets/_rels/sheet6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1.bin"/></Relationships>
</file>

<file path=xl/worksheets/_rels/sheet6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2.bin"/></Relationships>
</file>

<file path=xl/worksheets/_rels/sheet6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3.bin"/></Relationships>
</file>

<file path=xl/worksheets/_rels/sheet6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4.bin"/></Relationships>
</file>

<file path=xl/worksheets/_rels/sheet6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5.bin"/></Relationships>
</file>

<file path=xl/worksheets/_rels/sheet6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7.bin"/><Relationship Id="rId1" Type="http://schemas.openxmlformats.org/officeDocument/2006/relationships/printerSettings" Target="../printerSettings/printerSettings1026.bin"/></Relationships>
</file>

<file path=xl/worksheets/_rels/sheet6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9.bin"/><Relationship Id="rId1" Type="http://schemas.openxmlformats.org/officeDocument/2006/relationships/printerSettings" Target="../printerSettings/printerSettings1028.bin"/></Relationships>
</file>

<file path=xl/worksheets/_rels/sheet6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1.bin"/><Relationship Id="rId1" Type="http://schemas.openxmlformats.org/officeDocument/2006/relationships/printerSettings" Target="../printerSettings/printerSettings1030.bin"/></Relationships>
</file>

<file path=xl/worksheets/_rels/sheet6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3.bin"/><Relationship Id="rId1" Type="http://schemas.openxmlformats.org/officeDocument/2006/relationships/printerSettings" Target="../printerSettings/printerSettings1032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/Relationships>
</file>

<file path=xl/worksheets/_rels/sheet6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5.bin"/><Relationship Id="rId1" Type="http://schemas.openxmlformats.org/officeDocument/2006/relationships/printerSettings" Target="../printerSettings/printerSettings1034.bin"/></Relationships>
</file>

<file path=xl/worksheets/_rels/sheet6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7.bin"/><Relationship Id="rId1" Type="http://schemas.openxmlformats.org/officeDocument/2006/relationships/printerSettings" Target="../printerSettings/printerSettings1036.bin"/></Relationships>
</file>

<file path=xl/worksheets/_rels/sheet6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9.bin"/><Relationship Id="rId1" Type="http://schemas.openxmlformats.org/officeDocument/2006/relationships/printerSettings" Target="../printerSettings/printerSettings1038.bin"/></Relationships>
</file>

<file path=xl/worksheets/_rels/sheet6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1.bin"/><Relationship Id="rId1" Type="http://schemas.openxmlformats.org/officeDocument/2006/relationships/printerSettings" Target="../printerSettings/printerSettings1040.bin"/></Relationships>
</file>

<file path=xl/worksheets/_rels/sheet6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3.bin"/><Relationship Id="rId1" Type="http://schemas.openxmlformats.org/officeDocument/2006/relationships/printerSettings" Target="../printerSettings/printerSettings1042.bin"/></Relationships>
</file>

<file path=xl/worksheets/_rels/sheet6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5.bin"/><Relationship Id="rId1" Type="http://schemas.openxmlformats.org/officeDocument/2006/relationships/printerSettings" Target="../printerSettings/printerSettings1044.bin"/></Relationships>
</file>

<file path=xl/worksheets/_rels/sheet6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7.bin"/><Relationship Id="rId1" Type="http://schemas.openxmlformats.org/officeDocument/2006/relationships/printerSettings" Target="../printerSettings/printerSettings1046.bin"/></Relationships>
</file>

<file path=xl/worksheets/_rels/sheet6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9.bin"/><Relationship Id="rId1" Type="http://schemas.openxmlformats.org/officeDocument/2006/relationships/printerSettings" Target="../printerSettings/printerSettings1048.bin"/></Relationships>
</file>

<file path=xl/worksheets/_rels/sheet6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1.bin"/><Relationship Id="rId1" Type="http://schemas.openxmlformats.org/officeDocument/2006/relationships/printerSettings" Target="../printerSettings/printerSettings1050.bin"/></Relationships>
</file>

<file path=xl/worksheets/_rels/sheet6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3.bin"/><Relationship Id="rId1" Type="http://schemas.openxmlformats.org/officeDocument/2006/relationships/printerSettings" Target="../printerSettings/printerSettings1052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94.bin"/></Relationships>
</file>

<file path=xl/worksheets/_rels/sheet6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5.bin"/><Relationship Id="rId1" Type="http://schemas.openxmlformats.org/officeDocument/2006/relationships/printerSettings" Target="../printerSettings/printerSettings1054.bin"/></Relationships>
</file>

<file path=xl/worksheets/_rels/sheet6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7.bin"/><Relationship Id="rId1" Type="http://schemas.openxmlformats.org/officeDocument/2006/relationships/printerSettings" Target="../printerSettings/printerSettings1056.bin"/></Relationships>
</file>

<file path=xl/worksheets/_rels/sheet6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9.bin"/><Relationship Id="rId1" Type="http://schemas.openxmlformats.org/officeDocument/2006/relationships/printerSettings" Target="../printerSettings/printerSettings1058.bin"/></Relationships>
</file>

<file path=xl/worksheets/_rels/sheet6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1.bin"/><Relationship Id="rId1" Type="http://schemas.openxmlformats.org/officeDocument/2006/relationships/printerSettings" Target="../printerSettings/printerSettings1060.bin"/></Relationships>
</file>

<file path=xl/worksheets/_rels/sheet6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3.bin"/><Relationship Id="rId1" Type="http://schemas.openxmlformats.org/officeDocument/2006/relationships/printerSettings" Target="../printerSettings/printerSettings1062.bin"/></Relationships>
</file>

<file path=xl/worksheets/_rels/sheet6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5.bin"/><Relationship Id="rId1" Type="http://schemas.openxmlformats.org/officeDocument/2006/relationships/printerSettings" Target="../printerSettings/printerSettings1064.bin"/></Relationships>
</file>

<file path=xl/worksheets/_rels/sheet6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7.bin"/><Relationship Id="rId1" Type="http://schemas.openxmlformats.org/officeDocument/2006/relationships/printerSettings" Target="../printerSettings/printerSettings1066.bin"/></Relationships>
</file>

<file path=xl/worksheets/_rels/sheet6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9.bin"/><Relationship Id="rId1" Type="http://schemas.openxmlformats.org/officeDocument/2006/relationships/printerSettings" Target="../printerSettings/printerSettings1068.bin"/></Relationships>
</file>

<file path=xl/worksheets/_rels/sheet6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1.bin"/><Relationship Id="rId1" Type="http://schemas.openxmlformats.org/officeDocument/2006/relationships/printerSettings" Target="../printerSettings/printerSettings1070.bin"/></Relationships>
</file>

<file path=xl/worksheets/_rels/sheet6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3.bin"/><Relationship Id="rId1" Type="http://schemas.openxmlformats.org/officeDocument/2006/relationships/printerSettings" Target="../printerSettings/printerSettings107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/Relationships>
</file>

<file path=xl/worksheets/_rels/sheet6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5.bin"/><Relationship Id="rId1" Type="http://schemas.openxmlformats.org/officeDocument/2006/relationships/printerSettings" Target="../printerSettings/printerSettings1074.bin"/></Relationships>
</file>

<file path=xl/worksheets/_rels/sheet6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7.bin"/><Relationship Id="rId1" Type="http://schemas.openxmlformats.org/officeDocument/2006/relationships/printerSettings" Target="../printerSettings/printerSettings1076.bin"/></Relationships>
</file>

<file path=xl/worksheets/_rels/sheet6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9.bin"/><Relationship Id="rId1" Type="http://schemas.openxmlformats.org/officeDocument/2006/relationships/printerSettings" Target="../printerSettings/printerSettings1078.bin"/></Relationships>
</file>

<file path=xl/worksheets/_rels/sheet6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1.bin"/><Relationship Id="rId1" Type="http://schemas.openxmlformats.org/officeDocument/2006/relationships/printerSettings" Target="../printerSettings/printerSettings1080.bin"/></Relationships>
</file>

<file path=xl/worksheets/_rels/sheet6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3.bin"/><Relationship Id="rId1" Type="http://schemas.openxmlformats.org/officeDocument/2006/relationships/printerSettings" Target="../printerSettings/printerSettings1082.bin"/></Relationships>
</file>

<file path=xl/worksheets/_rels/sheet6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5.bin"/><Relationship Id="rId1" Type="http://schemas.openxmlformats.org/officeDocument/2006/relationships/printerSettings" Target="../printerSettings/printerSettings1084.bin"/></Relationships>
</file>

<file path=xl/worksheets/_rels/sheet6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7.bin"/><Relationship Id="rId1" Type="http://schemas.openxmlformats.org/officeDocument/2006/relationships/printerSettings" Target="../printerSettings/printerSettings1086.bin"/></Relationships>
</file>

<file path=xl/worksheets/_rels/sheet6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9.bin"/><Relationship Id="rId1" Type="http://schemas.openxmlformats.org/officeDocument/2006/relationships/printerSettings" Target="../printerSettings/printerSettings1088.bin"/></Relationships>
</file>

<file path=xl/worksheets/_rels/sheet6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1.bin"/><Relationship Id="rId1" Type="http://schemas.openxmlformats.org/officeDocument/2006/relationships/printerSettings" Target="../printerSettings/printerSettings1090.bin"/></Relationships>
</file>

<file path=xl/worksheets/_rels/sheet6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/Relationships>
</file>

<file path=xl/worksheets/_rels/sheet6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4.bin"/><Relationship Id="rId1" Type="http://schemas.openxmlformats.org/officeDocument/2006/relationships/printerSettings" Target="../printerSettings/printerSettings1093.bin"/></Relationships>
</file>

<file path=xl/worksheets/_rels/sheet6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6.bin"/><Relationship Id="rId1" Type="http://schemas.openxmlformats.org/officeDocument/2006/relationships/printerSettings" Target="../printerSettings/printerSettings1095.bin"/></Relationships>
</file>

<file path=xl/worksheets/_rels/sheet6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7.bin"/></Relationships>
</file>

<file path=xl/worksheets/_rels/sheet6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9.bin"/><Relationship Id="rId1" Type="http://schemas.openxmlformats.org/officeDocument/2006/relationships/printerSettings" Target="../printerSettings/printerSettings1098.bin"/></Relationships>
</file>

<file path=xl/worksheets/_rels/sheet6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01.bin"/><Relationship Id="rId1" Type="http://schemas.openxmlformats.org/officeDocument/2006/relationships/printerSettings" Target="../printerSettings/printerSettings1100.bin"/></Relationships>
</file>

<file path=xl/worksheets/_rels/sheet6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03.bin"/><Relationship Id="rId1" Type="http://schemas.openxmlformats.org/officeDocument/2006/relationships/printerSettings" Target="../printerSettings/printerSettings1102.bin"/></Relationships>
</file>

<file path=xl/worksheets/_rels/sheet6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4.bin"/></Relationships>
</file>

<file path=xl/worksheets/_rels/sheet6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06.bin"/><Relationship Id="rId1" Type="http://schemas.openxmlformats.org/officeDocument/2006/relationships/printerSettings" Target="../printerSettings/printerSettings1105.bin"/></Relationships>
</file>

<file path=xl/worksheets/_rels/sheet6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08.bin"/><Relationship Id="rId1" Type="http://schemas.openxmlformats.org/officeDocument/2006/relationships/printerSettings" Target="../printerSettings/printerSettings1107.bin"/></Relationships>
</file>

<file path=xl/worksheets/_rels/sheet6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0.bin"/><Relationship Id="rId1" Type="http://schemas.openxmlformats.org/officeDocument/2006/relationships/printerSettings" Target="../printerSettings/printerSettings1109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/Relationships>
</file>

<file path=xl/worksheets/_rels/sheet6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2.bin"/><Relationship Id="rId1" Type="http://schemas.openxmlformats.org/officeDocument/2006/relationships/printerSettings" Target="../printerSettings/printerSettings1111.bin"/></Relationships>
</file>

<file path=xl/worksheets/_rels/sheet6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4.bin"/><Relationship Id="rId1" Type="http://schemas.openxmlformats.org/officeDocument/2006/relationships/printerSettings" Target="../printerSettings/printerSettings1113.bin"/></Relationships>
</file>

<file path=xl/worksheets/_rels/sheet6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6.bin"/><Relationship Id="rId1" Type="http://schemas.openxmlformats.org/officeDocument/2006/relationships/printerSettings" Target="../printerSettings/printerSettings1115.bin"/></Relationships>
</file>

<file path=xl/worksheets/_rels/sheet6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8.bin"/><Relationship Id="rId1" Type="http://schemas.openxmlformats.org/officeDocument/2006/relationships/printerSettings" Target="../printerSettings/printerSettings1117.bin"/></Relationships>
</file>

<file path=xl/worksheets/_rels/sheet6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0.bin"/><Relationship Id="rId1" Type="http://schemas.openxmlformats.org/officeDocument/2006/relationships/printerSettings" Target="../printerSettings/printerSettings1119.bin"/></Relationships>
</file>

<file path=xl/worksheets/_rels/sheet6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2.bin"/><Relationship Id="rId1" Type="http://schemas.openxmlformats.org/officeDocument/2006/relationships/printerSettings" Target="../printerSettings/printerSettings1121.bin"/></Relationships>
</file>

<file path=xl/worksheets/_rels/sheet6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4.bin"/><Relationship Id="rId1" Type="http://schemas.openxmlformats.org/officeDocument/2006/relationships/printerSettings" Target="../printerSettings/printerSettings1123.bin"/></Relationships>
</file>

<file path=xl/worksheets/_rels/sheet6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6.bin"/><Relationship Id="rId1" Type="http://schemas.openxmlformats.org/officeDocument/2006/relationships/printerSettings" Target="../printerSettings/printerSettings1125.bin"/></Relationships>
</file>

<file path=xl/worksheets/_rels/sheet6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8.bin"/><Relationship Id="rId1" Type="http://schemas.openxmlformats.org/officeDocument/2006/relationships/printerSettings" Target="../printerSettings/printerSettings1127.bin"/></Relationships>
</file>

<file path=xl/worksheets/_rels/sheet6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0.bin"/><Relationship Id="rId1" Type="http://schemas.openxmlformats.org/officeDocument/2006/relationships/printerSettings" Target="../printerSettings/printerSettings1129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.bin"/><Relationship Id="rId1" Type="http://schemas.openxmlformats.org/officeDocument/2006/relationships/printerSettings" Target="../printerSettings/printerSettings102.bin"/></Relationships>
</file>

<file path=xl/worksheets/_rels/sheet6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2.bin"/><Relationship Id="rId1" Type="http://schemas.openxmlformats.org/officeDocument/2006/relationships/printerSettings" Target="../printerSettings/printerSettings1131.bin"/></Relationships>
</file>

<file path=xl/worksheets/_rels/sheet6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4.bin"/><Relationship Id="rId1" Type="http://schemas.openxmlformats.org/officeDocument/2006/relationships/printerSettings" Target="../printerSettings/printerSettings1133.bin"/></Relationships>
</file>

<file path=xl/worksheets/_rels/sheet6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6.bin"/><Relationship Id="rId1" Type="http://schemas.openxmlformats.org/officeDocument/2006/relationships/printerSettings" Target="../printerSettings/printerSettings1135.bin"/></Relationships>
</file>

<file path=xl/worksheets/_rels/sheet6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8.bin"/><Relationship Id="rId1" Type="http://schemas.openxmlformats.org/officeDocument/2006/relationships/printerSettings" Target="../printerSettings/printerSettings1137.bin"/></Relationships>
</file>

<file path=xl/worksheets/_rels/sheet6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0.bin"/><Relationship Id="rId1" Type="http://schemas.openxmlformats.org/officeDocument/2006/relationships/printerSettings" Target="../printerSettings/printerSettings1139.bin"/></Relationships>
</file>

<file path=xl/worksheets/_rels/sheet6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2.bin"/><Relationship Id="rId1" Type="http://schemas.openxmlformats.org/officeDocument/2006/relationships/printerSettings" Target="../printerSettings/printerSettings1141.bin"/></Relationships>
</file>

<file path=xl/worksheets/_rels/sheet6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4.bin"/><Relationship Id="rId1" Type="http://schemas.openxmlformats.org/officeDocument/2006/relationships/printerSettings" Target="../printerSettings/printerSettings1143.bin"/></Relationships>
</file>

<file path=xl/worksheets/_rels/sheet6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6.bin"/><Relationship Id="rId1" Type="http://schemas.openxmlformats.org/officeDocument/2006/relationships/printerSettings" Target="../printerSettings/printerSettings1145.bin"/></Relationships>
</file>

<file path=xl/worksheets/_rels/sheet6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8.bin"/><Relationship Id="rId1" Type="http://schemas.openxmlformats.org/officeDocument/2006/relationships/printerSettings" Target="../printerSettings/printerSettings1147.bin"/></Relationships>
</file>

<file path=xl/worksheets/_rels/sheet6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0.bin"/><Relationship Id="rId1" Type="http://schemas.openxmlformats.org/officeDocument/2006/relationships/printerSettings" Target="../printerSettings/printerSettings1149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.bin"/><Relationship Id="rId1" Type="http://schemas.openxmlformats.org/officeDocument/2006/relationships/printerSettings" Target="../printerSettings/printerSettings104.bin"/></Relationships>
</file>

<file path=xl/worksheets/_rels/sheet6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2.bin"/><Relationship Id="rId1" Type="http://schemas.openxmlformats.org/officeDocument/2006/relationships/printerSettings" Target="../printerSettings/printerSettings1151.bin"/></Relationships>
</file>

<file path=xl/worksheets/_rels/sheet6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4.bin"/><Relationship Id="rId1" Type="http://schemas.openxmlformats.org/officeDocument/2006/relationships/printerSettings" Target="../printerSettings/printerSettings1153.bin"/></Relationships>
</file>

<file path=xl/worksheets/_rels/sheet6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6.bin"/><Relationship Id="rId1" Type="http://schemas.openxmlformats.org/officeDocument/2006/relationships/printerSettings" Target="../printerSettings/printerSettings1155.bin"/></Relationships>
</file>

<file path=xl/worksheets/_rels/sheet6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8.bin"/><Relationship Id="rId1" Type="http://schemas.openxmlformats.org/officeDocument/2006/relationships/printerSettings" Target="../printerSettings/printerSettings1157.bin"/></Relationships>
</file>

<file path=xl/worksheets/_rels/sheet6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0.bin"/><Relationship Id="rId1" Type="http://schemas.openxmlformats.org/officeDocument/2006/relationships/printerSettings" Target="../printerSettings/printerSettings1159.bin"/></Relationships>
</file>

<file path=xl/worksheets/_rels/sheet6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2.bin"/><Relationship Id="rId1" Type="http://schemas.openxmlformats.org/officeDocument/2006/relationships/printerSettings" Target="../printerSettings/printerSettings1161.bin"/></Relationships>
</file>

<file path=xl/worksheets/_rels/sheet6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4.bin"/><Relationship Id="rId1" Type="http://schemas.openxmlformats.org/officeDocument/2006/relationships/printerSettings" Target="../printerSettings/printerSettings1163.bin"/></Relationships>
</file>

<file path=xl/worksheets/_rels/sheet6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6.bin"/><Relationship Id="rId1" Type="http://schemas.openxmlformats.org/officeDocument/2006/relationships/printerSettings" Target="../printerSettings/printerSettings1165.bin"/></Relationships>
</file>

<file path=xl/worksheets/_rels/sheet6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8.bin"/><Relationship Id="rId1" Type="http://schemas.openxmlformats.org/officeDocument/2006/relationships/printerSettings" Target="../printerSettings/printerSettings1167.bin"/></Relationships>
</file>

<file path=xl/worksheets/_rels/sheet6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0.bin"/><Relationship Id="rId1" Type="http://schemas.openxmlformats.org/officeDocument/2006/relationships/printerSettings" Target="../printerSettings/printerSettings1169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/Relationships>
</file>

<file path=xl/worksheets/_rels/sheet6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2.bin"/><Relationship Id="rId1" Type="http://schemas.openxmlformats.org/officeDocument/2006/relationships/printerSettings" Target="../printerSettings/printerSettings1171.bin"/></Relationships>
</file>

<file path=xl/worksheets/_rels/sheet6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4.bin"/><Relationship Id="rId1" Type="http://schemas.openxmlformats.org/officeDocument/2006/relationships/printerSettings" Target="../printerSettings/printerSettings1173.bin"/></Relationships>
</file>

<file path=xl/worksheets/_rels/sheet6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6.bin"/><Relationship Id="rId1" Type="http://schemas.openxmlformats.org/officeDocument/2006/relationships/printerSettings" Target="../printerSettings/printerSettings1175.bin"/></Relationships>
</file>

<file path=xl/worksheets/_rels/sheet6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8.bin"/><Relationship Id="rId1" Type="http://schemas.openxmlformats.org/officeDocument/2006/relationships/printerSettings" Target="../printerSettings/printerSettings1177.bin"/></Relationships>
</file>

<file path=xl/worksheets/_rels/sheet6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0.bin"/><Relationship Id="rId1" Type="http://schemas.openxmlformats.org/officeDocument/2006/relationships/printerSettings" Target="../printerSettings/printerSettings1179.bin"/></Relationships>
</file>

<file path=xl/worksheets/_rels/sheet6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2.bin"/><Relationship Id="rId1" Type="http://schemas.openxmlformats.org/officeDocument/2006/relationships/printerSettings" Target="../printerSettings/printerSettings1181.bin"/></Relationships>
</file>

<file path=xl/worksheets/_rels/sheet6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4.bin"/><Relationship Id="rId1" Type="http://schemas.openxmlformats.org/officeDocument/2006/relationships/printerSettings" Target="../printerSettings/printerSettings1183.bin"/></Relationships>
</file>

<file path=xl/worksheets/_rels/sheet6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6.bin"/><Relationship Id="rId1" Type="http://schemas.openxmlformats.org/officeDocument/2006/relationships/printerSettings" Target="../printerSettings/printerSettings1185.bin"/></Relationships>
</file>

<file path=xl/worksheets/_rels/sheet6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8.bin"/><Relationship Id="rId1" Type="http://schemas.openxmlformats.org/officeDocument/2006/relationships/printerSettings" Target="../printerSettings/printerSettings1187.bin"/></Relationships>
</file>

<file path=xl/worksheets/_rels/sheet6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6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0.bin"/></Relationships>
</file>

<file path=xl/worksheets/_rels/sheet6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1.bin"/></Relationships>
</file>

<file path=xl/worksheets/_rels/sheet6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2.bin"/></Relationships>
</file>

<file path=xl/worksheets/_rels/sheet6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3.bin"/></Relationships>
</file>

<file path=xl/worksheets/_rels/sheet6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4.bin"/></Relationships>
</file>

<file path=xl/worksheets/_rels/sheet6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5.bin"/></Relationships>
</file>

<file path=xl/worksheets/_rels/sheet6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6.bin"/></Relationships>
</file>

<file path=xl/worksheets/_rels/sheet6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7.bin"/></Relationships>
</file>

<file path=xl/worksheets/_rels/sheet6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8.bin"/></Relationships>
</file>

<file path=xl/worksheets/_rels/sheet6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7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0.bin"/></Relationships>
</file>

<file path=xl/worksheets/_rels/sheet7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1.bin"/></Relationships>
</file>

<file path=xl/worksheets/_rels/sheet7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2.bin"/></Relationships>
</file>

<file path=xl/worksheets/_rels/sheet7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3.bin"/></Relationships>
</file>

<file path=xl/worksheets/_rels/sheet7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05.bin"/><Relationship Id="rId1" Type="http://schemas.openxmlformats.org/officeDocument/2006/relationships/printerSettings" Target="../printerSettings/printerSettings1204.bin"/></Relationships>
</file>

<file path=xl/worksheets/_rels/sheet7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6.bin"/></Relationships>
</file>

<file path=xl/worksheets/_rels/sheet7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7.bin"/></Relationships>
</file>

<file path=xl/worksheets/_rels/sheet7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8.bin"/></Relationships>
</file>

<file path=xl/worksheets/_rels/sheet7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9.bin"/></Relationships>
</file>

<file path=xl/worksheets/_rels/sheet7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7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1.bin"/></Relationships>
</file>

<file path=xl/worksheets/_rels/sheet7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2.bin"/></Relationships>
</file>

<file path=xl/worksheets/_rels/sheet7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3.bin"/></Relationships>
</file>

<file path=xl/worksheets/_rels/sheet7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4.bin"/></Relationships>
</file>

<file path=xl/worksheets/_rels/sheet7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5.bin"/></Relationships>
</file>

<file path=xl/worksheets/_rels/sheet7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7.bin"/><Relationship Id="rId1" Type="http://schemas.openxmlformats.org/officeDocument/2006/relationships/printerSettings" Target="../printerSettings/printerSettings1216.bin"/></Relationships>
</file>

<file path=xl/worksheets/_rels/sheet7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9.bin"/><Relationship Id="rId1" Type="http://schemas.openxmlformats.org/officeDocument/2006/relationships/printerSettings" Target="../printerSettings/printerSettings1218.bin"/></Relationships>
</file>

<file path=xl/worksheets/_rels/sheet7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1.bin"/><Relationship Id="rId1" Type="http://schemas.openxmlformats.org/officeDocument/2006/relationships/printerSettings" Target="../printerSettings/printerSettings1220.bin"/></Relationships>
</file>

<file path=xl/worksheets/_rels/sheet7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3.bin"/><Relationship Id="rId1" Type="http://schemas.openxmlformats.org/officeDocument/2006/relationships/printerSettings" Target="../printerSettings/printerSettings1222.bin"/></Relationships>
</file>

<file path=xl/worksheets/_rels/sheet7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5.bin"/><Relationship Id="rId1" Type="http://schemas.openxmlformats.org/officeDocument/2006/relationships/printerSettings" Target="../printerSettings/printerSettings122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7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7.bin"/><Relationship Id="rId1" Type="http://schemas.openxmlformats.org/officeDocument/2006/relationships/printerSettings" Target="../printerSettings/printerSettings1226.bin"/></Relationships>
</file>

<file path=xl/worksheets/_rels/sheet7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9.bin"/><Relationship Id="rId1" Type="http://schemas.openxmlformats.org/officeDocument/2006/relationships/printerSettings" Target="../printerSettings/printerSettings1228.bin"/></Relationships>
</file>

<file path=xl/worksheets/_rels/sheet7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1.bin"/><Relationship Id="rId1" Type="http://schemas.openxmlformats.org/officeDocument/2006/relationships/printerSettings" Target="../printerSettings/printerSettings1230.bin"/></Relationships>
</file>

<file path=xl/worksheets/_rels/sheet7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3.bin"/><Relationship Id="rId1" Type="http://schemas.openxmlformats.org/officeDocument/2006/relationships/printerSettings" Target="../printerSettings/printerSettings1232.bin"/></Relationships>
</file>

<file path=xl/worksheets/_rels/sheet7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5.bin"/><Relationship Id="rId1" Type="http://schemas.openxmlformats.org/officeDocument/2006/relationships/printerSettings" Target="../printerSettings/printerSettings1234.bin"/></Relationships>
</file>

<file path=xl/worksheets/_rels/sheet7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7.bin"/><Relationship Id="rId1" Type="http://schemas.openxmlformats.org/officeDocument/2006/relationships/printerSettings" Target="../printerSettings/printerSettings1236.bin"/></Relationships>
</file>

<file path=xl/worksheets/_rels/sheet7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9.bin"/><Relationship Id="rId1" Type="http://schemas.openxmlformats.org/officeDocument/2006/relationships/printerSettings" Target="../printerSettings/printerSettings1238.bin"/></Relationships>
</file>

<file path=xl/worksheets/_rels/sheet7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1.bin"/><Relationship Id="rId1" Type="http://schemas.openxmlformats.org/officeDocument/2006/relationships/printerSettings" Target="../printerSettings/printerSettings1240.bin"/></Relationships>
</file>

<file path=xl/worksheets/_rels/sheet7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3.bin"/><Relationship Id="rId1" Type="http://schemas.openxmlformats.org/officeDocument/2006/relationships/printerSettings" Target="../printerSettings/printerSettings1242.bin"/></Relationships>
</file>

<file path=xl/worksheets/_rels/sheet7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5.bin"/><Relationship Id="rId1" Type="http://schemas.openxmlformats.org/officeDocument/2006/relationships/printerSettings" Target="../printerSettings/printerSettings1244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.bin"/><Relationship Id="rId1" Type="http://schemas.openxmlformats.org/officeDocument/2006/relationships/printerSettings" Target="../printerSettings/printerSettings112.bin"/></Relationships>
</file>

<file path=xl/worksheets/_rels/sheet7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7.bin"/><Relationship Id="rId1" Type="http://schemas.openxmlformats.org/officeDocument/2006/relationships/printerSettings" Target="../printerSettings/printerSettings1246.bin"/></Relationships>
</file>

<file path=xl/worksheets/_rels/sheet7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9.bin"/><Relationship Id="rId1" Type="http://schemas.openxmlformats.org/officeDocument/2006/relationships/printerSettings" Target="../printerSettings/printerSettings1248.bin"/></Relationships>
</file>

<file path=xl/worksheets/_rels/sheet7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1.bin"/><Relationship Id="rId1" Type="http://schemas.openxmlformats.org/officeDocument/2006/relationships/printerSettings" Target="../printerSettings/printerSettings1250.bin"/></Relationships>
</file>

<file path=xl/worksheets/_rels/sheet7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3.bin"/><Relationship Id="rId1" Type="http://schemas.openxmlformats.org/officeDocument/2006/relationships/printerSettings" Target="../printerSettings/printerSettings1252.bin"/></Relationships>
</file>

<file path=xl/worksheets/_rels/sheet7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5.bin"/><Relationship Id="rId1" Type="http://schemas.openxmlformats.org/officeDocument/2006/relationships/printerSettings" Target="../printerSettings/printerSettings1254.bin"/></Relationships>
</file>

<file path=xl/worksheets/_rels/sheet7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7.bin"/><Relationship Id="rId1" Type="http://schemas.openxmlformats.org/officeDocument/2006/relationships/printerSettings" Target="../printerSettings/printerSettings1256.bin"/></Relationships>
</file>

<file path=xl/worksheets/_rels/sheet7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9.bin"/><Relationship Id="rId1" Type="http://schemas.openxmlformats.org/officeDocument/2006/relationships/printerSettings" Target="../printerSettings/printerSettings1258.bin"/></Relationships>
</file>

<file path=xl/worksheets/_rels/sheet7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1.bin"/><Relationship Id="rId1" Type="http://schemas.openxmlformats.org/officeDocument/2006/relationships/printerSettings" Target="../printerSettings/printerSettings1260.bin"/></Relationships>
</file>

<file path=xl/worksheets/_rels/sheet7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3.bin"/><Relationship Id="rId1" Type="http://schemas.openxmlformats.org/officeDocument/2006/relationships/printerSettings" Target="../printerSettings/printerSettings1262.bin"/></Relationships>
</file>

<file path=xl/worksheets/_rels/sheet7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5.bin"/><Relationship Id="rId1" Type="http://schemas.openxmlformats.org/officeDocument/2006/relationships/printerSettings" Target="../printerSettings/printerSettings12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7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7.bin"/><Relationship Id="rId1" Type="http://schemas.openxmlformats.org/officeDocument/2006/relationships/printerSettings" Target="../printerSettings/printerSettings1266.bin"/></Relationships>
</file>

<file path=xl/worksheets/_rels/sheet7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9.bin"/><Relationship Id="rId1" Type="http://schemas.openxmlformats.org/officeDocument/2006/relationships/printerSettings" Target="../printerSettings/printerSettings1268.bin"/></Relationships>
</file>

<file path=xl/worksheets/_rels/sheet7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1.bin"/><Relationship Id="rId1" Type="http://schemas.openxmlformats.org/officeDocument/2006/relationships/printerSettings" Target="../printerSettings/printerSettings1270.bin"/></Relationships>
</file>

<file path=xl/worksheets/_rels/sheet7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3.bin"/><Relationship Id="rId1" Type="http://schemas.openxmlformats.org/officeDocument/2006/relationships/printerSettings" Target="../printerSettings/printerSettings1272.bin"/></Relationships>
</file>

<file path=xl/worksheets/_rels/sheet7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5.bin"/><Relationship Id="rId1" Type="http://schemas.openxmlformats.org/officeDocument/2006/relationships/printerSettings" Target="../printerSettings/printerSettings1274.bin"/></Relationships>
</file>

<file path=xl/worksheets/_rels/sheet7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7.bin"/><Relationship Id="rId1" Type="http://schemas.openxmlformats.org/officeDocument/2006/relationships/printerSettings" Target="../printerSettings/printerSettings1276.bin"/></Relationships>
</file>

<file path=xl/worksheets/_rels/sheet7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9.bin"/><Relationship Id="rId1" Type="http://schemas.openxmlformats.org/officeDocument/2006/relationships/printerSettings" Target="../printerSettings/printerSettings1278.bin"/></Relationships>
</file>

<file path=xl/worksheets/_rels/sheet7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1.bin"/><Relationship Id="rId1" Type="http://schemas.openxmlformats.org/officeDocument/2006/relationships/printerSettings" Target="../printerSettings/printerSettings1280.bin"/></Relationships>
</file>

<file path=xl/worksheets/_rels/sheet7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3.bin"/><Relationship Id="rId1" Type="http://schemas.openxmlformats.org/officeDocument/2006/relationships/printerSettings" Target="../printerSettings/printerSettings1282.bin"/></Relationships>
</file>

<file path=xl/worksheets/_rels/sheet7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5.bin"/><Relationship Id="rId1" Type="http://schemas.openxmlformats.org/officeDocument/2006/relationships/printerSettings" Target="../printerSettings/printerSettings128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7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7.bin"/><Relationship Id="rId1" Type="http://schemas.openxmlformats.org/officeDocument/2006/relationships/printerSettings" Target="../printerSettings/printerSettings1286.bin"/></Relationships>
</file>

<file path=xl/worksheets/_rels/sheet7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9.bin"/><Relationship Id="rId1" Type="http://schemas.openxmlformats.org/officeDocument/2006/relationships/printerSettings" Target="../printerSettings/printerSettings1288.bin"/></Relationships>
</file>

<file path=xl/worksheets/_rels/sheet7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1.bin"/><Relationship Id="rId1" Type="http://schemas.openxmlformats.org/officeDocument/2006/relationships/printerSettings" Target="../printerSettings/printerSettings1290.bin"/></Relationships>
</file>

<file path=xl/worksheets/_rels/sheet7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3.bin"/><Relationship Id="rId1" Type="http://schemas.openxmlformats.org/officeDocument/2006/relationships/printerSettings" Target="../printerSettings/printerSettings1292.bin"/></Relationships>
</file>

<file path=xl/worksheets/_rels/sheet7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5.bin"/><Relationship Id="rId1" Type="http://schemas.openxmlformats.org/officeDocument/2006/relationships/printerSettings" Target="../printerSettings/printerSettings1294.bin"/></Relationships>
</file>

<file path=xl/worksheets/_rels/sheet7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7.bin"/><Relationship Id="rId1" Type="http://schemas.openxmlformats.org/officeDocument/2006/relationships/printerSettings" Target="../printerSettings/printerSettings1296.bin"/></Relationships>
</file>

<file path=xl/worksheets/_rels/sheet7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9.bin"/><Relationship Id="rId1" Type="http://schemas.openxmlformats.org/officeDocument/2006/relationships/printerSettings" Target="../printerSettings/printerSettings1298.bin"/></Relationships>
</file>

<file path=xl/worksheets/_rels/sheet7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1.bin"/><Relationship Id="rId1" Type="http://schemas.openxmlformats.org/officeDocument/2006/relationships/printerSettings" Target="../printerSettings/printerSettings1300.bin"/></Relationships>
</file>

<file path=xl/worksheets/_rels/sheet7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3.bin"/><Relationship Id="rId1" Type="http://schemas.openxmlformats.org/officeDocument/2006/relationships/printerSettings" Target="../printerSettings/printerSettings1302.bin"/></Relationships>
</file>

<file path=xl/worksheets/_rels/sheet7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5.bin"/><Relationship Id="rId1" Type="http://schemas.openxmlformats.org/officeDocument/2006/relationships/printerSettings" Target="../printerSettings/printerSettings130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/Relationships>
</file>

<file path=xl/worksheets/_rels/sheet7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7.bin"/><Relationship Id="rId1" Type="http://schemas.openxmlformats.org/officeDocument/2006/relationships/printerSettings" Target="../printerSettings/printerSettings1306.bin"/></Relationships>
</file>

<file path=xl/worksheets/_rels/sheet7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9.bin"/><Relationship Id="rId1" Type="http://schemas.openxmlformats.org/officeDocument/2006/relationships/printerSettings" Target="../printerSettings/printerSettings1308.bin"/></Relationships>
</file>

<file path=xl/worksheets/_rels/sheet7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1.bin"/><Relationship Id="rId1" Type="http://schemas.openxmlformats.org/officeDocument/2006/relationships/printerSettings" Target="../printerSettings/printerSettings1310.bin"/></Relationships>
</file>

<file path=xl/worksheets/_rels/sheet7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3.bin"/><Relationship Id="rId1" Type="http://schemas.openxmlformats.org/officeDocument/2006/relationships/printerSettings" Target="../printerSettings/printerSettings1312.bin"/></Relationships>
</file>

<file path=xl/worksheets/_rels/sheet7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5.bin"/><Relationship Id="rId1" Type="http://schemas.openxmlformats.org/officeDocument/2006/relationships/printerSettings" Target="../printerSettings/printerSettings1314.bin"/></Relationships>
</file>

<file path=xl/worksheets/_rels/sheet7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7.bin"/><Relationship Id="rId1" Type="http://schemas.openxmlformats.org/officeDocument/2006/relationships/printerSettings" Target="../printerSettings/printerSettings1316.bin"/></Relationships>
</file>

<file path=xl/worksheets/_rels/sheet7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9.bin"/><Relationship Id="rId1" Type="http://schemas.openxmlformats.org/officeDocument/2006/relationships/printerSettings" Target="../printerSettings/printerSettings1318.bin"/></Relationships>
</file>

<file path=xl/worksheets/_rels/sheet7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1.bin"/><Relationship Id="rId1" Type="http://schemas.openxmlformats.org/officeDocument/2006/relationships/printerSettings" Target="../printerSettings/printerSettings1320.bin"/></Relationships>
</file>

<file path=xl/worksheets/_rels/sheet7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3.bin"/><Relationship Id="rId1" Type="http://schemas.openxmlformats.org/officeDocument/2006/relationships/printerSettings" Target="../printerSettings/printerSettings1322.bin"/></Relationships>
</file>

<file path=xl/worksheets/_rels/sheet7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5.bin"/><Relationship Id="rId1" Type="http://schemas.openxmlformats.org/officeDocument/2006/relationships/printerSettings" Target="../printerSettings/printerSettings132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/Relationships>
</file>

<file path=xl/worksheets/_rels/sheet7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7.bin"/><Relationship Id="rId1" Type="http://schemas.openxmlformats.org/officeDocument/2006/relationships/printerSettings" Target="../printerSettings/printerSettings1326.bin"/></Relationships>
</file>

<file path=xl/worksheets/_rels/sheet7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9.bin"/><Relationship Id="rId1" Type="http://schemas.openxmlformats.org/officeDocument/2006/relationships/printerSettings" Target="../printerSettings/printerSettings1328.bin"/></Relationships>
</file>

<file path=xl/worksheets/_rels/sheet7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1.bin"/><Relationship Id="rId1" Type="http://schemas.openxmlformats.org/officeDocument/2006/relationships/printerSettings" Target="../printerSettings/printerSettings1330.bin"/></Relationships>
</file>

<file path=xl/worksheets/_rels/sheet7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3.bin"/><Relationship Id="rId1" Type="http://schemas.openxmlformats.org/officeDocument/2006/relationships/printerSettings" Target="../printerSettings/printerSettings1332.bin"/></Relationships>
</file>

<file path=xl/worksheets/_rels/sheet7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5.bin"/><Relationship Id="rId1" Type="http://schemas.openxmlformats.org/officeDocument/2006/relationships/printerSettings" Target="../printerSettings/printerSettings1334.bin"/></Relationships>
</file>

<file path=xl/worksheets/_rels/sheet7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7.bin"/><Relationship Id="rId1" Type="http://schemas.openxmlformats.org/officeDocument/2006/relationships/printerSettings" Target="../printerSettings/printerSettings1336.bin"/></Relationships>
</file>

<file path=xl/worksheets/_rels/sheet7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9.bin"/><Relationship Id="rId1" Type="http://schemas.openxmlformats.org/officeDocument/2006/relationships/printerSettings" Target="../printerSettings/printerSettings1338.bin"/></Relationships>
</file>

<file path=xl/worksheets/_rels/sheet7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1.bin"/><Relationship Id="rId1" Type="http://schemas.openxmlformats.org/officeDocument/2006/relationships/printerSettings" Target="../printerSettings/printerSettings1340.bin"/></Relationships>
</file>

<file path=xl/worksheets/_rels/sheet7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3.bin"/><Relationship Id="rId1" Type="http://schemas.openxmlformats.org/officeDocument/2006/relationships/printerSettings" Target="../printerSettings/printerSettings1342.bin"/></Relationships>
</file>

<file path=xl/worksheets/_rels/sheet7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5.bin"/><Relationship Id="rId1" Type="http://schemas.openxmlformats.org/officeDocument/2006/relationships/printerSettings" Target="../printerSettings/printerSettings134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.bin"/><Relationship Id="rId1" Type="http://schemas.openxmlformats.org/officeDocument/2006/relationships/printerSettings" Target="../printerSettings/printerSettings120.bin"/></Relationships>
</file>

<file path=xl/worksheets/_rels/sheet7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7.bin"/><Relationship Id="rId1" Type="http://schemas.openxmlformats.org/officeDocument/2006/relationships/printerSettings" Target="../printerSettings/printerSettings1346.bin"/></Relationships>
</file>

<file path=xl/worksheets/_rels/sheet7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9.bin"/><Relationship Id="rId1" Type="http://schemas.openxmlformats.org/officeDocument/2006/relationships/printerSettings" Target="../printerSettings/printerSettings1348.bin"/></Relationships>
</file>

<file path=xl/worksheets/_rels/sheet7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1.bin"/><Relationship Id="rId1" Type="http://schemas.openxmlformats.org/officeDocument/2006/relationships/printerSettings" Target="../printerSettings/printerSettings1350.bin"/></Relationships>
</file>

<file path=xl/worksheets/_rels/sheet7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3.bin"/><Relationship Id="rId1" Type="http://schemas.openxmlformats.org/officeDocument/2006/relationships/printerSettings" Target="../printerSettings/printerSettings1352.bin"/></Relationships>
</file>

<file path=xl/worksheets/_rels/sheet7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5.bin"/><Relationship Id="rId1" Type="http://schemas.openxmlformats.org/officeDocument/2006/relationships/printerSettings" Target="../printerSettings/printerSettings1354.bin"/></Relationships>
</file>

<file path=xl/worksheets/_rels/sheet7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7.bin"/><Relationship Id="rId1" Type="http://schemas.openxmlformats.org/officeDocument/2006/relationships/printerSettings" Target="../printerSettings/printerSettings1356.bin"/></Relationships>
</file>

<file path=xl/worksheets/_rels/sheet7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9.bin"/><Relationship Id="rId1" Type="http://schemas.openxmlformats.org/officeDocument/2006/relationships/printerSettings" Target="../printerSettings/printerSettings1358.bin"/></Relationships>
</file>

<file path=xl/worksheets/_rels/sheet7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1.bin"/><Relationship Id="rId1" Type="http://schemas.openxmlformats.org/officeDocument/2006/relationships/printerSettings" Target="../printerSettings/printerSettings1360.bin"/></Relationships>
</file>

<file path=xl/worksheets/_rels/sheet7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3.bin"/><Relationship Id="rId1" Type="http://schemas.openxmlformats.org/officeDocument/2006/relationships/printerSettings" Target="../printerSettings/printerSettings1362.bin"/></Relationships>
</file>

<file path=xl/worksheets/_rels/sheet7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5.bin"/><Relationship Id="rId1" Type="http://schemas.openxmlformats.org/officeDocument/2006/relationships/printerSettings" Target="../printerSettings/printerSettings1364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.bin"/><Relationship Id="rId1" Type="http://schemas.openxmlformats.org/officeDocument/2006/relationships/printerSettings" Target="../printerSettings/printerSettings122.bin"/></Relationships>
</file>

<file path=xl/worksheets/_rels/sheet7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7.bin"/><Relationship Id="rId1" Type="http://schemas.openxmlformats.org/officeDocument/2006/relationships/printerSettings" Target="../printerSettings/printerSettings136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.bin"/><Relationship Id="rId1" Type="http://schemas.openxmlformats.org/officeDocument/2006/relationships/printerSettings" Target="../printerSettings/printerSettings124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9.bin"/><Relationship Id="rId1" Type="http://schemas.openxmlformats.org/officeDocument/2006/relationships/printerSettings" Target="../printerSettings/printerSettings128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.bin"/><Relationship Id="rId1" Type="http://schemas.openxmlformats.org/officeDocument/2006/relationships/printerSettings" Target="../printerSettings/printerSettings13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3.bin"/><Relationship Id="rId1" Type="http://schemas.openxmlformats.org/officeDocument/2006/relationships/printerSettings" Target="../printerSettings/printerSettings13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5.bin"/><Relationship Id="rId1" Type="http://schemas.openxmlformats.org/officeDocument/2006/relationships/printerSettings" Target="../printerSettings/printerSettings13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9.bin"/><Relationship Id="rId1" Type="http://schemas.openxmlformats.org/officeDocument/2006/relationships/printerSettings" Target="../printerSettings/printerSettings138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40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3.bin"/><Relationship Id="rId1" Type="http://schemas.openxmlformats.org/officeDocument/2006/relationships/printerSettings" Target="../printerSettings/printerSettings14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5.bin"/><Relationship Id="rId1" Type="http://schemas.openxmlformats.org/officeDocument/2006/relationships/printerSettings" Target="../printerSettings/printerSettings144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8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6.bin"/><Relationship Id="rId1" Type="http://schemas.openxmlformats.org/officeDocument/2006/relationships/printerSettings" Target="../printerSettings/printerSettings15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03E8-2741-484F-A0CC-4EB5C39D46C1}">
  <sheetPr>
    <pageSetUpPr fitToPage="1"/>
  </sheetPr>
  <dimension ref="A1:H56"/>
  <sheetViews>
    <sheetView workbookViewId="0">
      <selection activeCell="H12" sqref="H12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1.5703125" style="1" customWidth="1"/>
    <col min="4" max="4" width="23" style="1" customWidth="1"/>
    <col min="5" max="5" width="1.71093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8931</v>
      </c>
      <c r="H9" s="91"/>
    </row>
    <row r="10" spans="1:8" x14ac:dyDescent="0.2">
      <c r="A10" s="91" t="s">
        <v>8934</v>
      </c>
      <c r="B10" s="91"/>
      <c r="C10" s="91"/>
      <c r="D10" s="91"/>
      <c r="E10" s="91"/>
      <c r="F10" s="92" t="s">
        <v>1357</v>
      </c>
      <c r="G10" s="92" t="s">
        <v>8933</v>
      </c>
      <c r="H10" s="91"/>
    </row>
    <row r="11" spans="1:8" x14ac:dyDescent="0.2">
      <c r="A11" s="91" t="s">
        <v>8935</v>
      </c>
      <c r="B11" s="91"/>
      <c r="C11" s="91"/>
      <c r="D11" s="91"/>
      <c r="E11" s="91"/>
      <c r="F11" s="92" t="s">
        <v>1330</v>
      </c>
      <c r="G11" s="92" t="s">
        <v>2625</v>
      </c>
      <c r="H11" s="91"/>
    </row>
    <row r="12" spans="1:8" x14ac:dyDescent="0.2">
      <c r="A12" s="91" t="s">
        <v>8936</v>
      </c>
      <c r="B12" s="91"/>
      <c r="C12" s="91"/>
      <c r="D12" s="91"/>
      <c r="E12" s="91"/>
      <c r="F12" s="92" t="s">
        <v>1224</v>
      </c>
      <c r="G12" s="94" t="s">
        <v>8932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513" t="s">
        <v>128</v>
      </c>
      <c r="C16" s="513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8937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/>
      <c r="E19" s="2"/>
      <c r="F19" s="91"/>
      <c r="G19" s="91"/>
      <c r="H19" s="91"/>
    </row>
    <row r="20" spans="1:8" x14ac:dyDescent="0.2">
      <c r="A20" s="106"/>
      <c r="B20" s="91"/>
      <c r="C20" s="91"/>
      <c r="D20" s="91" t="s">
        <v>8938</v>
      </c>
      <c r="E20" s="91"/>
      <c r="F20" s="91"/>
      <c r="G20" s="91"/>
      <c r="H20" s="91">
        <f>2800/31*9</f>
        <v>812.9032258064517</v>
      </c>
    </row>
    <row r="21" spans="1:8" x14ac:dyDescent="0.2">
      <c r="A21" s="105"/>
      <c r="B21" s="91"/>
      <c r="C21" s="91"/>
      <c r="D21" s="91" t="s">
        <v>8939</v>
      </c>
      <c r="E21" s="91"/>
      <c r="F21" s="91"/>
      <c r="G21" s="91"/>
      <c r="H21" s="91"/>
    </row>
    <row r="22" spans="1:8" x14ac:dyDescent="0.2">
      <c r="A22" s="137"/>
      <c r="B22" s="91"/>
      <c r="C22" s="91"/>
      <c r="D22" s="91"/>
      <c r="E22" s="91"/>
      <c r="F22" s="91"/>
      <c r="G22" s="91"/>
      <c r="H22" s="91"/>
    </row>
    <row r="23" spans="1:8" x14ac:dyDescent="0.2">
      <c r="A23" s="106"/>
      <c r="B23" s="91"/>
      <c r="C23" s="91"/>
      <c r="D23" s="91" t="s">
        <v>8940</v>
      </c>
      <c r="E23" s="91"/>
      <c r="F23" s="91"/>
      <c r="G23" s="91"/>
      <c r="H23" s="91">
        <v>-91</v>
      </c>
    </row>
    <row r="24" spans="1:8" x14ac:dyDescent="0.2">
      <c r="A24" s="91"/>
      <c r="B24" s="91"/>
      <c r="C24" s="91"/>
      <c r="D24" s="91" t="s">
        <v>8941</v>
      </c>
      <c r="E24" s="91"/>
      <c r="F24" s="91"/>
      <c r="G24" s="91"/>
      <c r="H24" s="91">
        <v>-4.25</v>
      </c>
    </row>
    <row r="25" spans="1:8" x14ac:dyDescent="0.2">
      <c r="A25" s="137"/>
      <c r="B25" s="91"/>
      <c r="C25" s="91"/>
      <c r="D25" s="91" t="s">
        <v>8942</v>
      </c>
      <c r="E25" s="91"/>
      <c r="F25" s="91"/>
      <c r="G25" s="91"/>
      <c r="H25" s="91">
        <v>-1.7</v>
      </c>
    </row>
    <row r="26" spans="1:8" x14ac:dyDescent="0.2">
      <c r="A26" s="106"/>
      <c r="B26" s="91"/>
      <c r="C26" s="91"/>
    </row>
    <row r="27" spans="1:8" x14ac:dyDescent="0.2">
      <c r="A27" s="91"/>
      <c r="B27" s="91"/>
      <c r="C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715.95322580645166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 Hundred Fifteen and 95/100 -----------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514"/>
      <c r="E42" s="514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93"/>
  <dimension ref="A1:F53"/>
  <sheetViews>
    <sheetView topLeftCell="A2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.28515625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</row>
    <row r="10" spans="1:6" x14ac:dyDescent="0.2">
      <c r="D10" s="92" t="s">
        <v>1329</v>
      </c>
    </row>
    <row r="11" spans="1:6" x14ac:dyDescent="0.2">
      <c r="D11" s="92" t="s">
        <v>1330</v>
      </c>
    </row>
    <row r="12" spans="1:6" x14ac:dyDescent="0.2">
      <c r="D12" s="92" t="s">
        <v>1331</v>
      </c>
      <c r="E12" s="94"/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3" x14ac:dyDescent="0.2">
      <c r="A17" s="106"/>
    </row>
    <row r="18" spans="1:3" x14ac:dyDescent="0.2">
      <c r="C18" s="2"/>
    </row>
    <row r="19" spans="1:3" x14ac:dyDescent="0.2">
      <c r="A19" s="106"/>
      <c r="C19" s="2"/>
    </row>
    <row r="20" spans="1:3" x14ac:dyDescent="0.2">
      <c r="A20" s="93"/>
      <c r="B20" s="99"/>
    </row>
    <row r="21" spans="1:3" x14ac:dyDescent="0.2">
      <c r="A21" s="93"/>
      <c r="B21" s="94"/>
    </row>
    <row r="22" spans="1:3" x14ac:dyDescent="0.2">
      <c r="A22" s="93"/>
      <c r="B22" s="99"/>
    </row>
    <row r="25" spans="1:3" x14ac:dyDescent="0.2">
      <c r="A25" s="137"/>
      <c r="B25" s="99"/>
    </row>
    <row r="27" spans="1:3" x14ac:dyDescent="0.2">
      <c r="C27" s="2"/>
    </row>
    <row r="28" spans="1:3" x14ac:dyDescent="0.2">
      <c r="C28" s="2"/>
    </row>
    <row r="29" spans="1:3" x14ac:dyDescent="0.2">
      <c r="A29" s="93"/>
      <c r="B29" s="99"/>
    </row>
    <row r="30" spans="1:3" x14ac:dyDescent="0.2">
      <c r="A30" s="93"/>
      <c r="B30" s="99"/>
    </row>
    <row r="31" spans="1:3" x14ac:dyDescent="0.2">
      <c r="A31" s="99"/>
    </row>
    <row r="32" spans="1:3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/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20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610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4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7269</v>
      </c>
    </row>
    <row r="10" spans="1:6" x14ac:dyDescent="0.2">
      <c r="A10" s="91" t="s">
        <v>5914</v>
      </c>
      <c r="D10" s="92" t="s">
        <v>1329</v>
      </c>
      <c r="E10" s="91" t="s">
        <v>5912</v>
      </c>
    </row>
    <row r="11" spans="1:6" x14ac:dyDescent="0.2">
      <c r="A11" s="91" t="s">
        <v>5915</v>
      </c>
      <c r="D11" s="92" t="s">
        <v>1330</v>
      </c>
      <c r="E11" s="91" t="s">
        <v>1220</v>
      </c>
    </row>
    <row r="12" spans="1:6" x14ac:dyDescent="0.2">
      <c r="A12" s="91" t="s">
        <v>5916</v>
      </c>
      <c r="D12" s="92" t="s">
        <v>1331</v>
      </c>
      <c r="E12" s="91" t="s">
        <v>5913</v>
      </c>
    </row>
    <row r="13" spans="1:6" x14ac:dyDescent="0.2">
      <c r="A13" s="91" t="s">
        <v>4650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5708</v>
      </c>
    </row>
    <row r="19" spans="1:6" x14ac:dyDescent="0.2">
      <c r="A19" s="106"/>
      <c r="C19" s="2"/>
    </row>
    <row r="20" spans="1:6" x14ac:dyDescent="0.2">
      <c r="A20" s="93" t="s">
        <v>5813</v>
      </c>
      <c r="B20" s="93" t="s">
        <v>5917</v>
      </c>
      <c r="C20" s="91" t="s">
        <v>5918</v>
      </c>
      <c r="F20" s="91">
        <v>6500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2147</v>
      </c>
      <c r="F22" s="91">
        <f>F20*6%</f>
        <v>390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6890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Thousand Eight Hundred Ninety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618">
    <pageSetUpPr fitToPage="1"/>
  </sheetPr>
  <dimension ref="A1:J54"/>
  <sheetViews>
    <sheetView zoomScaleNormal="100" workbookViewId="0">
      <selection activeCell="G9" sqref="G9:G13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" style="1" customWidth="1"/>
    <col min="4" max="4" width="23" style="1" customWidth="1"/>
    <col min="5" max="5" width="0.5703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155" t="s">
        <v>8293</v>
      </c>
      <c r="H9" s="91"/>
    </row>
    <row r="10" spans="1:8" x14ac:dyDescent="0.2">
      <c r="A10" s="91" t="s">
        <v>5985</v>
      </c>
      <c r="B10" s="91"/>
      <c r="C10" s="91"/>
      <c r="D10" s="91"/>
      <c r="E10" s="91"/>
      <c r="F10" s="92" t="s">
        <v>1357</v>
      </c>
      <c r="G10" s="155" t="s">
        <v>8265</v>
      </c>
      <c r="H10" s="91"/>
    </row>
    <row r="11" spans="1:8" x14ac:dyDescent="0.2">
      <c r="A11" s="91" t="s">
        <v>5984</v>
      </c>
      <c r="B11" s="91"/>
      <c r="C11" s="91"/>
      <c r="D11" s="91"/>
      <c r="E11" s="91"/>
      <c r="F11" s="92" t="s">
        <v>1330</v>
      </c>
      <c r="G11" s="155" t="s">
        <v>1220</v>
      </c>
      <c r="H11" s="91"/>
    </row>
    <row r="12" spans="1:8" x14ac:dyDescent="0.2">
      <c r="A12" s="91" t="s">
        <v>6660</v>
      </c>
      <c r="B12" s="91"/>
      <c r="C12" s="91"/>
      <c r="D12" s="91"/>
      <c r="E12" s="91"/>
      <c r="F12" s="92" t="s">
        <v>1377</v>
      </c>
      <c r="G12" s="91" t="s">
        <v>8294</v>
      </c>
      <c r="H12" s="91"/>
    </row>
    <row r="13" spans="1:8" x14ac:dyDescent="0.2">
      <c r="B13" s="91"/>
      <c r="C13" s="91"/>
      <c r="D13" s="91"/>
      <c r="E13" s="91"/>
      <c r="F13" s="91"/>
      <c r="G13" s="91" t="s">
        <v>7931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29"/>
      <c r="D16" s="18" t="s">
        <v>19</v>
      </c>
      <c r="E16" s="18"/>
      <c r="F16" s="17"/>
      <c r="G16" s="16"/>
      <c r="H16" s="15" t="s">
        <v>18</v>
      </c>
    </row>
    <row r="17" spans="1:10" x14ac:dyDescent="0.2">
      <c r="A17" s="91"/>
      <c r="B17" s="91"/>
      <c r="C17" s="91"/>
      <c r="D17" s="91"/>
      <c r="E17" s="91"/>
      <c r="F17" s="91"/>
      <c r="G17" s="91"/>
      <c r="H17" s="91"/>
    </row>
    <row r="18" spans="1:10" x14ac:dyDescent="0.2">
      <c r="A18" s="91"/>
      <c r="B18" s="91"/>
      <c r="C18" s="91"/>
      <c r="D18" s="2" t="s">
        <v>3803</v>
      </c>
      <c r="E18" s="2"/>
      <c r="F18" s="91"/>
      <c r="G18" s="91"/>
      <c r="H18" s="91"/>
    </row>
    <row r="19" spans="1:10" x14ac:dyDescent="0.2">
      <c r="A19" s="92"/>
      <c r="B19" s="93"/>
      <c r="C19" s="93"/>
      <c r="D19" s="2"/>
      <c r="E19" s="2"/>
      <c r="F19" s="91"/>
      <c r="G19" s="91"/>
      <c r="H19" s="91"/>
      <c r="I19" s="91"/>
    </row>
    <row r="20" spans="1:10" x14ac:dyDescent="0.2">
      <c r="A20" s="93" t="s">
        <v>8295</v>
      </c>
      <c r="B20" s="93"/>
      <c r="C20" s="93"/>
      <c r="D20" s="91" t="s">
        <v>8296</v>
      </c>
      <c r="E20" s="91"/>
      <c r="F20" s="91"/>
      <c r="G20" s="91"/>
      <c r="H20" s="91">
        <v>1500</v>
      </c>
      <c r="I20" s="91"/>
    </row>
    <row r="21" spans="1:10" x14ac:dyDescent="0.2">
      <c r="A21" s="93"/>
      <c r="B21" s="94"/>
      <c r="C21" s="94"/>
      <c r="I21" s="91"/>
    </row>
    <row r="22" spans="1:10" x14ac:dyDescent="0.2">
      <c r="A22" s="93"/>
      <c r="B22" s="94"/>
      <c r="C22" s="94"/>
      <c r="D22" s="91"/>
      <c r="E22" s="91"/>
      <c r="F22" s="91"/>
      <c r="G22" s="91"/>
      <c r="H22" s="91"/>
      <c r="I22" s="91"/>
    </row>
    <row r="23" spans="1:10" x14ac:dyDescent="0.2">
      <c r="A23" s="93"/>
      <c r="B23" s="94"/>
      <c r="C23" s="94"/>
      <c r="D23" s="91"/>
      <c r="E23" s="91"/>
      <c r="F23" s="91"/>
      <c r="G23" s="91"/>
      <c r="H23" s="91"/>
      <c r="I23" s="91"/>
      <c r="J23" s="91"/>
    </row>
    <row r="24" spans="1:10" x14ac:dyDescent="0.2">
      <c r="A24" s="93"/>
      <c r="B24" s="94"/>
      <c r="C24" s="94"/>
      <c r="D24" s="91"/>
      <c r="E24" s="91"/>
      <c r="F24" s="91"/>
      <c r="G24" s="91"/>
      <c r="H24" s="91"/>
      <c r="I24" s="91"/>
      <c r="J24" s="91"/>
    </row>
    <row r="25" spans="1:10" x14ac:dyDescent="0.2">
      <c r="A25" s="93"/>
      <c r="B25" s="94"/>
      <c r="C25" s="94"/>
      <c r="D25" s="91"/>
      <c r="E25" s="91"/>
      <c r="F25" s="91"/>
      <c r="G25" s="91"/>
      <c r="H25" s="91"/>
      <c r="I25" s="91"/>
      <c r="J25" s="91"/>
    </row>
    <row r="26" spans="1:10" x14ac:dyDescent="0.2">
      <c r="A26" s="93"/>
      <c r="B26" s="94"/>
      <c r="C26" s="94"/>
      <c r="D26" s="321"/>
      <c r="E26" s="321"/>
      <c r="F26" s="91"/>
      <c r="G26" s="91"/>
      <c r="H26" s="91"/>
      <c r="I26" s="91"/>
    </row>
    <row r="27" spans="1:10" x14ac:dyDescent="0.2">
      <c r="A27" s="93"/>
      <c r="B27" s="94"/>
      <c r="C27" s="94"/>
      <c r="I27" s="91"/>
    </row>
    <row r="28" spans="1:10" x14ac:dyDescent="0.2">
      <c r="A28" s="93"/>
      <c r="B28" s="94"/>
      <c r="C28" s="94"/>
      <c r="I28" s="91"/>
    </row>
    <row r="29" spans="1:10" x14ac:dyDescent="0.2">
      <c r="A29" s="93"/>
      <c r="B29" s="94"/>
      <c r="C29" s="94"/>
      <c r="D29" s="91"/>
      <c r="E29" s="91"/>
      <c r="F29" s="91"/>
      <c r="G29" s="91"/>
      <c r="H29" s="91"/>
      <c r="I29" s="91"/>
    </row>
    <row r="30" spans="1:10" x14ac:dyDescent="0.2">
      <c r="A30" s="93"/>
      <c r="B30" s="94"/>
      <c r="C30" s="94"/>
      <c r="D30" s="91"/>
      <c r="E30" s="91"/>
      <c r="F30" s="91"/>
      <c r="G30" s="91"/>
      <c r="H30" s="91"/>
      <c r="I30" s="91"/>
    </row>
    <row r="31" spans="1:10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0" x14ac:dyDescent="0.2">
      <c r="A32" s="91"/>
      <c r="B32" s="91"/>
      <c r="C32" s="91"/>
      <c r="D32" s="91"/>
      <c r="E32" s="91"/>
      <c r="F32" s="91"/>
      <c r="G32" s="91"/>
      <c r="I32" s="91"/>
    </row>
    <row r="33" spans="1:9" ht="13.5" thickBot="1" x14ac:dyDescent="0.25">
      <c r="A33" s="91"/>
      <c r="B33" s="91"/>
      <c r="C33" s="91"/>
      <c r="D33" s="91"/>
      <c r="E33" s="91"/>
      <c r="F33" s="91"/>
      <c r="G33" s="91"/>
      <c r="H33" s="107">
        <f>SUM(H20:H32)</f>
        <v>1500</v>
      </c>
      <c r="I33" s="91"/>
    </row>
    <row r="34" spans="1:9" ht="13.5" thickTop="1" x14ac:dyDescent="0.2">
      <c r="A34" s="91"/>
      <c r="B34" s="91"/>
      <c r="C34" s="91"/>
      <c r="D34" s="91"/>
      <c r="E34" s="91"/>
      <c r="F34" s="91"/>
      <c r="G34" s="91"/>
      <c r="H34" s="91"/>
      <c r="I34" s="91"/>
    </row>
    <row r="35" spans="1:9" ht="20.100000000000001" customHeight="1" x14ac:dyDescent="0.2">
      <c r="A35" s="96" t="s">
        <v>122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Five Hundred and NO/100 -----------</v>
      </c>
      <c r="C35" s="185"/>
      <c r="D35" s="97"/>
      <c r="E35" s="97"/>
      <c r="F35" s="97"/>
      <c r="G35" s="97"/>
      <c r="H35" s="97"/>
      <c r="I35" s="91"/>
    </row>
    <row r="36" spans="1:9" x14ac:dyDescent="0.2">
      <c r="A36" s="94" t="s">
        <v>11</v>
      </c>
      <c r="B36" s="91"/>
      <c r="C36" s="91"/>
      <c r="D36" s="91"/>
      <c r="E36" s="91"/>
      <c r="F36" s="91"/>
      <c r="G36" s="91"/>
      <c r="H36" s="91"/>
    </row>
    <row r="37" spans="1:9" ht="25.5" x14ac:dyDescent="0.2">
      <c r="A37" s="320" t="s">
        <v>10</v>
      </c>
      <c r="B37" s="91"/>
      <c r="C37" s="91"/>
      <c r="D37" s="91"/>
      <c r="E37" s="91"/>
      <c r="F37" s="218" t="s">
        <v>3975</v>
      </c>
      <c r="G37" s="219"/>
      <c r="H37" s="220"/>
    </row>
    <row r="38" spans="1:9" x14ac:dyDescent="0.2">
      <c r="A38" s="91"/>
      <c r="B38" s="91"/>
      <c r="C38" s="91"/>
      <c r="D38" s="91"/>
      <c r="E38" s="91"/>
      <c r="F38" s="91"/>
      <c r="G38" s="91"/>
      <c r="H38" s="91"/>
    </row>
    <row r="39" spans="1:9" x14ac:dyDescent="0.2">
      <c r="A39" s="61"/>
      <c r="B39" s="91"/>
      <c r="C39" s="91"/>
      <c r="D39" s="91"/>
      <c r="E39" s="91"/>
    </row>
    <row r="40" spans="1:9" x14ac:dyDescent="0.2">
      <c r="A40" s="91"/>
      <c r="B40" s="91"/>
      <c r="C40" s="91"/>
      <c r="D40" s="99"/>
      <c r="E40" s="430"/>
      <c r="F40" s="91"/>
      <c r="G40" s="91"/>
      <c r="H40" s="91"/>
    </row>
    <row r="41" spans="1:9" x14ac:dyDescent="0.2">
      <c r="A41" s="101"/>
      <c r="B41" s="101"/>
      <c r="C41" s="386"/>
      <c r="D41" s="91"/>
      <c r="E41" s="91"/>
      <c r="F41" s="91"/>
      <c r="G41" s="91"/>
      <c r="H41" s="91"/>
    </row>
    <row r="42" spans="1:9" x14ac:dyDescent="0.2">
      <c r="B42" s="91"/>
      <c r="C42" s="91"/>
      <c r="D42" s="91"/>
      <c r="E42" s="91"/>
      <c r="F42" s="91"/>
      <c r="G42" s="91"/>
      <c r="H42" s="91"/>
    </row>
    <row r="43" spans="1:9" x14ac:dyDescent="0.2">
      <c r="A43" s="98" t="s">
        <v>8</v>
      </c>
      <c r="D43" s="98" t="s">
        <v>8</v>
      </c>
      <c r="E43" s="91"/>
      <c r="F43" s="98" t="s">
        <v>7</v>
      </c>
      <c r="G43" s="91"/>
      <c r="H43" s="102"/>
    </row>
    <row r="44" spans="1:9" x14ac:dyDescent="0.2">
      <c r="A44" s="91"/>
      <c r="B44" s="91"/>
      <c r="C44" s="91"/>
      <c r="D44" s="91"/>
      <c r="E44" s="91"/>
      <c r="F44" s="91"/>
      <c r="G44" s="91"/>
      <c r="H44" s="91"/>
    </row>
    <row r="45" spans="1:9" x14ac:dyDescent="0.2">
      <c r="A45" s="91"/>
      <c r="B45" s="91"/>
      <c r="C45" s="91"/>
      <c r="D45" s="91"/>
      <c r="E45" s="91"/>
      <c r="F45" s="91"/>
      <c r="G45" s="91"/>
      <c r="H45" s="91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101"/>
      <c r="B47" s="101"/>
      <c r="C47" s="386"/>
      <c r="D47" s="101"/>
      <c r="E47" s="91"/>
      <c r="F47" s="101"/>
      <c r="G47" s="101"/>
      <c r="H47" s="101"/>
    </row>
    <row r="48" spans="1:9" s="3" customFormat="1" ht="17.100000000000001" customHeight="1" x14ac:dyDescent="0.2">
      <c r="A48" s="103" t="s">
        <v>4066</v>
      </c>
      <c r="B48" s="104"/>
      <c r="C48" s="104"/>
      <c r="D48" s="103" t="s">
        <v>50</v>
      </c>
      <c r="E48" s="61"/>
      <c r="F48" s="61" t="s">
        <v>3</v>
      </c>
      <c r="G48" s="61"/>
      <c r="H48" s="61"/>
    </row>
    <row r="49" spans="1:8" x14ac:dyDescent="0.2">
      <c r="A49" s="91"/>
      <c r="B49" s="91"/>
      <c r="C49" s="91"/>
      <c r="D49" s="91"/>
      <c r="E49" s="91"/>
      <c r="F49" s="91" t="s">
        <v>2</v>
      </c>
      <c r="G49" s="91"/>
      <c r="H49" s="91"/>
    </row>
    <row r="50" spans="1:8" x14ac:dyDescent="0.2">
      <c r="A50" s="103"/>
      <c r="B50" s="91"/>
      <c r="C50" s="91"/>
      <c r="D50" s="91"/>
      <c r="E50" s="91"/>
      <c r="F50" s="91"/>
      <c r="G50" s="91"/>
      <c r="H50" s="91"/>
    </row>
    <row r="51" spans="1:8" x14ac:dyDescent="0.2">
      <c r="A51" s="91"/>
      <c r="B51" s="91"/>
      <c r="C51" s="91"/>
      <c r="D51" s="91"/>
      <c r="E51" s="91"/>
      <c r="F51" s="2" t="s">
        <v>1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2" t="s">
        <v>0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562">
    <pageSetUpPr fitToPage="1"/>
  </sheetPr>
  <dimension ref="A1:I54"/>
  <sheetViews>
    <sheetView workbookViewId="0">
      <selection activeCell="F34" sqref="F34"/>
    </sheetView>
  </sheetViews>
  <sheetFormatPr defaultRowHeight="12.75" x14ac:dyDescent="0.2"/>
  <cols>
    <col min="1" max="1" width="15.7109375" style="153" customWidth="1"/>
    <col min="2" max="2" width="14.140625" style="153" customWidth="1"/>
    <col min="3" max="3" width="1.28515625" style="153" customWidth="1"/>
    <col min="4" max="4" width="21" style="153" customWidth="1"/>
    <col min="5" max="5" width="1.140625" style="153" customWidth="1"/>
    <col min="6" max="6" width="16.42578125" style="153" customWidth="1"/>
    <col min="7" max="7" width="8.7109375" style="153" customWidth="1"/>
    <col min="8" max="8" width="13.28515625" style="153" customWidth="1"/>
    <col min="9" max="16384" width="9.140625" style="152"/>
  </cols>
  <sheetData>
    <row r="1" spans="1:9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9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9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9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9" x14ac:dyDescent="0.2">
      <c r="A8" s="153" t="s">
        <v>32</v>
      </c>
      <c r="F8" s="154" t="s">
        <v>31</v>
      </c>
    </row>
    <row r="9" spans="1:9" x14ac:dyDescent="0.2">
      <c r="A9" s="153" t="s">
        <v>5520</v>
      </c>
      <c r="F9" s="155" t="s">
        <v>1334</v>
      </c>
      <c r="G9" s="91" t="s">
        <v>5519</v>
      </c>
      <c r="I9" s="156"/>
    </row>
    <row r="10" spans="1:9" x14ac:dyDescent="0.2">
      <c r="A10" s="153" t="s">
        <v>5521</v>
      </c>
      <c r="F10" s="155" t="s">
        <v>1335</v>
      </c>
      <c r="G10" s="92" t="s">
        <v>5518</v>
      </c>
      <c r="I10" s="197"/>
    </row>
    <row r="11" spans="1:9" x14ac:dyDescent="0.2">
      <c r="A11" s="153" t="s">
        <v>5522</v>
      </c>
      <c r="F11" s="155" t="s">
        <v>1333</v>
      </c>
      <c r="G11" s="92" t="s">
        <v>1220</v>
      </c>
      <c r="I11" s="197"/>
    </row>
    <row r="12" spans="1:9" x14ac:dyDescent="0.2">
      <c r="A12" s="153" t="s">
        <v>5523</v>
      </c>
      <c r="F12" s="155" t="s">
        <v>1331</v>
      </c>
      <c r="G12" s="94" t="s">
        <v>770</v>
      </c>
      <c r="I12" s="197"/>
    </row>
    <row r="16" spans="1:9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8" spans="1:8" x14ac:dyDescent="0.2">
      <c r="A18" s="168"/>
      <c r="B18" s="187"/>
      <c r="C18" s="187"/>
      <c r="D18" s="163" t="s">
        <v>5524</v>
      </c>
      <c r="E18" s="163"/>
    </row>
    <row r="19" spans="1:8" x14ac:dyDescent="0.2">
      <c r="A19" s="168"/>
      <c r="B19" s="187"/>
      <c r="C19" s="187"/>
      <c r="D19" s="163"/>
      <c r="E19" s="163"/>
    </row>
    <row r="20" spans="1:8" x14ac:dyDescent="0.2">
      <c r="A20" s="168"/>
      <c r="B20" s="187"/>
      <c r="C20" s="187"/>
      <c r="D20" s="153" t="s">
        <v>4930</v>
      </c>
      <c r="H20" s="153">
        <f>1449.88*4.4833</f>
        <v>6500.2470039999998</v>
      </c>
    </row>
    <row r="21" spans="1:8" x14ac:dyDescent="0.2">
      <c r="A21" s="168"/>
      <c r="B21" s="187"/>
      <c r="C21" s="187"/>
    </row>
    <row r="22" spans="1:8" x14ac:dyDescent="0.2">
      <c r="D22" s="153" t="s">
        <v>5525</v>
      </c>
    </row>
    <row r="24" spans="1:8" x14ac:dyDescent="0.2">
      <c r="A24" s="168"/>
      <c r="B24" s="180"/>
      <c r="C24" s="180"/>
    </row>
    <row r="25" spans="1:8" x14ac:dyDescent="0.2">
      <c r="A25" s="168"/>
      <c r="B25" s="168"/>
      <c r="C25" s="168"/>
      <c r="D25" s="163"/>
      <c r="E25" s="163"/>
      <c r="H25" s="110"/>
    </row>
    <row r="26" spans="1:8" x14ac:dyDescent="0.2">
      <c r="A26" s="187"/>
      <c r="B26" s="168"/>
      <c r="C26" s="168"/>
    </row>
    <row r="27" spans="1:8" x14ac:dyDescent="0.2">
      <c r="A27" s="187"/>
      <c r="B27" s="173"/>
      <c r="C27" s="173"/>
    </row>
    <row r="28" spans="1:8" x14ac:dyDescent="0.2">
      <c r="A28" s="168"/>
      <c r="B28" s="173"/>
      <c r="C28" s="173"/>
    </row>
    <row r="29" spans="1:8" x14ac:dyDescent="0.2">
      <c r="A29" s="187"/>
      <c r="B29" s="168"/>
      <c r="C29" s="168"/>
    </row>
    <row r="30" spans="1:8" x14ac:dyDescent="0.2">
      <c r="A30" s="187"/>
      <c r="B30" s="168"/>
      <c r="C30" s="168"/>
    </row>
    <row r="31" spans="1:8" x14ac:dyDescent="0.2">
      <c r="A31" s="187"/>
      <c r="B31" s="168"/>
      <c r="C31" s="168"/>
    </row>
    <row r="32" spans="1:8" x14ac:dyDescent="0.2">
      <c r="A32" s="180"/>
      <c r="B32" s="173"/>
      <c r="C32" s="173"/>
    </row>
    <row r="35" spans="1:8" ht="13.5" thickBot="1" x14ac:dyDescent="0.25">
      <c r="H35" s="182">
        <f>SUM(H19:H34)</f>
        <v>6500.2470039999998</v>
      </c>
    </row>
    <row r="36" spans="1:8" ht="13.5" thickTop="1" x14ac:dyDescent="0.2"/>
    <row r="37" spans="1:8" ht="20.100000000000001" customHeight="1" x14ac:dyDescent="0.2">
      <c r="A37" s="171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Thousand Five Hundred and 25/100 -----------</v>
      </c>
      <c r="C37" s="213"/>
      <c r="D37" s="172"/>
      <c r="E37" s="221"/>
      <c r="F37" s="221"/>
      <c r="G37" s="221"/>
      <c r="H37" s="221"/>
    </row>
    <row r="38" spans="1:8" ht="20.100000000000001" customHeight="1" x14ac:dyDescent="0.2">
      <c r="A38" s="197"/>
      <c r="B38" s="225"/>
      <c r="C38" s="225"/>
      <c r="D38" s="156"/>
      <c r="E38" s="156"/>
      <c r="F38" s="221"/>
      <c r="G38" s="221"/>
      <c r="H38" s="221"/>
    </row>
    <row r="39" spans="1:8" ht="25.5" x14ac:dyDescent="0.2">
      <c r="A39" s="169" t="s">
        <v>3973</v>
      </c>
      <c r="F39" s="242" t="s">
        <v>3975</v>
      </c>
      <c r="G39" s="243"/>
      <c r="H39" s="244"/>
    </row>
    <row r="40" spans="1:8" x14ac:dyDescent="0.2">
      <c r="F40" s="259"/>
      <c r="G40" s="260"/>
      <c r="H40" s="260"/>
    </row>
    <row r="41" spans="1:8" x14ac:dyDescent="0.2">
      <c r="A41" s="152"/>
      <c r="D41" s="173"/>
      <c r="E41" s="173"/>
    </row>
    <row r="42" spans="1:8" x14ac:dyDescent="0.2">
      <c r="A42" s="153" t="s">
        <v>121</v>
      </c>
      <c r="D42" s="173"/>
      <c r="E42" s="173"/>
    </row>
    <row r="43" spans="1:8" x14ac:dyDescent="0.2">
      <c r="A43" s="174"/>
      <c r="B43" s="174"/>
    </row>
    <row r="45" spans="1:8" x14ac:dyDescent="0.2">
      <c r="A45" s="175" t="s">
        <v>8</v>
      </c>
      <c r="D45" s="91" t="s">
        <v>8</v>
      </c>
      <c r="F45" s="175" t="s">
        <v>7</v>
      </c>
      <c r="H45" s="176"/>
    </row>
    <row r="46" spans="1:8" x14ac:dyDescent="0.2">
      <c r="D46" s="98"/>
    </row>
    <row r="47" spans="1:8" x14ac:dyDescent="0.2">
      <c r="D47" s="98"/>
    </row>
    <row r="48" spans="1:8" x14ac:dyDescent="0.2">
      <c r="D48" s="98"/>
    </row>
    <row r="49" spans="1:8" x14ac:dyDescent="0.2">
      <c r="A49" s="174"/>
      <c r="B49" s="174"/>
      <c r="D49" s="100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103" t="s">
        <v>50</v>
      </c>
      <c r="E50" s="156"/>
      <c r="F50" s="156" t="s">
        <v>3</v>
      </c>
      <c r="G50" s="156"/>
      <c r="H50" s="156"/>
    </row>
    <row r="51" spans="1:8" x14ac:dyDescent="0.2">
      <c r="D51" s="91"/>
      <c r="F51" s="153" t="s">
        <v>2</v>
      </c>
    </row>
    <row r="53" spans="1:8" x14ac:dyDescent="0.2">
      <c r="F53" s="163" t="s">
        <v>1</v>
      </c>
    </row>
    <row r="54" spans="1:8" x14ac:dyDescent="0.2">
      <c r="F54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546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5349</v>
      </c>
      <c r="F9" s="91"/>
    </row>
    <row r="10" spans="1:6" x14ac:dyDescent="0.2">
      <c r="A10" s="91" t="s">
        <v>5351</v>
      </c>
      <c r="B10" s="91"/>
      <c r="C10" s="91"/>
      <c r="D10" s="92" t="s">
        <v>1357</v>
      </c>
      <c r="E10" s="92" t="s">
        <v>5344</v>
      </c>
      <c r="F10" s="91"/>
    </row>
    <row r="11" spans="1:6" x14ac:dyDescent="0.2">
      <c r="A11" s="91" t="s">
        <v>5352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5353</v>
      </c>
      <c r="B12" s="91"/>
      <c r="C12" s="91"/>
      <c r="D12" s="92" t="s">
        <v>1224</v>
      </c>
      <c r="E12" s="94" t="s">
        <v>5350</v>
      </c>
      <c r="F12" s="91"/>
    </row>
    <row r="13" spans="1:6" x14ac:dyDescent="0.2">
      <c r="A13" s="91" t="s">
        <v>1404</v>
      </c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3803</v>
      </c>
      <c r="D18" s="91"/>
      <c r="E18" s="91"/>
      <c r="F18" s="91"/>
    </row>
    <row r="19" spans="1:6" x14ac:dyDescent="0.2">
      <c r="B19" s="93"/>
      <c r="D19" s="91"/>
      <c r="E19" s="91"/>
      <c r="F19" s="91"/>
    </row>
    <row r="20" spans="1:6" x14ac:dyDescent="0.2">
      <c r="A20" s="93" t="s">
        <v>5354</v>
      </c>
      <c r="B20" s="93" t="s">
        <v>5355</v>
      </c>
      <c r="C20" s="91" t="s">
        <v>5356</v>
      </c>
      <c r="D20" s="91"/>
      <c r="E20" s="91"/>
      <c r="F20" s="91">
        <v>3000</v>
      </c>
    </row>
    <row r="21" spans="1:6" x14ac:dyDescent="0.2">
      <c r="A21" s="92"/>
      <c r="B21" s="91"/>
      <c r="C21" s="91" t="s">
        <v>5357</v>
      </c>
      <c r="D21" s="91"/>
      <c r="E21" s="91"/>
      <c r="F21" s="91"/>
    </row>
    <row r="22" spans="1:6" x14ac:dyDescent="0.2">
      <c r="A22" s="91"/>
      <c r="B22" s="91"/>
    </row>
    <row r="23" spans="1:6" x14ac:dyDescent="0.2">
      <c r="A23" s="91"/>
      <c r="B23" s="91"/>
      <c r="C23" s="91"/>
      <c r="D23" s="91"/>
      <c r="E23" s="91"/>
      <c r="F23" s="91"/>
    </row>
    <row r="24" spans="1:6" x14ac:dyDescent="0.2">
      <c r="A24" s="91"/>
      <c r="B24" s="91"/>
      <c r="C24" s="91"/>
      <c r="D24" s="91"/>
      <c r="E24" s="91"/>
      <c r="F24" s="91"/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</row>
    <row r="33" spans="1:6" ht="13.5" thickBot="1" x14ac:dyDescent="0.25">
      <c r="A33" s="91"/>
      <c r="B33" s="91"/>
      <c r="C33" s="91"/>
      <c r="D33" s="91"/>
      <c r="E33" s="91"/>
      <c r="F33" s="107">
        <f>SUM(F20:F32)</f>
        <v>3000</v>
      </c>
    </row>
    <row r="34" spans="1:6" ht="13.5" thickTop="1" x14ac:dyDescent="0.2">
      <c r="A34" s="91"/>
      <c r="B34" s="91"/>
      <c r="C34" s="91"/>
      <c r="D34" s="91"/>
      <c r="E34" s="91"/>
      <c r="F34" s="91"/>
    </row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and NO/100 -----------</v>
      </c>
      <c r="C35" s="97"/>
      <c r="D35" s="97"/>
      <c r="E35" s="97"/>
      <c r="F35" s="97"/>
    </row>
    <row r="36" spans="1:6" x14ac:dyDescent="0.2">
      <c r="A36" s="94" t="s">
        <v>11</v>
      </c>
      <c r="B36" s="91"/>
      <c r="C36" s="91"/>
      <c r="D36" s="91"/>
      <c r="E36" s="91"/>
      <c r="F36" s="91"/>
    </row>
    <row r="37" spans="1:6" ht="25.5" x14ac:dyDescent="0.2">
      <c r="A37" s="91" t="s">
        <v>10</v>
      </c>
      <c r="B37" s="91"/>
      <c r="C37" s="91"/>
      <c r="D37" s="218" t="s">
        <v>3975</v>
      </c>
      <c r="E37" s="219"/>
      <c r="F37" s="220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61"/>
      <c r="B39" s="91"/>
      <c r="C39" s="91"/>
    </row>
    <row r="40" spans="1:6" x14ac:dyDescent="0.2">
      <c r="A40" s="91"/>
      <c r="B40" s="91"/>
      <c r="C40" s="99"/>
      <c r="D40" s="91"/>
      <c r="E40" s="91"/>
      <c r="F40" s="91"/>
    </row>
    <row r="41" spans="1:6" x14ac:dyDescent="0.2">
      <c r="A41" s="101"/>
      <c r="B41" s="10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/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1:6" x14ac:dyDescent="0.2">
      <c r="A49" s="91"/>
      <c r="B49" s="91"/>
      <c r="C49" s="91"/>
      <c r="D49" s="91" t="s">
        <v>2</v>
      </c>
      <c r="E49" s="91"/>
      <c r="F49" s="91"/>
    </row>
    <row r="50" spans="1:6" x14ac:dyDescent="0.2">
      <c r="A50" s="103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325">
    <pageSetUpPr fitToPage="1"/>
  </sheetPr>
  <dimension ref="A1:F50"/>
  <sheetViews>
    <sheetView topLeftCell="A7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7" width="9.140625" style="91"/>
    <col min="8" max="8" width="9.7109375" style="91" bestFit="1" customWidth="1"/>
    <col min="9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3513</v>
      </c>
    </row>
    <row r="10" spans="1:6" x14ac:dyDescent="0.2">
      <c r="A10" s="91" t="s">
        <v>3516</v>
      </c>
      <c r="D10" s="92" t="s">
        <v>1357</v>
      </c>
      <c r="E10" s="92" t="s">
        <v>3514</v>
      </c>
    </row>
    <row r="11" spans="1:6" x14ac:dyDescent="0.2">
      <c r="A11" s="91" t="s">
        <v>3517</v>
      </c>
      <c r="D11" s="92" t="s">
        <v>1330</v>
      </c>
      <c r="E11" s="92" t="s">
        <v>1220</v>
      </c>
    </row>
    <row r="12" spans="1:6" x14ac:dyDescent="0.2">
      <c r="A12" s="91" t="s">
        <v>2943</v>
      </c>
      <c r="D12" s="92" t="s">
        <v>1224</v>
      </c>
      <c r="E12" s="92" t="s">
        <v>3515</v>
      </c>
    </row>
    <row r="13" spans="1:6" x14ac:dyDescent="0.2">
      <c r="A13" s="91" t="s">
        <v>3518</v>
      </c>
    </row>
    <row r="14" spans="1:6" x14ac:dyDescent="0.2">
      <c r="A14" s="91" t="s">
        <v>3519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3520</v>
      </c>
    </row>
    <row r="19" spans="1:6" x14ac:dyDescent="0.2">
      <c r="A19" s="93"/>
      <c r="B19" s="93"/>
    </row>
    <row r="20" spans="1:6" x14ac:dyDescent="0.2">
      <c r="A20" s="92" t="s">
        <v>3521</v>
      </c>
      <c r="B20" s="93"/>
      <c r="C20" s="91" t="s">
        <v>3522</v>
      </c>
      <c r="F20" s="91">
        <v>1500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1500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1877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519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6190</v>
      </c>
    </row>
    <row r="10" spans="1:6" x14ac:dyDescent="0.2">
      <c r="A10" s="91" t="s">
        <v>5086</v>
      </c>
      <c r="D10" s="92" t="s">
        <v>1357</v>
      </c>
      <c r="E10" s="92" t="s">
        <v>6178</v>
      </c>
    </row>
    <row r="11" spans="1:6" x14ac:dyDescent="0.2">
      <c r="A11" s="91" t="s">
        <v>5087</v>
      </c>
      <c r="D11" s="92" t="s">
        <v>1330</v>
      </c>
      <c r="E11" s="92" t="s">
        <v>1220</v>
      </c>
    </row>
    <row r="12" spans="1:6" x14ac:dyDescent="0.2">
      <c r="A12" s="91" t="s">
        <v>5088</v>
      </c>
      <c r="D12" s="92" t="s">
        <v>1224</v>
      </c>
      <c r="E12" s="92" t="s">
        <v>6191</v>
      </c>
    </row>
    <row r="13" spans="1:6" x14ac:dyDescent="0.2">
      <c r="A13" s="91" t="s">
        <v>1015</v>
      </c>
    </row>
    <row r="14" spans="1:6" x14ac:dyDescent="0.2">
      <c r="A14" s="91" t="s">
        <v>5089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4449</v>
      </c>
    </row>
    <row r="19" spans="1:6" x14ac:dyDescent="0.2">
      <c r="A19" s="94"/>
      <c r="B19" s="240"/>
    </row>
    <row r="20" spans="1:6" x14ac:dyDescent="0.2">
      <c r="A20" s="92" t="s">
        <v>4249</v>
      </c>
      <c r="B20" s="195"/>
      <c r="C20" s="153" t="s">
        <v>6192</v>
      </c>
      <c r="F20" s="91">
        <v>1560</v>
      </c>
    </row>
    <row r="21" spans="1:6" x14ac:dyDescent="0.2">
      <c r="A21" s="93"/>
      <c r="B21" s="195"/>
      <c r="C21" s="153" t="s">
        <v>6193</v>
      </c>
    </row>
    <row r="22" spans="1:6" x14ac:dyDescent="0.2">
      <c r="A22" s="93"/>
      <c r="B22" s="195"/>
      <c r="C22" s="153"/>
    </row>
    <row r="23" spans="1:6" x14ac:dyDescent="0.2">
      <c r="A23" s="93"/>
      <c r="B23" s="195"/>
    </row>
    <row r="24" spans="1:6" x14ac:dyDescent="0.2">
      <c r="A24" s="93"/>
      <c r="B24" s="195"/>
    </row>
    <row r="25" spans="1:6" x14ac:dyDescent="0.2">
      <c r="B25" s="191"/>
    </row>
    <row r="26" spans="1:6" x14ac:dyDescent="0.2">
      <c r="A26" s="93"/>
      <c r="B26" s="240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1560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Sixty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79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1774</v>
      </c>
    </row>
    <row r="10" spans="1:6" x14ac:dyDescent="0.2">
      <c r="A10" s="91" t="s">
        <v>1776</v>
      </c>
      <c r="D10" s="92" t="s">
        <v>1327</v>
      </c>
      <c r="E10" s="105" t="s">
        <v>1738</v>
      </c>
    </row>
    <row r="11" spans="1:6" x14ac:dyDescent="0.2">
      <c r="A11" s="91" t="s">
        <v>1780</v>
      </c>
      <c r="D11" s="92" t="s">
        <v>1328</v>
      </c>
      <c r="E11" s="92" t="s">
        <v>1220</v>
      </c>
    </row>
    <row r="12" spans="1:6" x14ac:dyDescent="0.2">
      <c r="D12" s="92" t="s">
        <v>1308</v>
      </c>
      <c r="E12" s="92" t="s">
        <v>1775</v>
      </c>
    </row>
    <row r="14" spans="1:6" x14ac:dyDescent="0.2">
      <c r="B14" s="148"/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1777</v>
      </c>
    </row>
    <row r="19" spans="1:6" x14ac:dyDescent="0.2">
      <c r="A19" s="93"/>
      <c r="B19" s="93"/>
    </row>
    <row r="20" spans="1:6" x14ac:dyDescent="0.2">
      <c r="A20" s="93"/>
      <c r="B20" s="93"/>
      <c r="C20" s="91" t="s">
        <v>1781</v>
      </c>
      <c r="F20" s="91">
        <v>1000</v>
      </c>
    </row>
    <row r="21" spans="1:6" x14ac:dyDescent="0.2">
      <c r="C21" s="91" t="s">
        <v>1782</v>
      </c>
      <c r="F21" s="91">
        <v>1800</v>
      </c>
    </row>
    <row r="22" spans="1:6" x14ac:dyDescent="0.2">
      <c r="C22" s="91" t="s">
        <v>1783</v>
      </c>
      <c r="F22" s="91">
        <v>2200</v>
      </c>
    </row>
    <row r="23" spans="1:6" x14ac:dyDescent="0.2">
      <c r="C23" s="91" t="s">
        <v>1784</v>
      </c>
      <c r="F23" s="91">
        <v>1200</v>
      </c>
    </row>
    <row r="24" spans="1:6" x14ac:dyDescent="0.2">
      <c r="C24" s="94" t="s">
        <v>1785</v>
      </c>
      <c r="F24" s="91">
        <v>800</v>
      </c>
    </row>
    <row r="25" spans="1:6" x14ac:dyDescent="0.2">
      <c r="C25" s="91" t="s">
        <v>1786</v>
      </c>
      <c r="F25" s="91">
        <v>2000</v>
      </c>
    </row>
    <row r="26" spans="1:6" x14ac:dyDescent="0.2">
      <c r="C26" s="91" t="s">
        <v>1787</v>
      </c>
      <c r="F26" s="91">
        <v>1800</v>
      </c>
    </row>
    <row r="27" spans="1:6" x14ac:dyDescent="0.2">
      <c r="B27" s="94"/>
      <c r="C27" s="91" t="s">
        <v>1788</v>
      </c>
      <c r="F27" s="91">
        <v>2250</v>
      </c>
    </row>
    <row r="28" spans="1:6" x14ac:dyDescent="0.2">
      <c r="B28" s="94"/>
      <c r="C28" s="91" t="s">
        <v>1778</v>
      </c>
      <c r="F28" s="91">
        <v>3585.52</v>
      </c>
    </row>
    <row r="29" spans="1:6" x14ac:dyDescent="0.2">
      <c r="C29" s="91" t="s">
        <v>1789</v>
      </c>
      <c r="F29" s="91">
        <v>262.89999999999998</v>
      </c>
    </row>
    <row r="30" spans="1:6" x14ac:dyDescent="0.2">
      <c r="C30" s="91" t="s">
        <v>1790</v>
      </c>
      <c r="F30" s="91">
        <v>679.47</v>
      </c>
    </row>
    <row r="31" spans="1:6" x14ac:dyDescent="0.2">
      <c r="C31" s="91" t="s">
        <v>1791</v>
      </c>
      <c r="F31" s="91">
        <v>252.95</v>
      </c>
    </row>
    <row r="32" spans="1:6" x14ac:dyDescent="0.2">
      <c r="C32" s="91" t="s">
        <v>1792</v>
      </c>
      <c r="F32" s="91">
        <v>237.9</v>
      </c>
    </row>
    <row r="33" spans="1:6" x14ac:dyDescent="0.2">
      <c r="C33" s="91" t="s">
        <v>1793</v>
      </c>
      <c r="F33" s="91">
        <v>347.9</v>
      </c>
    </row>
    <row r="34" spans="1:6" ht="13.5" thickBot="1" x14ac:dyDescent="0.25">
      <c r="C34" s="91" t="s">
        <v>1794</v>
      </c>
      <c r="F34" s="107">
        <v>322.89999999999998</v>
      </c>
    </row>
    <row r="35" spans="1:6" ht="13.5" thickTop="1" x14ac:dyDescent="0.2">
      <c r="C35" s="91" t="s">
        <v>1795</v>
      </c>
      <c r="F35" s="91">
        <v>322.89999999999998</v>
      </c>
    </row>
    <row r="36" spans="1:6" ht="25.5" x14ac:dyDescent="0.2">
      <c r="C36" s="91" t="s">
        <v>1796</v>
      </c>
      <c r="D36" s="218" t="s">
        <v>3975</v>
      </c>
      <c r="E36" s="219"/>
      <c r="F36" s="220"/>
    </row>
    <row r="37" spans="1:6" x14ac:dyDescent="0.2">
      <c r="F37" s="223">
        <f>SUM(F20:F36)</f>
        <v>19062.44000000001</v>
      </c>
    </row>
    <row r="38" spans="1:6" x14ac:dyDescent="0.2">
      <c r="F38" s="223"/>
    </row>
    <row r="39" spans="1:6" x14ac:dyDescent="0.2">
      <c r="D39" s="227"/>
      <c r="E39" s="227"/>
      <c r="F39" s="227"/>
    </row>
    <row r="40" spans="1:6" x14ac:dyDescent="0.2">
      <c r="A40" s="94"/>
      <c r="D40" s="228"/>
      <c r="E40" s="229"/>
      <c r="F40" s="229"/>
    </row>
    <row r="42" spans="1:6" x14ac:dyDescent="0.2">
      <c r="A42" s="98"/>
    </row>
    <row r="43" spans="1:6" x14ac:dyDescent="0.2">
      <c r="A43" s="98"/>
      <c r="C43" s="99"/>
    </row>
    <row r="44" spans="1:6" x14ac:dyDescent="0.2">
      <c r="A44" s="100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 t="s">
        <v>3972</v>
      </c>
    </row>
    <row r="48" spans="1:6" x14ac:dyDescent="0.2">
      <c r="A48" s="98"/>
    </row>
    <row r="49" spans="1:6" x14ac:dyDescent="0.2">
      <c r="A49" s="100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35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D74A-6B4C-4C88-A511-A88192882512}">
  <sheetPr codeName="Sheet666">
    <pageSetUpPr fitToPage="1"/>
  </sheetPr>
  <dimension ref="A1:H53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F9" s="155" t="s">
        <v>1317</v>
      </c>
      <c r="G9" s="155" t="s">
        <v>6722</v>
      </c>
    </row>
    <row r="10" spans="1:8" x14ac:dyDescent="0.2">
      <c r="A10" s="153" t="s">
        <v>6724</v>
      </c>
      <c r="F10" s="155" t="s">
        <v>1329</v>
      </c>
      <c r="G10" s="155" t="s">
        <v>6723</v>
      </c>
    </row>
    <row r="11" spans="1:8" x14ac:dyDescent="0.2">
      <c r="A11" s="153" t="s">
        <v>6725</v>
      </c>
      <c r="F11" s="155" t="s">
        <v>1330</v>
      </c>
      <c r="G11" s="155" t="s">
        <v>1220</v>
      </c>
    </row>
    <row r="12" spans="1:8" x14ac:dyDescent="0.2">
      <c r="A12" s="153" t="s">
        <v>4310</v>
      </c>
      <c r="F12" s="155" t="s">
        <v>1331</v>
      </c>
      <c r="G12" s="94" t="s">
        <v>770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168"/>
      <c r="B18" s="285"/>
      <c r="D18" s="163" t="s">
        <v>6726</v>
      </c>
      <c r="E18" s="163"/>
    </row>
    <row r="19" spans="1:8" x14ac:dyDescent="0.2">
      <c r="A19" s="164"/>
    </row>
    <row r="20" spans="1:8" x14ac:dyDescent="0.2">
      <c r="A20" s="166" t="s">
        <v>6727</v>
      </c>
      <c r="B20" s="168"/>
      <c r="C20" s="168"/>
      <c r="D20" s="153" t="s">
        <v>6728</v>
      </c>
      <c r="H20" s="153">
        <f>49500*0.5288939</f>
        <v>26180.248050000002</v>
      </c>
    </row>
    <row r="21" spans="1:8" x14ac:dyDescent="0.2">
      <c r="A21" s="164"/>
      <c r="D21" s="153" t="s">
        <v>6729</v>
      </c>
      <c r="E21" s="163"/>
    </row>
    <row r="22" spans="1:8" x14ac:dyDescent="0.2">
      <c r="A22" s="164"/>
    </row>
    <row r="23" spans="1:8" x14ac:dyDescent="0.2">
      <c r="A23" s="168"/>
      <c r="B23" s="173"/>
      <c r="D23" s="153" t="s">
        <v>52</v>
      </c>
      <c r="H23" s="153">
        <v>30</v>
      </c>
    </row>
    <row r="24" spans="1:8" x14ac:dyDescent="0.2">
      <c r="A24" s="166"/>
      <c r="B24" s="168"/>
      <c r="C24" s="168"/>
    </row>
    <row r="25" spans="1:8" x14ac:dyDescent="0.2">
      <c r="A25" s="164"/>
    </row>
    <row r="26" spans="1:8" x14ac:dyDescent="0.2">
      <c r="A26" s="164"/>
    </row>
    <row r="27" spans="1:8" x14ac:dyDescent="0.2">
      <c r="A27" s="168"/>
      <c r="D27" s="163"/>
      <c r="E27" s="163"/>
    </row>
    <row r="29" spans="1:8" x14ac:dyDescent="0.2">
      <c r="A29" s="168"/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26210.248050000002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Twenty-Six Thousand Two Hundred Ten and 25/100 -----------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3" t="s">
        <v>10</v>
      </c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1F93-D884-449D-B20A-4C2F43156951}">
  <sheetPr codeName="Sheet760">
    <pageSetUpPr fitToPage="1"/>
  </sheetPr>
  <dimension ref="A1:S57"/>
  <sheetViews>
    <sheetView zoomScaleNormal="100" workbookViewId="0">
      <selection activeCell="F19" sqref="F19"/>
    </sheetView>
  </sheetViews>
  <sheetFormatPr defaultRowHeight="12.75" x14ac:dyDescent="0.2"/>
  <cols>
    <col min="1" max="1" width="17" style="1" customWidth="1"/>
    <col min="2" max="2" width="13.42578125" style="1" customWidth="1"/>
    <col min="3" max="3" width="0.7109375" style="1" customWidth="1"/>
    <col min="4" max="4" width="21" style="1" customWidth="1"/>
    <col min="5" max="5" width="0.5703125" style="1" customWidth="1"/>
    <col min="6" max="6" width="16.42578125" style="1" customWidth="1"/>
    <col min="7" max="7" width="10.140625" style="1" customWidth="1"/>
    <col min="8" max="8" width="13.28515625" style="1" customWidth="1"/>
    <col min="9" max="17" width="9.140625" style="1"/>
    <col min="18" max="18" width="11.85546875" style="1" bestFit="1" customWidth="1"/>
    <col min="19" max="16384" width="9.140625" style="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1" t="s">
        <v>32</v>
      </c>
      <c r="F8" s="22" t="s">
        <v>31</v>
      </c>
    </row>
    <row r="9" spans="1:19" s="91" customFormat="1" x14ac:dyDescent="0.2">
      <c r="F9" s="92" t="s">
        <v>30</v>
      </c>
      <c r="G9" s="155" t="s">
        <v>8154</v>
      </c>
    </row>
    <row r="10" spans="1:19" s="91" customFormat="1" x14ac:dyDescent="0.2">
      <c r="A10" s="91" t="s">
        <v>8155</v>
      </c>
      <c r="F10" s="92" t="s">
        <v>27</v>
      </c>
      <c r="G10" s="155" t="s">
        <v>8047</v>
      </c>
    </row>
    <row r="11" spans="1:19" s="91" customFormat="1" x14ac:dyDescent="0.2">
      <c r="A11" s="91" t="s">
        <v>8156</v>
      </c>
      <c r="F11" s="92" t="s">
        <v>24</v>
      </c>
      <c r="G11" s="155" t="s">
        <v>1220</v>
      </c>
    </row>
    <row r="12" spans="1:19" s="91" customFormat="1" x14ac:dyDescent="0.2">
      <c r="A12" s="91" t="s">
        <v>8157</v>
      </c>
      <c r="F12" s="92" t="s">
        <v>22</v>
      </c>
      <c r="G12" s="91" t="s">
        <v>770</v>
      </c>
    </row>
    <row r="13" spans="1:19" s="91" customFormat="1" x14ac:dyDescent="0.2"/>
    <row r="14" spans="1:19" s="91" customFormat="1" x14ac:dyDescent="0.2">
      <c r="N14" s="2"/>
      <c r="O14" s="2"/>
    </row>
    <row r="15" spans="1:19" s="91" customFormat="1" x14ac:dyDescent="0.2">
      <c r="K15" s="93" t="s">
        <v>5570</v>
      </c>
      <c r="L15" s="93" t="s">
        <v>5571</v>
      </c>
      <c r="M15" s="93"/>
      <c r="N15" s="91" t="s">
        <v>5572</v>
      </c>
      <c r="R15" s="91">
        <v>231274.53</v>
      </c>
    </row>
    <row r="16" spans="1:19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K16" s="93"/>
      <c r="L16" s="93"/>
      <c r="M16" s="93"/>
      <c r="N16" s="91" t="s">
        <v>5573</v>
      </c>
      <c r="O16" s="91"/>
      <c r="P16" s="91"/>
      <c r="Q16" s="91"/>
      <c r="R16" s="91">
        <v>127237.49</v>
      </c>
      <c r="S16" s="91"/>
    </row>
    <row r="17" spans="1:18" s="91" customFormat="1" x14ac:dyDescent="0.2">
      <c r="K17" s="479"/>
      <c r="L17" s="94"/>
      <c r="M17" s="94"/>
      <c r="N17" s="91" t="s">
        <v>2147</v>
      </c>
      <c r="R17" s="91">
        <v>21510.73</v>
      </c>
    </row>
    <row r="18" spans="1:18" s="91" customFormat="1" x14ac:dyDescent="0.2">
      <c r="C18" s="479"/>
      <c r="D18" s="2" t="s">
        <v>8158</v>
      </c>
      <c r="E18" s="2"/>
    </row>
    <row r="19" spans="1:18" s="91" customFormat="1" x14ac:dyDescent="0.2">
      <c r="D19" s="2"/>
      <c r="E19" s="2"/>
      <c r="K19" s="93"/>
      <c r="L19" s="93" t="s">
        <v>5574</v>
      </c>
      <c r="M19" s="93"/>
      <c r="N19" s="91" t="s">
        <v>5575</v>
      </c>
      <c r="R19" s="91">
        <v>53312.26</v>
      </c>
    </row>
    <row r="20" spans="1:18" s="91" customFormat="1" x14ac:dyDescent="0.2">
      <c r="A20" s="93" t="s">
        <v>7958</v>
      </c>
      <c r="B20" s="93" t="s">
        <v>8159</v>
      </c>
      <c r="C20" s="93"/>
      <c r="D20" s="91" t="s">
        <v>8160</v>
      </c>
      <c r="H20" s="91">
        <f>6000*4.6682</f>
        <v>28009.199999999997</v>
      </c>
      <c r="L20" s="479"/>
      <c r="M20" s="479"/>
      <c r="N20" s="91" t="s">
        <v>2147</v>
      </c>
      <c r="R20" s="110">
        <f>R19*6%</f>
        <v>3198.7356</v>
      </c>
    </row>
    <row r="21" spans="1:18" s="91" customFormat="1" x14ac:dyDescent="0.2">
      <c r="A21" s="94"/>
      <c r="D21" s="91" t="s">
        <v>8161</v>
      </c>
    </row>
    <row r="22" spans="1:18" s="91" customFormat="1" x14ac:dyDescent="0.2">
      <c r="K22" s="93"/>
      <c r="L22" s="93"/>
      <c r="M22" s="93"/>
      <c r="N22" s="143" t="s">
        <v>5576</v>
      </c>
      <c r="O22" s="143"/>
    </row>
    <row r="23" spans="1:18" s="91" customFormat="1" x14ac:dyDescent="0.2">
      <c r="D23" s="91" t="s">
        <v>8162</v>
      </c>
      <c r="K23" s="479"/>
    </row>
    <row r="24" spans="1:18" s="91" customFormat="1" x14ac:dyDescent="0.2">
      <c r="D24" s="2"/>
      <c r="K24" s="479"/>
    </row>
    <row r="25" spans="1:18" s="91" customFormat="1" x14ac:dyDescent="0.2">
      <c r="A25" s="93"/>
      <c r="B25" s="93"/>
      <c r="D25" s="91" t="s">
        <v>52</v>
      </c>
      <c r="H25" s="91">
        <v>30</v>
      </c>
    </row>
    <row r="26" spans="1:18" s="91" customFormat="1" x14ac:dyDescent="0.2">
      <c r="A26" s="93"/>
      <c r="B26" s="93"/>
      <c r="C26" s="93"/>
    </row>
    <row r="27" spans="1:18" s="91" customFormat="1" x14ac:dyDescent="0.2">
      <c r="A27" s="479"/>
    </row>
    <row r="28" spans="1:18" s="91" customFormat="1" x14ac:dyDescent="0.2">
      <c r="D28" s="2"/>
    </row>
    <row r="29" spans="1:18" s="91" customFormat="1" x14ac:dyDescent="0.2">
      <c r="A29" s="479"/>
    </row>
    <row r="30" spans="1:18" s="91" customFormat="1" x14ac:dyDescent="0.2">
      <c r="A30" s="93"/>
      <c r="B30" s="93"/>
      <c r="E30" s="2"/>
    </row>
    <row r="31" spans="1:18" s="91" customFormat="1" x14ac:dyDescent="0.2">
      <c r="A31" s="479"/>
    </row>
    <row r="32" spans="1:18" s="91" customFormat="1" x14ac:dyDescent="0.2">
      <c r="A32" s="93"/>
      <c r="B32" s="479"/>
      <c r="C32" s="479"/>
    </row>
    <row r="33" spans="1:8" s="91" customFormat="1" x14ac:dyDescent="0.2">
      <c r="A33" s="479"/>
    </row>
    <row r="34" spans="1:8" s="91" customFormat="1" x14ac:dyDescent="0.2">
      <c r="H34" s="101"/>
    </row>
    <row r="35" spans="1:8" s="91" customFormat="1" ht="13.5" thickBot="1" x14ac:dyDescent="0.25">
      <c r="H35" s="270">
        <f>SUM(H19:H34)</f>
        <v>28039.199999999997</v>
      </c>
    </row>
    <row r="36" spans="1:8" s="91" customFormat="1" ht="13.5" thickTop="1" x14ac:dyDescent="0.2">
      <c r="H36" s="269"/>
    </row>
    <row r="37" spans="1:8" s="91" customFormat="1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"&amp;INDEX(teb,TRUNC(MOD(H35,100000)/10000,0)+1)&amp;IF(MOD(MOD(H35,100000),10000)&gt;=1000,"-"&amp;INDEX(numbers,TRUNC(MOD(MOD(H35,100000),10000)/1000,0)+1),""),IF(MOD(H35,100000)&gt;=1000,"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"&amp;INDEX(teb,TRUNC(MOD(H35,100)/10,0)+1)&amp;IF(MOD(MOD(H35,100),10)&gt;=1,"-"&amp;INDEX(numbers,TRUNC(MOD(MOD(H35,100),10),0)+1),""),IF(MOD(H35,100)&gt;=1,"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Twenty-Eight Thousand Thirty-Nine and 20/100 -----------</v>
      </c>
      <c r="C37" s="185"/>
      <c r="D37" s="97"/>
      <c r="E37" s="97"/>
      <c r="F37" s="97"/>
      <c r="G37" s="97"/>
      <c r="H37" s="20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D39" s="98"/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E42" s="479"/>
      <c r="F42" s="228"/>
      <c r="G42" s="229"/>
      <c r="H42" s="229"/>
    </row>
    <row r="43" spans="1:8" s="91" customFormat="1" x14ac:dyDescent="0.2">
      <c r="A43" s="101"/>
      <c r="B43" s="101"/>
    </row>
    <row r="44" spans="1:8" s="91" customFormat="1" x14ac:dyDescent="0.2">
      <c r="D44" s="103"/>
    </row>
    <row r="45" spans="1:8" s="91" customFormat="1" x14ac:dyDescent="0.2">
      <c r="D45" s="103"/>
    </row>
    <row r="46" spans="1:8" s="91" customFormat="1" x14ac:dyDescent="0.2">
      <c r="A46" s="98" t="s">
        <v>8</v>
      </c>
      <c r="D46" s="98" t="s">
        <v>8</v>
      </c>
      <c r="F46" s="98" t="s">
        <v>7</v>
      </c>
      <c r="H46" s="102"/>
    </row>
    <row r="47" spans="1:8" s="91" customFormat="1" x14ac:dyDescent="0.2"/>
    <row r="48" spans="1:8" s="91" customFormat="1" x14ac:dyDescent="0.2"/>
    <row r="49" spans="1:8" s="91" customFormat="1" x14ac:dyDescent="0.2"/>
    <row r="50" spans="1:8" s="91" customFormat="1" x14ac:dyDescent="0.2">
      <c r="A50" s="101"/>
      <c r="B50" s="101"/>
      <c r="D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s="91" customFormat="1" x14ac:dyDescent="0.2">
      <c r="F52" s="91" t="s">
        <v>2</v>
      </c>
    </row>
    <row r="53" spans="1:8" s="91" customFormat="1" x14ac:dyDescent="0.2"/>
    <row r="54" spans="1:8" s="91" customFormat="1" x14ac:dyDescent="0.2">
      <c r="F54" s="2" t="s">
        <v>1</v>
      </c>
    </row>
    <row r="55" spans="1:8" s="91" customFormat="1" x14ac:dyDescent="0.2">
      <c r="F55" s="2" t="s">
        <v>0</v>
      </c>
    </row>
    <row r="56" spans="1:8" s="91" customFormat="1" x14ac:dyDescent="0.2"/>
    <row r="57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6EBD-1EEF-4CCC-940B-94D2F297EB19}">
  <sheetPr codeName="Sheet674">
    <pageSetUpPr fitToPage="1"/>
  </sheetPr>
  <dimension ref="A1:H54"/>
  <sheetViews>
    <sheetView topLeftCell="A4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" style="91" customWidth="1"/>
    <col min="4" max="4" width="22.42578125" style="91" customWidth="1"/>
    <col min="5" max="5" width="2.85546875" style="91" customWidth="1"/>
    <col min="6" max="6" width="12.140625" style="91" customWidth="1"/>
    <col min="7" max="7" width="9.7109375" style="91" customWidth="1"/>
    <col min="8" max="8" width="13.710937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6805</v>
      </c>
      <c r="G9" s="61" t="s">
        <v>6862</v>
      </c>
    </row>
    <row r="10" spans="1:8" x14ac:dyDescent="0.2">
      <c r="A10" s="91" t="s">
        <v>6806</v>
      </c>
      <c r="F10" s="92" t="s">
        <v>1356</v>
      </c>
      <c r="G10" s="113" t="s">
        <v>6861</v>
      </c>
    </row>
    <row r="11" spans="1:8" x14ac:dyDescent="0.2">
      <c r="A11" s="91" t="s">
        <v>6807</v>
      </c>
      <c r="F11" s="92" t="s">
        <v>1364</v>
      </c>
      <c r="G11" s="113" t="s">
        <v>1220</v>
      </c>
    </row>
    <row r="12" spans="1:8" x14ac:dyDescent="0.2">
      <c r="A12" s="91" t="s">
        <v>6808</v>
      </c>
      <c r="F12" s="92" t="s">
        <v>1394</v>
      </c>
      <c r="G12" s="113" t="s">
        <v>770</v>
      </c>
    </row>
    <row r="13" spans="1:8" x14ac:dyDescent="0.2">
      <c r="A13" s="91" t="s">
        <v>6809</v>
      </c>
    </row>
    <row r="16" spans="1:8" s="14" customFormat="1" ht="20.100000000000001" customHeight="1" x14ac:dyDescent="0.2">
      <c r="A16" s="17" t="s">
        <v>1261</v>
      </c>
      <c r="B16" s="31" t="s">
        <v>1262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08"/>
      <c r="D18" s="2" t="s">
        <v>6726</v>
      </c>
      <c r="E18" s="2"/>
    </row>
    <row r="20" spans="1:8" x14ac:dyDescent="0.2">
      <c r="A20" s="93" t="s">
        <v>6832</v>
      </c>
      <c r="B20" s="195" t="s">
        <v>6863</v>
      </c>
      <c r="C20" s="94"/>
      <c r="D20" s="94" t="s">
        <v>6810</v>
      </c>
      <c r="E20" s="94"/>
      <c r="H20" s="91">
        <f>22500*0.542</f>
        <v>12195</v>
      </c>
    </row>
    <row r="21" spans="1:8" x14ac:dyDescent="0.2">
      <c r="A21" s="136"/>
      <c r="D21" s="91" t="s">
        <v>6864</v>
      </c>
    </row>
    <row r="22" spans="1:8" x14ac:dyDescent="0.2">
      <c r="A22" s="147"/>
    </row>
    <row r="23" spans="1:8" x14ac:dyDescent="0.2">
      <c r="B23" s="138"/>
      <c r="C23" s="138"/>
      <c r="D23" s="91" t="s">
        <v>6877</v>
      </c>
      <c r="E23" s="2"/>
    </row>
    <row r="24" spans="1:8" x14ac:dyDescent="0.2">
      <c r="B24" s="138"/>
      <c r="C24" s="138"/>
    </row>
    <row r="25" spans="1:8" x14ac:dyDescent="0.2">
      <c r="D25" s="91" t="s">
        <v>52</v>
      </c>
      <c r="H25" s="91">
        <v>30</v>
      </c>
    </row>
    <row r="26" spans="1:8" x14ac:dyDescent="0.2">
      <c r="A26" s="136"/>
    </row>
    <row r="27" spans="1:8" x14ac:dyDescent="0.2">
      <c r="A27" s="147"/>
      <c r="B27" s="94"/>
      <c r="C27" s="94"/>
      <c r="E27" s="2"/>
    </row>
    <row r="28" spans="1:8" x14ac:dyDescent="0.2">
      <c r="A28" s="136"/>
      <c r="B28" s="94"/>
      <c r="C28" s="94"/>
    </row>
    <row r="29" spans="1:8" x14ac:dyDescent="0.2">
      <c r="A29" s="147"/>
      <c r="B29" s="94"/>
      <c r="C29" s="94"/>
    </row>
    <row r="30" spans="1:8" x14ac:dyDescent="0.2">
      <c r="A30" s="108"/>
      <c r="B30" s="94"/>
      <c r="C30" s="94"/>
    </row>
    <row r="31" spans="1:8" x14ac:dyDescent="0.2">
      <c r="A31" s="108"/>
      <c r="B31" s="94"/>
      <c r="C31" s="94"/>
    </row>
    <row r="32" spans="1:8" x14ac:dyDescent="0.2">
      <c r="A32" s="108"/>
      <c r="B32" s="94"/>
      <c r="C32" s="94"/>
    </row>
    <row r="34" spans="1:8" x14ac:dyDescent="0.2">
      <c r="H34" s="2"/>
    </row>
    <row r="35" spans="1:8" ht="13.5" thickBot="1" x14ac:dyDescent="0.25">
      <c r="H35" s="107">
        <f>SUM(H19:H32)</f>
        <v>12225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Twelve Thousand Two Hundred Twenty-Five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</row>
    <row r="39" spans="1:8" ht="25.5" x14ac:dyDescent="0.2">
      <c r="A39" s="61" t="s">
        <v>10</v>
      </c>
      <c r="F39" s="218" t="s">
        <v>3975</v>
      </c>
      <c r="G39" s="219"/>
      <c r="H39" s="220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1">
    <pageSetUpPr fitToPage="1"/>
  </sheetPr>
  <dimension ref="A1:H55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5210</v>
      </c>
    </row>
    <row r="10" spans="1:8" x14ac:dyDescent="0.2">
      <c r="A10" s="91" t="s">
        <v>5213</v>
      </c>
      <c r="F10" s="92" t="s">
        <v>1444</v>
      </c>
      <c r="G10" s="92" t="s">
        <v>5212</v>
      </c>
    </row>
    <row r="11" spans="1:8" x14ac:dyDescent="0.2">
      <c r="A11" s="94" t="s">
        <v>5214</v>
      </c>
      <c r="F11" s="92" t="s">
        <v>1431</v>
      </c>
      <c r="G11" s="92" t="s">
        <v>1220</v>
      </c>
    </row>
    <row r="12" spans="1:8" x14ac:dyDescent="0.2">
      <c r="A12" s="91" t="s">
        <v>5215</v>
      </c>
      <c r="F12" s="92" t="s">
        <v>1268</v>
      </c>
      <c r="G12" s="92" t="s">
        <v>5211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 t="s">
        <v>5216</v>
      </c>
      <c r="B18" s="93" t="s">
        <v>5217</v>
      </c>
      <c r="C18" s="93"/>
      <c r="D18" s="91" t="s">
        <v>5218</v>
      </c>
      <c r="E18" s="2"/>
      <c r="H18" s="91">
        <v>1300</v>
      </c>
    </row>
    <row r="19" spans="1:8" x14ac:dyDescent="0.2">
      <c r="D19" s="2"/>
      <c r="E19" s="2"/>
    </row>
    <row r="21" spans="1:8" x14ac:dyDescent="0.2">
      <c r="A21" s="93"/>
      <c r="B21" s="93"/>
      <c r="C21" s="93"/>
    </row>
    <row r="22" spans="1:8" x14ac:dyDescent="0.2">
      <c r="A22" s="93"/>
      <c r="B22" s="99"/>
      <c r="C22" s="99"/>
    </row>
    <row r="23" spans="1:8" x14ac:dyDescent="0.2">
      <c r="A23" s="93"/>
      <c r="B23" s="99"/>
      <c r="C23" s="99"/>
    </row>
    <row r="24" spans="1:8" x14ac:dyDescent="0.2">
      <c r="A24" s="93"/>
      <c r="B24" s="99"/>
      <c r="C24" s="99"/>
    </row>
    <row r="25" spans="1:8" x14ac:dyDescent="0.2">
      <c r="A25" s="93"/>
      <c r="B25" s="99"/>
      <c r="C25" s="99"/>
    </row>
    <row r="26" spans="1:8" x14ac:dyDescent="0.2">
      <c r="A26" s="93"/>
      <c r="B26" s="99"/>
      <c r="C26" s="99"/>
    </row>
    <row r="27" spans="1:8" x14ac:dyDescent="0.2">
      <c r="A27" s="93"/>
      <c r="B27" s="99"/>
      <c r="C27" s="99"/>
    </row>
    <row r="28" spans="1:8" x14ac:dyDescent="0.2">
      <c r="A28" s="93"/>
      <c r="B28" s="99"/>
      <c r="C28" s="99"/>
    </row>
    <row r="29" spans="1:8" x14ac:dyDescent="0.2">
      <c r="A29" s="93"/>
      <c r="B29" s="99"/>
      <c r="C29" s="99"/>
      <c r="H29" s="94"/>
    </row>
    <row r="30" spans="1:8" x14ac:dyDescent="0.2">
      <c r="A30" s="93"/>
      <c r="B30" s="99"/>
      <c r="C30" s="99"/>
    </row>
    <row r="31" spans="1:8" x14ac:dyDescent="0.2">
      <c r="A31" s="93"/>
      <c r="B31" s="99"/>
      <c r="C31" s="99"/>
    </row>
    <row r="32" spans="1:8" x14ac:dyDescent="0.2">
      <c r="A32" s="93"/>
      <c r="B32" s="99"/>
      <c r="C32" s="99"/>
    </row>
    <row r="33" spans="1:8" x14ac:dyDescent="0.2">
      <c r="A33" s="93"/>
      <c r="B33" s="99"/>
      <c r="C33" s="99"/>
    </row>
    <row r="34" spans="1:8" x14ac:dyDescent="0.2">
      <c r="A34" s="93"/>
      <c r="B34" s="99"/>
      <c r="C34" s="99"/>
    </row>
    <row r="35" spans="1:8" x14ac:dyDescent="0.2">
      <c r="A35" s="93"/>
      <c r="B35" s="99"/>
      <c r="C35" s="99"/>
    </row>
    <row r="36" spans="1:8" ht="13.5" thickBot="1" x14ac:dyDescent="0.25">
      <c r="H36" s="107">
        <f>SUM(H18:H35)</f>
        <v>1300</v>
      </c>
    </row>
    <row r="37" spans="1:8" ht="13.5" thickTop="1" x14ac:dyDescent="0.2"/>
    <row r="38" spans="1:8" ht="18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Three Hundred and NO/100 -----------</v>
      </c>
      <c r="C38" s="185"/>
      <c r="D38" s="97"/>
      <c r="E38" s="97"/>
      <c r="F38" s="237"/>
      <c r="G38" s="237"/>
      <c r="H38" s="237"/>
    </row>
    <row r="40" spans="1:8" ht="25.5" x14ac:dyDescent="0.2">
      <c r="A40" s="91" t="s">
        <v>10</v>
      </c>
      <c r="F40" s="218" t="s">
        <v>3975</v>
      </c>
      <c r="G40" s="219"/>
      <c r="H40" s="220"/>
    </row>
    <row r="43" spans="1:8" x14ac:dyDescent="0.2">
      <c r="A43" s="91" t="s">
        <v>121</v>
      </c>
      <c r="D43" s="99"/>
      <c r="E43" s="99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 t="s">
        <v>120</v>
      </c>
      <c r="B50" s="101"/>
      <c r="D50" s="101" t="s">
        <v>120</v>
      </c>
      <c r="F50" s="101"/>
      <c r="G50" s="101"/>
      <c r="H50" s="101"/>
    </row>
    <row r="51" spans="1:8" s="61" customFormat="1" ht="17.100000000000001" customHeight="1" x14ac:dyDescent="0.2">
      <c r="A51" s="91" t="s">
        <v>4066</v>
      </c>
      <c r="B51" s="104"/>
      <c r="C51" s="104"/>
      <c r="D51" s="91" t="s">
        <v>50</v>
      </c>
      <c r="F51" s="61" t="s">
        <v>3</v>
      </c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250F-89E9-4CA8-99FF-5F9FFC5FFB67}">
  <sheetPr codeName="Sheet689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7" width="9.140625" style="1"/>
    <col min="8" max="9" width="9.42578125" style="1" bestFit="1" customWidth="1"/>
    <col min="10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7160</v>
      </c>
      <c r="D9" s="92" t="s">
        <v>1317</v>
      </c>
      <c r="E9" s="155" t="s">
        <v>7158</v>
      </c>
    </row>
    <row r="10" spans="1:14" x14ac:dyDescent="0.2">
      <c r="A10" s="91" t="s">
        <v>7161</v>
      </c>
      <c r="D10" s="92" t="s">
        <v>1329</v>
      </c>
      <c r="E10" s="155" t="s">
        <v>7153</v>
      </c>
    </row>
    <row r="11" spans="1:14" x14ac:dyDescent="0.2">
      <c r="A11" s="91" t="s">
        <v>7162</v>
      </c>
      <c r="D11" s="92" t="s">
        <v>1330</v>
      </c>
      <c r="E11" s="155" t="s">
        <v>1220</v>
      </c>
    </row>
    <row r="12" spans="1:14" x14ac:dyDescent="0.2">
      <c r="A12" s="91" t="s">
        <v>1943</v>
      </c>
      <c r="D12" s="92" t="s">
        <v>1331</v>
      </c>
      <c r="E12" s="94" t="s">
        <v>7159</v>
      </c>
    </row>
    <row r="13" spans="1:14" x14ac:dyDescent="0.2">
      <c r="A13" s="91" t="s">
        <v>7163</v>
      </c>
      <c r="H13" s="26"/>
      <c r="I13" s="26"/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 t="s">
        <v>4863</v>
      </c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7164</v>
      </c>
      <c r="K18" s="91" t="s">
        <v>4734</v>
      </c>
      <c r="L18" s="91"/>
      <c r="M18" s="91"/>
      <c r="N18" s="91">
        <f>3868*0.03</f>
        <v>116.03999999999999</v>
      </c>
    </row>
    <row r="19" spans="1:14" x14ac:dyDescent="0.2">
      <c r="A19" s="93"/>
      <c r="B19" s="93"/>
      <c r="K19" s="91" t="s">
        <v>4735</v>
      </c>
      <c r="L19" s="91"/>
      <c r="M19" s="91"/>
      <c r="N19" s="91">
        <f>2601*0.5</f>
        <v>1300.5</v>
      </c>
    </row>
    <row r="20" spans="1:14" x14ac:dyDescent="0.2">
      <c r="A20" s="93"/>
      <c r="B20" s="93"/>
      <c r="C20" s="91" t="s">
        <v>7165</v>
      </c>
      <c r="F20" s="91">
        <v>50</v>
      </c>
      <c r="K20" s="91" t="s">
        <v>2147</v>
      </c>
      <c r="L20" s="91"/>
      <c r="M20" s="91"/>
      <c r="N20" s="91">
        <v>84.99</v>
      </c>
    </row>
    <row r="21" spans="1:14" x14ac:dyDescent="0.2">
      <c r="K21" s="91"/>
      <c r="L21" s="91"/>
      <c r="M21" s="91"/>
      <c r="N21" s="91"/>
    </row>
    <row r="22" spans="1:14" x14ac:dyDescent="0.2">
      <c r="K22" s="91" t="s">
        <v>4733</v>
      </c>
      <c r="L22" s="91"/>
      <c r="M22" s="91"/>
      <c r="N22" s="91"/>
    </row>
    <row r="23" spans="1:14" x14ac:dyDescent="0.2">
      <c r="K23" s="91" t="s">
        <v>4736</v>
      </c>
      <c r="L23" s="91"/>
      <c r="M23" s="91"/>
      <c r="N23" s="91">
        <f>3810*0.03</f>
        <v>114.3</v>
      </c>
    </row>
    <row r="24" spans="1:14" x14ac:dyDescent="0.2">
      <c r="K24" s="91" t="s">
        <v>4737</v>
      </c>
      <c r="L24" s="91"/>
      <c r="M24" s="91"/>
      <c r="N24" s="91">
        <f>705*0.5</f>
        <v>352.5</v>
      </c>
    </row>
    <row r="25" spans="1:14" x14ac:dyDescent="0.2">
      <c r="A25" s="93"/>
      <c r="B25" s="93"/>
      <c r="K25" s="91" t="s">
        <v>2147</v>
      </c>
      <c r="L25" s="91"/>
      <c r="M25" s="91"/>
      <c r="N25" s="91">
        <v>28.01</v>
      </c>
    </row>
    <row r="27" spans="1:14" x14ac:dyDescent="0.2">
      <c r="K27" s="91" t="s">
        <v>6425</v>
      </c>
      <c r="L27" s="91"/>
      <c r="M27" s="91"/>
      <c r="N27" s="91">
        <v>300</v>
      </c>
    </row>
    <row r="28" spans="1:14" x14ac:dyDescent="0.2">
      <c r="K28" s="91" t="s">
        <v>2147</v>
      </c>
      <c r="N28" s="91">
        <f>N27*6%</f>
        <v>18</v>
      </c>
    </row>
    <row r="29" spans="1:14" x14ac:dyDescent="0.2">
      <c r="K29" s="91"/>
      <c r="L29" s="91"/>
      <c r="M29" s="91"/>
      <c r="N29" s="91"/>
    </row>
    <row r="31" spans="1:14" x14ac:dyDescent="0.2">
      <c r="K31" s="91" t="s">
        <v>6500</v>
      </c>
      <c r="L31" s="91"/>
      <c r="M31" s="91"/>
      <c r="N31" s="91">
        <f>3777*0.03</f>
        <v>113.31</v>
      </c>
    </row>
    <row r="32" spans="1:14" x14ac:dyDescent="0.2">
      <c r="K32" s="91" t="s">
        <v>6501</v>
      </c>
      <c r="L32" s="91"/>
      <c r="M32" s="91"/>
      <c r="N32" s="91">
        <f>1559*0.5</f>
        <v>779.5</v>
      </c>
    </row>
    <row r="33" spans="1:14" x14ac:dyDescent="0.2">
      <c r="A33" s="106"/>
      <c r="F33" s="1"/>
      <c r="K33" s="91" t="s">
        <v>2147</v>
      </c>
      <c r="L33" s="91"/>
      <c r="M33" s="91"/>
      <c r="N33" s="91">
        <f>SUM(N31+N32)*6%</f>
        <v>53.568599999999996</v>
      </c>
    </row>
    <row r="34" spans="1:14" ht="13.5" thickBot="1" x14ac:dyDescent="0.25">
      <c r="A34" s="106"/>
      <c r="F34" s="107">
        <f>SUM(F18:F33)</f>
        <v>50</v>
      </c>
    </row>
    <row r="35" spans="1:14" ht="13.5" thickTop="1" x14ac:dyDescent="0.2">
      <c r="A35" s="106"/>
    </row>
    <row r="36" spans="1:14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Fifty and NO/100 -----------</v>
      </c>
      <c r="C36" s="97"/>
      <c r="D36" s="236"/>
      <c r="E36" s="232"/>
      <c r="F36" s="232"/>
    </row>
    <row r="37" spans="1:14" x14ac:dyDescent="0.2">
      <c r="A37" s="94"/>
    </row>
    <row r="38" spans="1:14" ht="25.5" x14ac:dyDescent="0.2">
      <c r="A38" s="91" t="s">
        <v>10</v>
      </c>
      <c r="D38" s="218" t="s">
        <v>3975</v>
      </c>
      <c r="E38" s="219"/>
      <c r="F38" s="220"/>
    </row>
    <row r="39" spans="1:14" x14ac:dyDescent="0.2">
      <c r="D39" s="227"/>
      <c r="E39" s="227"/>
      <c r="F39" s="227"/>
    </row>
    <row r="40" spans="1:14" x14ac:dyDescent="0.2">
      <c r="D40" s="228"/>
      <c r="E40" s="229"/>
      <c r="F40" s="229"/>
    </row>
    <row r="41" spans="1:14" x14ac:dyDescent="0.2">
      <c r="A41" s="1"/>
    </row>
    <row r="42" spans="1:14" x14ac:dyDescent="0.2">
      <c r="A42" s="101"/>
      <c r="B42" s="101"/>
    </row>
    <row r="44" spans="1:14" x14ac:dyDescent="0.2">
      <c r="A44" s="91" t="s">
        <v>8</v>
      </c>
      <c r="D44" s="98" t="s">
        <v>7</v>
      </c>
      <c r="F44" s="102"/>
    </row>
    <row r="48" spans="1:14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E724-56EC-4EAC-AEF8-4919E608B6E6}">
  <sheetPr codeName="Sheet667">
    <pageSetUpPr fitToPage="1"/>
  </sheetPr>
  <dimension ref="A1:K56"/>
  <sheetViews>
    <sheetView topLeftCell="A4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7109375" style="91" customWidth="1"/>
    <col min="4" max="4" width="21" style="91" customWidth="1"/>
    <col min="5" max="5" width="2" style="91" customWidth="1"/>
    <col min="6" max="6" width="16.42578125" style="91" customWidth="1"/>
    <col min="7" max="7" width="10.140625" style="91" customWidth="1"/>
    <col min="8" max="8" width="13.28515625" style="91" customWidth="1"/>
    <col min="9" max="10" width="9.140625" style="91"/>
    <col min="11" max="11" width="10.28515625" style="91" bestFit="1" customWidth="1"/>
    <col min="12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1300</v>
      </c>
      <c r="G9" s="155" t="s">
        <v>7853</v>
      </c>
    </row>
    <row r="10" spans="1:8" x14ac:dyDescent="0.2">
      <c r="A10" s="91" t="s">
        <v>6763</v>
      </c>
      <c r="F10" s="92" t="s">
        <v>1356</v>
      </c>
      <c r="G10" s="155" t="s">
        <v>7847</v>
      </c>
    </row>
    <row r="11" spans="1:8" x14ac:dyDescent="0.2">
      <c r="A11" s="91" t="s">
        <v>6764</v>
      </c>
      <c r="F11" s="92" t="s">
        <v>1364</v>
      </c>
      <c r="G11" s="155" t="s">
        <v>1220</v>
      </c>
    </row>
    <row r="12" spans="1:8" x14ac:dyDescent="0.2">
      <c r="A12" s="91" t="s">
        <v>6765</v>
      </c>
      <c r="F12" s="92" t="s">
        <v>1224</v>
      </c>
      <c r="G12" s="94" t="s">
        <v>7854</v>
      </c>
    </row>
    <row r="13" spans="1:8" x14ac:dyDescent="0.2">
      <c r="A13" s="91" t="s">
        <v>1314</v>
      </c>
      <c r="G13" s="91" t="s">
        <v>6823</v>
      </c>
    </row>
    <row r="14" spans="1:8" x14ac:dyDescent="0.2">
      <c r="A14" s="91" t="s">
        <v>6766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106"/>
    </row>
    <row r="18" spans="1:11" x14ac:dyDescent="0.2">
      <c r="D18" s="2" t="s">
        <v>6502</v>
      </c>
      <c r="E18" s="2"/>
      <c r="K18" s="110"/>
    </row>
    <row r="19" spans="1:11" x14ac:dyDescent="0.2">
      <c r="A19" s="106"/>
      <c r="D19" s="2"/>
      <c r="E19" s="2"/>
    </row>
    <row r="20" spans="1:11" x14ac:dyDescent="0.2">
      <c r="A20" s="137" t="s">
        <v>7852</v>
      </c>
      <c r="B20" s="93" t="s">
        <v>7856</v>
      </c>
      <c r="C20" s="93"/>
      <c r="D20" s="94" t="s">
        <v>7857</v>
      </c>
      <c r="H20" s="91">
        <v>2000</v>
      </c>
    </row>
    <row r="21" spans="1:11" x14ac:dyDescent="0.2">
      <c r="A21" s="137"/>
      <c r="D21" s="91" t="s">
        <v>7858</v>
      </c>
      <c r="H21" s="91">
        <v>375</v>
      </c>
    </row>
    <row r="22" spans="1:11" x14ac:dyDescent="0.2">
      <c r="A22" s="106"/>
      <c r="D22" s="91" t="s">
        <v>7859</v>
      </c>
      <c r="H22" s="110"/>
    </row>
    <row r="23" spans="1:11" x14ac:dyDescent="0.2">
      <c r="A23" s="137"/>
      <c r="D23" s="91" t="s">
        <v>7860</v>
      </c>
    </row>
    <row r="24" spans="1:11" x14ac:dyDescent="0.2">
      <c r="A24" s="106"/>
      <c r="D24" s="91" t="s">
        <v>7861</v>
      </c>
      <c r="H24" s="91">
        <v>400</v>
      </c>
    </row>
    <row r="25" spans="1:11" x14ac:dyDescent="0.2">
      <c r="A25" s="137"/>
      <c r="D25" s="91" t="s">
        <v>7862</v>
      </c>
      <c r="H25" s="91">
        <v>-277.5</v>
      </c>
    </row>
    <row r="26" spans="1:11" x14ac:dyDescent="0.2">
      <c r="A26" s="137"/>
    </row>
    <row r="27" spans="1:11" x14ac:dyDescent="0.2">
      <c r="A27" s="137" t="s">
        <v>7852</v>
      </c>
      <c r="B27" s="453" t="s">
        <v>7855</v>
      </c>
      <c r="D27" s="91" t="s">
        <v>7863</v>
      </c>
      <c r="H27" s="91">
        <v>4000</v>
      </c>
    </row>
    <row r="28" spans="1:11" x14ac:dyDescent="0.2">
      <c r="A28" s="106"/>
      <c r="D28" s="91" t="s">
        <v>7864</v>
      </c>
    </row>
    <row r="29" spans="1:11" x14ac:dyDescent="0.2">
      <c r="A29" s="106"/>
      <c r="D29" s="91" t="s">
        <v>7865</v>
      </c>
    </row>
    <row r="30" spans="1:11" x14ac:dyDescent="0.2">
      <c r="A30" s="106"/>
      <c r="D30" s="91" t="s">
        <v>7866</v>
      </c>
      <c r="H30" s="91">
        <v>-1200</v>
      </c>
    </row>
    <row r="34" spans="1:8" x14ac:dyDescent="0.2">
      <c r="A34" s="106"/>
    </row>
    <row r="35" spans="1:8" x14ac:dyDescent="0.2">
      <c r="A35" s="106"/>
    </row>
    <row r="36" spans="1:8" ht="13.5" thickBot="1" x14ac:dyDescent="0.25">
      <c r="A36" s="106"/>
      <c r="H36" s="107">
        <f>SUM(H19:H34)</f>
        <v>5297.5</v>
      </c>
    </row>
    <row r="37" spans="1:8" ht="13.5" thickTop="1" x14ac:dyDescent="0.2">
      <c r="A37" s="106"/>
      <c r="H37" s="101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Two Hundred Ninety-Seven and 50/100 -----------</v>
      </c>
      <c r="C38" s="185"/>
      <c r="D38" s="97"/>
      <c r="E38" s="97"/>
      <c r="F38" s="97"/>
      <c r="G38" s="97"/>
      <c r="H38" s="207"/>
    </row>
    <row r="39" spans="1:8" ht="20.25" customHeight="1" x14ac:dyDescent="0.2">
      <c r="A39" s="113"/>
      <c r="B39" s="113"/>
      <c r="C39" s="113"/>
      <c r="D39" s="61"/>
      <c r="E39" s="61"/>
      <c r="F39" s="97"/>
      <c r="G39" s="97"/>
      <c r="H39" s="207"/>
    </row>
    <row r="40" spans="1:8" ht="25.5" x14ac:dyDescent="0.2">
      <c r="A40" s="61" t="s">
        <v>10</v>
      </c>
      <c r="F40" s="218" t="s">
        <v>3975</v>
      </c>
      <c r="G40" s="219"/>
      <c r="H40" s="220"/>
    </row>
    <row r="43" spans="1:8" x14ac:dyDescent="0.2">
      <c r="F43" s="227"/>
      <c r="G43" s="227"/>
      <c r="H43" s="227"/>
    </row>
    <row r="44" spans="1:8" x14ac:dyDescent="0.2">
      <c r="A44" s="91" t="s">
        <v>120</v>
      </c>
      <c r="D44" s="99"/>
      <c r="E44" s="99"/>
      <c r="F44" s="228"/>
      <c r="G44" s="229"/>
      <c r="H44" s="229"/>
    </row>
    <row r="45" spans="1:8" x14ac:dyDescent="0.2">
      <c r="A45" s="101"/>
      <c r="B45" s="101"/>
    </row>
    <row r="47" spans="1:8" x14ac:dyDescent="0.2">
      <c r="A47" s="91" t="s">
        <v>8</v>
      </c>
      <c r="D47" s="91" t="s">
        <v>8</v>
      </c>
      <c r="F47" s="98" t="s">
        <v>7</v>
      </c>
      <c r="H47" s="102"/>
    </row>
    <row r="51" spans="1:8" x14ac:dyDescent="0.2">
      <c r="A51" s="101"/>
      <c r="B51" s="101"/>
      <c r="D51" s="101"/>
      <c r="F51" s="101"/>
      <c r="G51" s="101"/>
      <c r="H51" s="101"/>
    </row>
    <row r="52" spans="1:8" s="61" customFormat="1" ht="17.100000000000001" customHeight="1" x14ac:dyDescent="0.2">
      <c r="A52" s="61" t="s">
        <v>4066</v>
      </c>
      <c r="B52" s="104"/>
      <c r="C52" s="104"/>
      <c r="D52" s="61" t="s">
        <v>50</v>
      </c>
      <c r="F52" s="61" t="s">
        <v>3</v>
      </c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523">
    <pageSetUpPr fitToPage="1"/>
  </sheetPr>
  <dimension ref="A1:F53"/>
  <sheetViews>
    <sheetView workbookViewId="0">
      <selection activeCell="H13" sqref="H13"/>
    </sheetView>
  </sheetViews>
  <sheetFormatPr defaultRowHeight="12.75" x14ac:dyDescent="0.2"/>
  <cols>
    <col min="1" max="1" width="14.42578125" style="91" customWidth="1"/>
    <col min="2" max="2" width="13.710937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61" t="s">
        <v>5135</v>
      </c>
    </row>
    <row r="10" spans="1:6" x14ac:dyDescent="0.2">
      <c r="A10" s="91" t="s">
        <v>5137</v>
      </c>
      <c r="D10" s="92" t="s">
        <v>1444</v>
      </c>
      <c r="E10" s="113" t="s">
        <v>5131</v>
      </c>
    </row>
    <row r="11" spans="1:6" x14ac:dyDescent="0.2">
      <c r="A11" s="91" t="s">
        <v>5138</v>
      </c>
      <c r="D11" s="92" t="s">
        <v>1330</v>
      </c>
      <c r="E11" s="113" t="s">
        <v>1220</v>
      </c>
    </row>
    <row r="12" spans="1:6" x14ac:dyDescent="0.2">
      <c r="A12" s="91" t="s">
        <v>5139</v>
      </c>
      <c r="D12" s="92" t="s">
        <v>1224</v>
      </c>
      <c r="E12" s="113" t="s">
        <v>5136</v>
      </c>
    </row>
    <row r="13" spans="1:6" x14ac:dyDescent="0.2">
      <c r="A13" s="91" t="s">
        <v>5140</v>
      </c>
    </row>
    <row r="14" spans="1:6" x14ac:dyDescent="0.2">
      <c r="A14" s="91" t="s">
        <v>5141</v>
      </c>
    </row>
    <row r="16" spans="1:6" s="14" customFormat="1" ht="20.100000000000001" customHeight="1" x14ac:dyDescent="0.2">
      <c r="A16" s="17" t="s">
        <v>1247</v>
      </c>
      <c r="B16" s="17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5085</v>
      </c>
    </row>
    <row r="19" spans="1:6" x14ac:dyDescent="0.2">
      <c r="C19" s="2"/>
    </row>
    <row r="20" spans="1:6" x14ac:dyDescent="0.2">
      <c r="A20" s="93" t="s">
        <v>5134</v>
      </c>
      <c r="B20" s="93" t="s">
        <v>5142</v>
      </c>
      <c r="C20" s="91" t="s">
        <v>5143</v>
      </c>
      <c r="F20" s="91">
        <v>660</v>
      </c>
    </row>
    <row r="22" spans="1:6" x14ac:dyDescent="0.2">
      <c r="A22" s="93"/>
      <c r="B22" s="93"/>
    </row>
    <row r="24" spans="1:6" x14ac:dyDescent="0.2">
      <c r="A24" s="93"/>
      <c r="B24" s="93"/>
    </row>
    <row r="25" spans="1:6" x14ac:dyDescent="0.2">
      <c r="F25" s="2"/>
    </row>
    <row r="26" spans="1:6" x14ac:dyDescent="0.2">
      <c r="F26" s="2"/>
    </row>
    <row r="27" spans="1:6" x14ac:dyDescent="0.2">
      <c r="F27" s="2"/>
    </row>
    <row r="28" spans="1:6" x14ac:dyDescent="0.2">
      <c r="A28" s="93"/>
      <c r="B28" s="93"/>
    </row>
    <row r="29" spans="1:6" x14ac:dyDescent="0.2">
      <c r="B29" s="94"/>
    </row>
    <row r="32" spans="1:6" x14ac:dyDescent="0.2">
      <c r="B32" s="94"/>
      <c r="C32" s="94"/>
    </row>
    <row r="34" spans="1:6" ht="13.5" thickBot="1" x14ac:dyDescent="0.25">
      <c r="F34" s="95">
        <f>SUM(F20:F33)</f>
        <v>660</v>
      </c>
    </row>
    <row r="35" spans="1:6" ht="13.5" thickTop="1" x14ac:dyDescent="0.2"/>
    <row r="36" spans="1:6" ht="20.100000000000001" customHeight="1" x14ac:dyDescent="0.2">
      <c r="A36" s="96" t="s">
        <v>122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Hundred Sixty and NO/100 -----------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2" spans="1:6" x14ac:dyDescent="0.2">
      <c r="A42" s="101"/>
      <c r="B42" s="101"/>
    </row>
    <row r="44" spans="1:6" x14ac:dyDescent="0.2">
      <c r="A44" s="98" t="s">
        <v>8</v>
      </c>
      <c r="D44" s="98" t="s">
        <v>7</v>
      </c>
      <c r="F44" s="102"/>
    </row>
    <row r="48" spans="1:6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91" t="s">
        <v>4066</v>
      </c>
      <c r="B49" s="104"/>
      <c r="D49" s="61" t="s">
        <v>3</v>
      </c>
    </row>
    <row r="50" spans="1:4" x14ac:dyDescent="0.2"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636"/>
  <dimension ref="A1:H68"/>
  <sheetViews>
    <sheetView view="pageBreakPreview" topLeftCell="A45" zoomScale="60" zoomScaleNormal="100" workbookViewId="0">
      <selection activeCell="H49" sqref="H49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5" t="s">
        <v>8757</v>
      </c>
    </row>
    <row r="10" spans="1:8" x14ac:dyDescent="0.2">
      <c r="A10" s="91" t="s">
        <v>6337</v>
      </c>
      <c r="F10" s="92" t="s">
        <v>1329</v>
      </c>
      <c r="G10" s="155" t="s">
        <v>8732</v>
      </c>
    </row>
    <row r="11" spans="1:8" x14ac:dyDescent="0.2">
      <c r="A11" s="91" t="s">
        <v>6338</v>
      </c>
      <c r="F11" s="92" t="s">
        <v>1330</v>
      </c>
      <c r="G11" s="155" t="s">
        <v>1220</v>
      </c>
    </row>
    <row r="12" spans="1:8" x14ac:dyDescent="0.2">
      <c r="A12" s="91" t="s">
        <v>1245</v>
      </c>
      <c r="F12" s="92" t="s">
        <v>1331</v>
      </c>
      <c r="G12" s="94" t="s">
        <v>8758</v>
      </c>
    </row>
    <row r="13" spans="1:8" x14ac:dyDescent="0.2">
      <c r="A13" s="91" t="s">
        <v>6339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8763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8691</v>
      </c>
      <c r="B20" s="93" t="s">
        <v>8764</v>
      </c>
      <c r="C20" s="93"/>
      <c r="D20" s="91" t="s">
        <v>8765</v>
      </c>
      <c r="H20" s="91">
        <f>14433+2238</f>
        <v>16671</v>
      </c>
    </row>
    <row r="21" spans="1:8" x14ac:dyDescent="0.2">
      <c r="A21" s="93"/>
      <c r="B21" s="94"/>
      <c r="C21" s="94"/>
      <c r="D21" s="91" t="s">
        <v>8766</v>
      </c>
    </row>
    <row r="22" spans="1:8" x14ac:dyDescent="0.2">
      <c r="A22" s="93"/>
      <c r="B22" s="460"/>
      <c r="C22" s="460"/>
    </row>
    <row r="23" spans="1:8" x14ac:dyDescent="0.2">
      <c r="A23" s="93"/>
      <c r="B23" s="93"/>
      <c r="C23" s="93"/>
      <c r="D23" s="91" t="s">
        <v>8767</v>
      </c>
      <c r="H23" s="91">
        <v>3510</v>
      </c>
    </row>
    <row r="24" spans="1:8" x14ac:dyDescent="0.2">
      <c r="A24" s="93"/>
      <c r="B24" s="460"/>
      <c r="C24" s="460"/>
      <c r="D24" s="91" t="s">
        <v>8768</v>
      </c>
    </row>
    <row r="25" spans="1:8" x14ac:dyDescent="0.2">
      <c r="A25" s="93"/>
      <c r="B25" s="93"/>
      <c r="C25" s="93"/>
    </row>
    <row r="26" spans="1:8" x14ac:dyDescent="0.2">
      <c r="A26" s="93" t="s">
        <v>8678</v>
      </c>
      <c r="B26" s="93" t="s">
        <v>8769</v>
      </c>
      <c r="C26" s="94"/>
      <c r="D26" s="91" t="s">
        <v>8770</v>
      </c>
      <c r="H26" s="91">
        <v>56.8</v>
      </c>
    </row>
    <row r="27" spans="1:8" x14ac:dyDescent="0.2">
      <c r="A27" s="93"/>
      <c r="B27" s="94"/>
      <c r="C27" s="94"/>
    </row>
    <row r="28" spans="1:8" x14ac:dyDescent="0.2">
      <c r="A28" s="93"/>
      <c r="B28" s="94"/>
      <c r="C28" s="94"/>
      <c r="D28" s="2" t="s">
        <v>8771</v>
      </c>
    </row>
    <row r="29" spans="1:8" x14ac:dyDescent="0.2">
      <c r="A29" s="93"/>
      <c r="B29" s="94"/>
      <c r="C29" s="94"/>
    </row>
    <row r="30" spans="1:8" x14ac:dyDescent="0.2">
      <c r="A30" s="93" t="s">
        <v>8678</v>
      </c>
      <c r="B30" s="99" t="s">
        <v>8772</v>
      </c>
      <c r="C30" s="99"/>
      <c r="D30" s="91" t="s">
        <v>7285</v>
      </c>
      <c r="H30" s="91">
        <f>3628+1644</f>
        <v>5272</v>
      </c>
    </row>
    <row r="31" spans="1:8" x14ac:dyDescent="0.2">
      <c r="A31" s="93"/>
      <c r="B31" s="99"/>
      <c r="C31" s="99"/>
      <c r="D31" s="91" t="s">
        <v>8773</v>
      </c>
    </row>
    <row r="32" spans="1:8" x14ac:dyDescent="0.2">
      <c r="A32" s="93"/>
      <c r="B32" s="99"/>
      <c r="C32" s="99"/>
    </row>
    <row r="33" spans="1:8" x14ac:dyDescent="0.2">
      <c r="A33" s="93"/>
      <c r="B33" s="509"/>
      <c r="C33" s="509"/>
      <c r="D33" s="91" t="s">
        <v>7285</v>
      </c>
      <c r="H33" s="91">
        <f>200.52+32.48</f>
        <v>233</v>
      </c>
    </row>
    <row r="34" spans="1:8" x14ac:dyDescent="0.2">
      <c r="A34" s="93"/>
      <c r="B34" s="509"/>
      <c r="C34" s="509"/>
      <c r="D34" s="91" t="s">
        <v>8774</v>
      </c>
    </row>
    <row r="35" spans="1:8" x14ac:dyDescent="0.2">
      <c r="A35" s="93"/>
      <c r="B35" s="509"/>
      <c r="C35" s="509"/>
    </row>
    <row r="36" spans="1:8" x14ac:dyDescent="0.2">
      <c r="A36" s="93"/>
      <c r="B36" s="509"/>
      <c r="C36" s="509"/>
      <c r="D36" s="91" t="s">
        <v>8775</v>
      </c>
      <c r="H36" s="91">
        <v>5397</v>
      </c>
    </row>
    <row r="37" spans="1:8" x14ac:dyDescent="0.2">
      <c r="A37" s="93"/>
      <c r="B37" s="509"/>
      <c r="C37" s="509"/>
    </row>
    <row r="38" spans="1:8" x14ac:dyDescent="0.2">
      <c r="A38" s="93" t="s">
        <v>8678</v>
      </c>
      <c r="B38" s="509" t="s">
        <v>8776</v>
      </c>
      <c r="C38" s="509"/>
      <c r="D38" s="91" t="s">
        <v>8777</v>
      </c>
      <c r="H38" s="91">
        <f>4145.52+1675.48</f>
        <v>5821</v>
      </c>
    </row>
    <row r="39" spans="1:8" x14ac:dyDescent="0.2">
      <c r="A39" s="93"/>
      <c r="B39" s="509"/>
      <c r="C39" s="509"/>
      <c r="D39" s="91" t="s">
        <v>8778</v>
      </c>
    </row>
    <row r="40" spans="1:8" x14ac:dyDescent="0.2">
      <c r="A40" s="93"/>
      <c r="B40" s="509"/>
      <c r="C40" s="509"/>
    </row>
    <row r="41" spans="1:8" x14ac:dyDescent="0.2">
      <c r="A41" s="93"/>
      <c r="B41" s="509"/>
      <c r="C41" s="509"/>
      <c r="D41" s="91" t="s">
        <v>8779</v>
      </c>
      <c r="H41" s="91">
        <f>717*7</f>
        <v>5019</v>
      </c>
    </row>
    <row r="42" spans="1:8" x14ac:dyDescent="0.2">
      <c r="A42" s="93"/>
      <c r="B42" s="509"/>
      <c r="C42" s="509"/>
    </row>
    <row r="43" spans="1:8" x14ac:dyDescent="0.2">
      <c r="A43" s="93" t="s">
        <v>8678</v>
      </c>
      <c r="B43" s="509" t="s">
        <v>8780</v>
      </c>
      <c r="C43" s="509"/>
      <c r="D43" s="91" t="s">
        <v>7673</v>
      </c>
      <c r="H43" s="91">
        <f>3776.52+1673.48</f>
        <v>5450</v>
      </c>
    </row>
    <row r="44" spans="1:8" x14ac:dyDescent="0.2">
      <c r="A44" s="93"/>
      <c r="B44" s="509"/>
      <c r="C44" s="509"/>
      <c r="D44" s="91" t="s">
        <v>8778</v>
      </c>
    </row>
    <row r="45" spans="1:8" x14ac:dyDescent="0.2">
      <c r="A45" s="93"/>
      <c r="B45" s="509"/>
      <c r="C45" s="509"/>
    </row>
    <row r="46" spans="1:8" x14ac:dyDescent="0.2">
      <c r="A46" s="93"/>
      <c r="B46" s="509"/>
      <c r="C46" s="509"/>
      <c r="D46" s="91" t="s">
        <v>8775</v>
      </c>
      <c r="H46" s="91">
        <f>771*7</f>
        <v>5397</v>
      </c>
    </row>
    <row r="47" spans="1:8" x14ac:dyDescent="0.2">
      <c r="A47" s="7"/>
      <c r="B47" s="1"/>
      <c r="C47" s="1"/>
      <c r="D47" s="1"/>
      <c r="E47" s="1"/>
      <c r="F47" s="1"/>
      <c r="G47" s="1"/>
      <c r="H47" s="1"/>
    </row>
    <row r="48" spans="1:8" ht="13.5" thickBot="1" x14ac:dyDescent="0.25">
      <c r="A48" s="106"/>
      <c r="H48" s="361">
        <f>SUM(H19:H47)</f>
        <v>52826.8</v>
      </c>
    </row>
    <row r="49" spans="1:8" ht="13.5" thickTop="1" x14ac:dyDescent="0.2">
      <c r="A49" s="106"/>
    </row>
    <row r="50" spans="1:8" ht="20.100000000000001" customHeight="1" x14ac:dyDescent="0.2">
      <c r="A50" s="96" t="s">
        <v>1248</v>
      </c>
      <c r="B50" s="185" t="str">
        <f>IF(OR(H48&gt;1000000,H48&lt;=0),"",IF(H48&lt;1000,"",IF(MOD(H48,1000000)&gt;=100000,INDEX(numbers,TRUNC(MOD(H48,1000000)/100000,0)+1)&amp;" Hundred","")&amp;IF(MOD(H48,100000)&gt;=20000," "&amp;INDEX(tens,TRUNC(MOD(H48,100000)/10000,0)+1)&amp;IF(MOD(MOD(H48,100000),10000)&gt;=1000,"-"&amp;INDEX(numbers,TRUNC(MOD(MOD(H48,100000),10000)/1000,0)+1),""),IF(MOD(H48,100000)&gt;=1000," "&amp;INDEX(numbers,TRUNC(MOD(H48,100000)/1000,0)+1),""))&amp;" Thousand") &amp; IF(H48&lt;1,"Zero Dollars",IF(MOD(H48,1000)&gt;=100," "&amp;INDEX(numbers,TRUNC(MOD(H48,1000)/100,0)+1)&amp;" Hundred","")&amp;IF(MOD(H48,100)&gt;=20," "&amp;INDEX(tens,TRUNC(MOD(H48,100)/10,0)+1)&amp;IF(MOD(MOD(H48,100),10)&gt;=1,"-"&amp;INDEX(numbers,TRUNC(MOD(MOD(H48,100),10),0)+1),""),IF(MOD(H48,100)&gt;=1," "&amp;INDEX(numbers,TRUNC(MOD(H48,100),0)+1),""))&amp;"") &amp; " and " &amp; IF(MOD(H48,1)&lt;0.005,"NO",ROUND(MOD(H48,1)*100,0)) &amp; "/100 -----------")</f>
        <v xml:space="preserve"> Fifty-Two Thousand Eight Hundred Twenty-Six and 80/100 -----------</v>
      </c>
      <c r="C50" s="185"/>
      <c r="D50" s="97"/>
      <c r="E50" s="97"/>
      <c r="F50" s="236"/>
      <c r="G50" s="232"/>
      <c r="H50" s="232"/>
    </row>
    <row r="51" spans="1:8" x14ac:dyDescent="0.2">
      <c r="A51" s="94"/>
    </row>
    <row r="52" spans="1:8" ht="25.5" x14ac:dyDescent="0.2">
      <c r="A52" s="91" t="s">
        <v>10</v>
      </c>
      <c r="F52" s="218" t="s">
        <v>3975</v>
      </c>
      <c r="G52" s="219"/>
      <c r="H52" s="220"/>
    </row>
    <row r="53" spans="1:8" x14ac:dyDescent="0.2">
      <c r="F53" s="227"/>
      <c r="G53" s="227"/>
      <c r="H53" s="227"/>
    </row>
    <row r="54" spans="1:8" x14ac:dyDescent="0.2">
      <c r="F54" s="228"/>
      <c r="G54" s="229"/>
      <c r="H54" s="229"/>
    </row>
    <row r="55" spans="1:8" x14ac:dyDescent="0.2">
      <c r="A55" s="1"/>
    </row>
    <row r="56" spans="1:8" x14ac:dyDescent="0.2">
      <c r="A56" s="101"/>
      <c r="B56" s="101"/>
    </row>
    <row r="57" spans="1:8" x14ac:dyDescent="0.2">
      <c r="D57" s="61"/>
    </row>
    <row r="58" spans="1:8" x14ac:dyDescent="0.2">
      <c r="D58" s="61"/>
    </row>
    <row r="59" spans="1:8" x14ac:dyDescent="0.2">
      <c r="A59" s="91" t="s">
        <v>8</v>
      </c>
      <c r="D59" s="91" t="s">
        <v>8</v>
      </c>
      <c r="F59" s="98" t="s">
        <v>7</v>
      </c>
      <c r="H59" s="102"/>
    </row>
    <row r="63" spans="1:8" x14ac:dyDescent="0.2">
      <c r="A63" s="101" t="s">
        <v>120</v>
      </c>
      <c r="B63" s="101"/>
      <c r="D63" s="101" t="s">
        <v>120</v>
      </c>
      <c r="F63" s="101"/>
      <c r="G63" s="101"/>
      <c r="H63" s="101"/>
    </row>
    <row r="64" spans="1:8" s="3" customFormat="1" ht="17.100000000000001" customHeight="1" x14ac:dyDescent="0.2">
      <c r="A64" s="61" t="s">
        <v>4066</v>
      </c>
      <c r="B64" s="104"/>
      <c r="C64" s="104"/>
      <c r="D64" s="61" t="s">
        <v>50</v>
      </c>
      <c r="E64" s="61"/>
      <c r="F64" s="61" t="s">
        <v>3</v>
      </c>
      <c r="G64" s="61"/>
      <c r="H64" s="61"/>
    </row>
    <row r="65" spans="6:6" x14ac:dyDescent="0.2">
      <c r="F65" s="91" t="s">
        <v>2</v>
      </c>
    </row>
    <row r="67" spans="6:6" x14ac:dyDescent="0.2">
      <c r="F67" s="2" t="s">
        <v>1</v>
      </c>
    </row>
    <row r="68" spans="6:6" x14ac:dyDescent="0.2">
      <c r="F6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  <rowBreaks count="1" manualBreakCount="1">
    <brk id="51" max="7" man="1"/>
  </row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520">
    <pageSetUpPr fitToPage="1"/>
  </sheetPr>
  <dimension ref="A1:H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A9" s="91" t="s">
        <v>5313</v>
      </c>
      <c r="F9" s="92" t="s">
        <v>1705</v>
      </c>
      <c r="G9" s="91" t="s">
        <v>5324</v>
      </c>
    </row>
    <row r="10" spans="1:8" s="91" customFormat="1" x14ac:dyDescent="0.2">
      <c r="A10" s="91" t="s">
        <v>5314</v>
      </c>
      <c r="F10" s="92" t="s">
        <v>1706</v>
      </c>
      <c r="G10" s="92" t="s">
        <v>5323</v>
      </c>
    </row>
    <row r="11" spans="1:8" s="91" customFormat="1" x14ac:dyDescent="0.2">
      <c r="A11" s="91" t="s">
        <v>3162</v>
      </c>
      <c r="F11" s="92" t="s">
        <v>1707</v>
      </c>
      <c r="G11" s="92" t="s">
        <v>1220</v>
      </c>
    </row>
    <row r="12" spans="1:8" s="91" customFormat="1" x14ac:dyDescent="0.2">
      <c r="A12" s="91" t="s">
        <v>5315</v>
      </c>
      <c r="F12" s="92" t="s">
        <v>1355</v>
      </c>
      <c r="G12" s="94" t="s">
        <v>5325</v>
      </c>
    </row>
    <row r="13" spans="1:8" s="91" customFormat="1" x14ac:dyDescent="0.2"/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 t="s">
        <v>5326</v>
      </c>
      <c r="B18" s="93" t="s">
        <v>5327</v>
      </c>
      <c r="C18" s="93"/>
      <c r="D18" s="91" t="s">
        <v>5316</v>
      </c>
      <c r="H18" s="91">
        <f>8500*60%</f>
        <v>5100</v>
      </c>
    </row>
    <row r="19" spans="1:8" s="91" customFormat="1" x14ac:dyDescent="0.2">
      <c r="A19" s="93"/>
      <c r="B19" s="93"/>
      <c r="C19" s="93"/>
      <c r="D19" s="91" t="s">
        <v>5328</v>
      </c>
    </row>
    <row r="20" spans="1:8" s="91" customFormat="1" x14ac:dyDescent="0.2">
      <c r="A20" s="93"/>
      <c r="B20" s="93"/>
      <c r="C20" s="93"/>
    </row>
    <row r="21" spans="1:8" s="91" customFormat="1" x14ac:dyDescent="0.2"/>
    <row r="22" spans="1:8" s="91" customFormat="1" x14ac:dyDescent="0.2">
      <c r="A22" s="93"/>
      <c r="B22" s="93"/>
      <c r="C22" s="93"/>
    </row>
    <row r="23" spans="1:8" s="91" customFormat="1" x14ac:dyDescent="0.2">
      <c r="D23" s="2"/>
      <c r="E23" s="2"/>
    </row>
    <row r="24" spans="1:8" s="91" customFormat="1" x14ac:dyDescent="0.2">
      <c r="A24" s="93"/>
      <c r="B24" s="93"/>
      <c r="C24" s="93"/>
    </row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  <c r="D26" s="2"/>
      <c r="E26" s="2"/>
    </row>
    <row r="27" spans="1:8" s="91" customFormat="1" x14ac:dyDescent="0.2"/>
    <row r="28" spans="1:8" s="91" customFormat="1" x14ac:dyDescent="0.2">
      <c r="A28" s="93"/>
      <c r="B28" s="93"/>
      <c r="C28" s="93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SUM(H18:H33)</f>
        <v>5100</v>
      </c>
    </row>
    <row r="35" spans="1:8" s="91" customFormat="1" ht="13.5" thickTop="1" x14ac:dyDescent="0.2"/>
    <row r="36" spans="1:8" s="91" customFormat="1" ht="21.75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Thousand One Hundred and NO/100 -----------</v>
      </c>
      <c r="C36" s="185"/>
      <c r="D36" s="97"/>
      <c r="E36" s="97"/>
      <c r="F36" s="237"/>
      <c r="G36" s="237"/>
      <c r="H36" s="237"/>
    </row>
    <row r="37" spans="1:8" s="91" customFormat="1" ht="15.75" customHeight="1" x14ac:dyDescent="0.2">
      <c r="A37" s="113"/>
      <c r="B37" s="103"/>
      <c r="C37" s="103"/>
      <c r="D37" s="61"/>
      <c r="E37" s="61"/>
      <c r="F37" s="227"/>
      <c r="G37" s="227"/>
      <c r="H37" s="227"/>
    </row>
    <row r="38" spans="1:8" s="91" customFormat="1" ht="24" customHeight="1" x14ac:dyDescent="0.2">
      <c r="A38" s="61" t="s">
        <v>10</v>
      </c>
      <c r="B38" s="103"/>
      <c r="C38" s="103"/>
      <c r="D38" s="61"/>
      <c r="E38" s="61"/>
      <c r="F38" s="218" t="s">
        <v>3975</v>
      </c>
      <c r="G38" s="219"/>
      <c r="H38" s="220"/>
    </row>
    <row r="39" spans="1:8" s="91" customFormat="1" x14ac:dyDescent="0.2">
      <c r="F39" s="228"/>
      <c r="G39" s="229"/>
      <c r="H39" s="229"/>
    </row>
    <row r="40" spans="1:8" s="91" customFormat="1" x14ac:dyDescent="0.2"/>
    <row r="41" spans="1:8" s="91" customFormat="1" x14ac:dyDescent="0.2"/>
    <row r="42" spans="1:8" s="91" customFormat="1" x14ac:dyDescent="0.2"/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/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F49" s="101"/>
      <c r="G49" s="101"/>
      <c r="H49" s="101"/>
    </row>
    <row r="50" spans="1:8" s="61" customFormat="1" ht="17.100000000000001" customHeight="1" x14ac:dyDescent="0.2">
      <c r="A50" s="209" t="s">
        <v>4066</v>
      </c>
      <c r="B50" s="104"/>
      <c r="C50" s="104"/>
      <c r="D50" s="91"/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522">
    <pageSetUpPr fitToPage="1"/>
  </sheetPr>
  <dimension ref="A1:F59"/>
  <sheetViews>
    <sheetView workbookViewId="0">
      <selection activeCell="F34" sqref="F34"/>
    </sheetView>
  </sheetViews>
  <sheetFormatPr defaultRowHeight="12.75" x14ac:dyDescent="0.2"/>
  <cols>
    <col min="1" max="1" width="17" style="1" customWidth="1"/>
    <col min="2" max="2" width="13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s="91" customFormat="1" x14ac:dyDescent="0.2">
      <c r="D9" s="92" t="s">
        <v>30</v>
      </c>
      <c r="E9" s="91" t="s">
        <v>5241</v>
      </c>
    </row>
    <row r="10" spans="1:6" s="91" customFormat="1" x14ac:dyDescent="0.2">
      <c r="A10" s="91" t="s">
        <v>5243</v>
      </c>
      <c r="D10" s="92" t="s">
        <v>27</v>
      </c>
      <c r="E10" s="92" t="s">
        <v>5234</v>
      </c>
    </row>
    <row r="11" spans="1:6" s="91" customFormat="1" x14ac:dyDescent="0.2">
      <c r="A11" s="91" t="s">
        <v>5244</v>
      </c>
      <c r="D11" s="92" t="s">
        <v>24</v>
      </c>
      <c r="E11" s="92" t="s">
        <v>1220</v>
      </c>
    </row>
    <row r="12" spans="1:6" s="91" customFormat="1" x14ac:dyDescent="0.2">
      <c r="A12" s="91" t="s">
        <v>5245</v>
      </c>
      <c r="D12" s="92" t="s">
        <v>22</v>
      </c>
      <c r="E12" s="94" t="s">
        <v>5242</v>
      </c>
    </row>
    <row r="13" spans="1:6" s="91" customFormat="1" x14ac:dyDescent="0.2">
      <c r="A13" s="91" t="s">
        <v>5246</v>
      </c>
    </row>
    <row r="14" spans="1:6" s="91" customFormat="1" x14ac:dyDescent="0.2">
      <c r="A14" s="91" t="s">
        <v>5247</v>
      </c>
    </row>
    <row r="15" spans="1:6" s="91" customFormat="1" x14ac:dyDescent="0.2"/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5248</v>
      </c>
    </row>
    <row r="19" spans="1:6" s="91" customFormat="1" x14ac:dyDescent="0.2">
      <c r="C19" s="2"/>
    </row>
    <row r="20" spans="1:6" s="91" customFormat="1" x14ac:dyDescent="0.2">
      <c r="A20" s="93" t="s">
        <v>5240</v>
      </c>
      <c r="B20" s="93" t="s">
        <v>5249</v>
      </c>
      <c r="C20" s="91" t="s">
        <v>5250</v>
      </c>
      <c r="F20" s="91">
        <v>4717</v>
      </c>
    </row>
    <row r="21" spans="1:6" s="91" customFormat="1" x14ac:dyDescent="0.2">
      <c r="A21" s="93"/>
      <c r="B21" s="93"/>
      <c r="C21" s="91" t="s">
        <v>2147</v>
      </c>
      <c r="F21" s="91">
        <f>F20*6%</f>
        <v>283.02</v>
      </c>
    </row>
    <row r="22" spans="1:6" s="91" customFormat="1" x14ac:dyDescent="0.2">
      <c r="A22" s="99"/>
      <c r="B22" s="94"/>
    </row>
    <row r="23" spans="1:6" s="91" customFormat="1" x14ac:dyDescent="0.2">
      <c r="C23" s="2"/>
    </row>
    <row r="24" spans="1:6" s="91" customFormat="1" x14ac:dyDescent="0.2">
      <c r="A24" s="99"/>
      <c r="C24" s="2"/>
    </row>
    <row r="25" spans="1:6" s="91" customFormat="1" x14ac:dyDescent="0.2">
      <c r="B25" s="99"/>
      <c r="F25" s="110"/>
    </row>
    <row r="26" spans="1:6" s="91" customFormat="1" x14ac:dyDescent="0.2">
      <c r="A26" s="93"/>
      <c r="B26" s="99"/>
    </row>
    <row r="27" spans="1:6" s="91" customFormat="1" x14ac:dyDescent="0.2">
      <c r="A27" s="99"/>
    </row>
    <row r="28" spans="1:6" s="91" customFormat="1" x14ac:dyDescent="0.2">
      <c r="C28" s="2"/>
    </row>
    <row r="29" spans="1:6" s="91" customFormat="1" x14ac:dyDescent="0.2"/>
    <row r="30" spans="1:6" s="91" customFormat="1" x14ac:dyDescent="0.2">
      <c r="A30" s="93"/>
      <c r="B30" s="93"/>
    </row>
    <row r="31" spans="1:6" s="91" customFormat="1" x14ac:dyDescent="0.2">
      <c r="A31" s="99"/>
    </row>
    <row r="32" spans="1:6" s="91" customFormat="1" x14ac:dyDescent="0.2">
      <c r="A32" s="99"/>
    </row>
    <row r="33" spans="1:6" s="91" customFormat="1" x14ac:dyDescent="0.2">
      <c r="A33" s="99"/>
      <c r="C33" s="2"/>
    </row>
    <row r="34" spans="1:6" s="91" customFormat="1" x14ac:dyDescent="0.2">
      <c r="A34" s="99"/>
    </row>
    <row r="35" spans="1:6" s="91" customFormat="1" x14ac:dyDescent="0.2">
      <c r="A35" s="93"/>
      <c r="B35" s="99"/>
    </row>
    <row r="36" spans="1:6" s="91" customFormat="1" x14ac:dyDescent="0.2">
      <c r="A36" s="99"/>
    </row>
    <row r="37" spans="1:6" s="91" customFormat="1" x14ac:dyDescent="0.2">
      <c r="F37" s="101"/>
    </row>
    <row r="38" spans="1:6" s="91" customFormat="1" ht="13.5" thickBot="1" x14ac:dyDescent="0.25">
      <c r="F38" s="270">
        <f>SUM(F19:F37)</f>
        <v>5000.0200000000004</v>
      </c>
    </row>
    <row r="39" spans="1:6" s="91" customFormat="1" ht="13.5" thickTop="1" x14ac:dyDescent="0.2">
      <c r="F39" s="269"/>
    </row>
    <row r="40" spans="1:6" s="91" customFormat="1" ht="20.100000000000001" customHeight="1" x14ac:dyDescent="0.2">
      <c r="A40" s="96" t="s">
        <v>336</v>
      </c>
      <c r="B40" s="185" t="str">
        <f>IF(OR(F38&gt;1000000,F38&lt;=0),"",IF(F38&lt;1000,"",IF(MOD(F38,1000000)&gt;=100000,INDEX(numbers,TRUNC(MOD(F38,1000000)/100000,0)+1)&amp;" Hundred","")&amp;IF(MOD(F38,100000)&gt;=20000," "&amp;INDEX(teb,TRUNC(MOD(F38,100000)/10000,0)+1)&amp;IF(MOD(MOD(F38,100000),10000)&gt;=1000,"-"&amp;INDEX(numbers,TRUNC(MOD(MOD(F38,100000),10000)/1000,0)+1),""),IF(MOD(F38,100000)&gt;=1000,"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"&amp;INDEX(teb,TRUNC(MOD(F38,100)/10,0)+1)&amp;IF(MOD(MOD(F38,100),10)&gt;=1,"-"&amp;INDEX(numbers,TRUNC(MOD(MOD(F38,100),10),0)+1),""),IF(MOD(F38,100)&gt;=1,"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Five Thousand and 2/100 -----------</v>
      </c>
      <c r="C40" s="97"/>
      <c r="D40" s="97"/>
      <c r="E40" s="97"/>
      <c r="F40" s="207"/>
    </row>
    <row r="41" spans="1:6" s="91" customFormat="1" x14ac:dyDescent="0.2">
      <c r="A41" s="94" t="s">
        <v>11</v>
      </c>
    </row>
    <row r="42" spans="1:6" s="91" customFormat="1" ht="25.5" x14ac:dyDescent="0.2">
      <c r="A42" s="91" t="s">
        <v>10</v>
      </c>
      <c r="D42" s="218" t="s">
        <v>3975</v>
      </c>
      <c r="E42" s="219"/>
      <c r="F42" s="220"/>
    </row>
    <row r="43" spans="1:6" s="91" customFormat="1" x14ac:dyDescent="0.2"/>
    <row r="44" spans="1:6" s="91" customFormat="1" x14ac:dyDescent="0.2">
      <c r="D44" s="227"/>
      <c r="E44" s="227"/>
      <c r="F44" s="227"/>
    </row>
    <row r="45" spans="1:6" s="91" customFormat="1" x14ac:dyDescent="0.2">
      <c r="C45" s="99"/>
      <c r="D45" s="228"/>
      <c r="E45" s="229"/>
      <c r="F45" s="229"/>
    </row>
    <row r="46" spans="1:6" s="91" customFormat="1" x14ac:dyDescent="0.2">
      <c r="A46" s="101"/>
      <c r="B46" s="101"/>
    </row>
    <row r="47" spans="1:6" s="91" customFormat="1" x14ac:dyDescent="0.2"/>
    <row r="48" spans="1:6" s="91" customFormat="1" x14ac:dyDescent="0.2">
      <c r="A48" s="98" t="s">
        <v>8</v>
      </c>
      <c r="D48" s="98" t="s">
        <v>7</v>
      </c>
      <c r="F48" s="102"/>
    </row>
    <row r="49" spans="1:6" s="91" customFormat="1" x14ac:dyDescent="0.2"/>
    <row r="50" spans="1:6" s="91" customFormat="1" x14ac:dyDescent="0.2"/>
    <row r="51" spans="1:6" s="91" customFormat="1" x14ac:dyDescent="0.2"/>
    <row r="52" spans="1:6" s="91" customFormat="1" x14ac:dyDescent="0.2">
      <c r="A52" s="101"/>
      <c r="B52" s="101"/>
      <c r="D52" s="101"/>
      <c r="E52" s="101"/>
      <c r="F52" s="101"/>
    </row>
    <row r="53" spans="1:6" s="61" customFormat="1" ht="17.100000000000001" customHeight="1" x14ac:dyDescent="0.2">
      <c r="A53" s="103" t="s">
        <v>4066</v>
      </c>
      <c r="B53" s="104"/>
      <c r="D53" s="61" t="s">
        <v>3</v>
      </c>
    </row>
    <row r="54" spans="1:6" s="91" customFormat="1" x14ac:dyDescent="0.2">
      <c r="D54" s="91" t="s">
        <v>2</v>
      </c>
    </row>
    <row r="55" spans="1:6" s="91" customFormat="1" x14ac:dyDescent="0.2"/>
    <row r="56" spans="1:6" s="91" customFormat="1" x14ac:dyDescent="0.2">
      <c r="D56" s="2" t="s">
        <v>1</v>
      </c>
    </row>
    <row r="57" spans="1:6" s="91" customFormat="1" x14ac:dyDescent="0.2">
      <c r="D57" s="2" t="s">
        <v>0</v>
      </c>
    </row>
    <row r="58" spans="1:6" s="91" customFormat="1" x14ac:dyDescent="0.2"/>
    <row r="59" spans="1:6" s="91" customFormat="1" x14ac:dyDescent="0.2"/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524">
    <tabColor rgb="FFFFFF00"/>
  </sheetPr>
  <dimension ref="A1:P56"/>
  <sheetViews>
    <sheetView zoomScaleNormal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1317</v>
      </c>
      <c r="G9" s="91" t="s">
        <v>8973</v>
      </c>
    </row>
    <row r="10" spans="1:16" x14ac:dyDescent="0.2">
      <c r="A10" s="91" t="s">
        <v>5219</v>
      </c>
      <c r="F10" s="92" t="s">
        <v>1329</v>
      </c>
      <c r="G10" s="94" t="s">
        <v>8945</v>
      </c>
    </row>
    <row r="11" spans="1:16" x14ac:dyDescent="0.2">
      <c r="A11" s="91" t="s">
        <v>5224</v>
      </c>
      <c r="F11" s="92" t="s">
        <v>1330</v>
      </c>
      <c r="G11" s="91" t="s">
        <v>1220</v>
      </c>
    </row>
    <row r="12" spans="1:16" x14ac:dyDescent="0.2">
      <c r="A12" s="91" t="s">
        <v>5220</v>
      </c>
      <c r="F12" s="92" t="s">
        <v>1331</v>
      </c>
      <c r="G12" s="91" t="s">
        <v>8974</v>
      </c>
    </row>
    <row r="13" spans="1:16" x14ac:dyDescent="0.2">
      <c r="A13" s="91" t="s">
        <v>5221</v>
      </c>
      <c r="G13" s="91" t="s">
        <v>7762</v>
      </c>
    </row>
    <row r="14" spans="1:16" x14ac:dyDescent="0.2">
      <c r="A14" s="91" t="s">
        <v>5222</v>
      </c>
    </row>
    <row r="15" spans="1:16" x14ac:dyDescent="0.2">
      <c r="A15" s="91" t="s">
        <v>5223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440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8975</v>
      </c>
      <c r="E18" s="2"/>
      <c r="M18" s="91"/>
      <c r="N18" s="91"/>
      <c r="O18" s="91"/>
      <c r="P18" s="91"/>
    </row>
    <row r="20" spans="1:16" x14ac:dyDescent="0.2">
      <c r="A20" s="93" t="s">
        <v>8841</v>
      </c>
      <c r="B20" s="93" t="s">
        <v>8976</v>
      </c>
      <c r="C20" s="93"/>
      <c r="D20" s="91" t="s">
        <v>8977</v>
      </c>
      <c r="H20" s="91">
        <f>27.5*100</f>
        <v>2750</v>
      </c>
      <c r="M20" s="91"/>
      <c r="N20" s="91"/>
      <c r="O20" s="91"/>
      <c r="P20" s="91"/>
    </row>
    <row r="21" spans="1:16" x14ac:dyDescent="0.2">
      <c r="A21" s="93"/>
      <c r="B21" s="93"/>
      <c r="C21" s="93"/>
      <c r="M21" s="91"/>
      <c r="N21" s="91"/>
      <c r="O21" s="91"/>
      <c r="P21" s="91"/>
    </row>
    <row r="22" spans="1:16" x14ac:dyDescent="0.2">
      <c r="C22" s="142"/>
      <c r="D22" s="2"/>
      <c r="M22" s="91"/>
      <c r="N22" s="91"/>
      <c r="O22" s="91"/>
      <c r="P22" s="91"/>
    </row>
    <row r="23" spans="1:16" x14ac:dyDescent="0.2">
      <c r="C23" s="93"/>
      <c r="D23" s="2"/>
      <c r="M23" s="91"/>
      <c r="N23" s="91"/>
      <c r="O23" s="91"/>
      <c r="P23" s="91"/>
    </row>
    <row r="24" spans="1:16" x14ac:dyDescent="0.2">
      <c r="M24" s="91"/>
      <c r="N24" s="91"/>
      <c r="O24" s="91"/>
      <c r="P24" s="91"/>
    </row>
    <row r="25" spans="1:16" x14ac:dyDescent="0.2">
      <c r="A25" s="142"/>
      <c r="B25" s="142"/>
      <c r="C25" s="93"/>
    </row>
    <row r="26" spans="1:16" x14ac:dyDescent="0.2">
      <c r="A26" s="93"/>
      <c r="B26" s="93"/>
      <c r="C26" s="93"/>
    </row>
    <row r="27" spans="1:16" x14ac:dyDescent="0.2">
      <c r="A27" s="93"/>
      <c r="B27" s="93"/>
      <c r="C27" s="93"/>
    </row>
    <row r="28" spans="1:16" x14ac:dyDescent="0.2">
      <c r="A28" s="93"/>
      <c r="B28" s="93"/>
      <c r="C28" s="93"/>
    </row>
    <row r="29" spans="1:16" x14ac:dyDescent="0.2">
      <c r="A29" s="93"/>
      <c r="B29" s="93"/>
      <c r="C29" s="93"/>
    </row>
    <row r="30" spans="1:16" x14ac:dyDescent="0.2">
      <c r="A30" s="93"/>
      <c r="B30" s="93"/>
      <c r="C30" s="93"/>
    </row>
    <row r="31" spans="1:16" x14ac:dyDescent="0.2">
      <c r="A31" s="93"/>
      <c r="B31" s="93"/>
      <c r="C31" s="93"/>
    </row>
    <row r="32" spans="1:16" x14ac:dyDescent="0.2">
      <c r="A32" s="93"/>
      <c r="B32" s="93"/>
      <c r="C32" s="93"/>
    </row>
    <row r="36" spans="1:8" x14ac:dyDescent="0.2">
      <c r="A36" s="106"/>
      <c r="H36" s="1"/>
    </row>
    <row r="37" spans="1:8" ht="13.5" thickBot="1" x14ac:dyDescent="0.25">
      <c r="A37" s="106"/>
      <c r="H37" s="107">
        <f>SUM(H18:H36)</f>
        <v>2750</v>
      </c>
    </row>
    <row r="38" spans="1:8" ht="13.5" thickTop="1" x14ac:dyDescent="0.2">
      <c r="A38" s="106"/>
    </row>
    <row r="39" spans="1:8" ht="20.100000000000001" customHeight="1" x14ac:dyDescent="0.2">
      <c r="A39" s="96" t="s">
        <v>1248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Two Thousand Seven Hundred Fifty and NO/100 -----------</v>
      </c>
      <c r="C39" s="185"/>
      <c r="D39" s="97"/>
      <c r="E39" s="97"/>
      <c r="F39" s="236"/>
      <c r="G39" s="232"/>
      <c r="H39" s="232"/>
    </row>
    <row r="40" spans="1:8" x14ac:dyDescent="0.2">
      <c r="A40" s="94"/>
    </row>
    <row r="41" spans="1:8" ht="25.5" x14ac:dyDescent="0.2">
      <c r="A41" s="91" t="s">
        <v>10</v>
      </c>
      <c r="F41" s="218" t="s">
        <v>3975</v>
      </c>
      <c r="G41" s="219"/>
      <c r="H41" s="220"/>
    </row>
    <row r="42" spans="1:8" x14ac:dyDescent="0.2">
      <c r="F42" s="227"/>
      <c r="G42" s="227"/>
      <c r="H42" s="227"/>
    </row>
    <row r="43" spans="1:8" x14ac:dyDescent="0.2">
      <c r="F43" s="228"/>
      <c r="G43" s="229"/>
      <c r="H43" s="229"/>
    </row>
    <row r="44" spans="1:8" x14ac:dyDescent="0.2">
      <c r="A44" s="1"/>
    </row>
    <row r="45" spans="1:8" x14ac:dyDescent="0.2">
      <c r="A45" s="101"/>
      <c r="B45" s="101"/>
      <c r="C45" s="386"/>
    </row>
    <row r="47" spans="1:8" x14ac:dyDescent="0.2">
      <c r="A47" s="91" t="s">
        <v>8</v>
      </c>
      <c r="D47" s="91" t="s">
        <v>8</v>
      </c>
      <c r="F47" s="98" t="s">
        <v>7</v>
      </c>
      <c r="H47" s="102"/>
    </row>
    <row r="51" spans="1:8" x14ac:dyDescent="0.2">
      <c r="A51" s="101" t="s">
        <v>120</v>
      </c>
      <c r="B51" s="101"/>
      <c r="C51" s="386"/>
      <c r="D51" s="101" t="s">
        <v>120</v>
      </c>
      <c r="F51" s="101"/>
      <c r="G51" s="101"/>
      <c r="H51" s="101"/>
    </row>
    <row r="52" spans="1:8" s="3" customFormat="1" ht="17.100000000000001" customHeight="1" x14ac:dyDescent="0.2">
      <c r="A52" s="61" t="s">
        <v>4066</v>
      </c>
      <c r="B52" s="104"/>
      <c r="C52" s="104"/>
      <c r="D52" s="61" t="s">
        <v>50</v>
      </c>
      <c r="E52" s="61"/>
      <c r="F52" s="61" t="s">
        <v>3</v>
      </c>
      <c r="G52" s="61"/>
      <c r="H52" s="61"/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498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4935</v>
      </c>
      <c r="D9" s="92" t="s">
        <v>1317</v>
      </c>
      <c r="E9" s="91" t="s">
        <v>4952</v>
      </c>
    </row>
    <row r="10" spans="1:6" x14ac:dyDescent="0.2">
      <c r="A10" s="91" t="s">
        <v>4936</v>
      </c>
      <c r="D10" s="92" t="s">
        <v>1329</v>
      </c>
      <c r="E10" s="91" t="s">
        <v>4934</v>
      </c>
    </row>
    <row r="11" spans="1:6" x14ac:dyDescent="0.2">
      <c r="A11" s="91" t="s">
        <v>4937</v>
      </c>
      <c r="D11" s="92" t="s">
        <v>1330</v>
      </c>
      <c r="E11" s="91" t="s">
        <v>1220</v>
      </c>
    </row>
    <row r="12" spans="1:6" x14ac:dyDescent="0.2">
      <c r="A12" s="91" t="s">
        <v>4938</v>
      </c>
      <c r="D12" s="92" t="s">
        <v>1331</v>
      </c>
      <c r="E12" s="94" t="s">
        <v>4953</v>
      </c>
    </row>
    <row r="13" spans="1:6" x14ac:dyDescent="0.2">
      <c r="A13" s="91" t="s">
        <v>4939</v>
      </c>
    </row>
    <row r="14" spans="1:6" x14ac:dyDescent="0.2">
      <c r="A14" s="91" t="s">
        <v>4940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4798</v>
      </c>
    </row>
    <row r="19" spans="1:6" x14ac:dyDescent="0.2">
      <c r="A19" s="106"/>
      <c r="C19" s="2"/>
    </row>
    <row r="20" spans="1:6" x14ac:dyDescent="0.2">
      <c r="A20" s="93" t="s">
        <v>4857</v>
      </c>
      <c r="B20" s="99" t="s">
        <v>4954</v>
      </c>
      <c r="C20" s="91" t="s">
        <v>4962</v>
      </c>
      <c r="F20" s="91">
        <f>27.2*3688</f>
        <v>100313.59999999999</v>
      </c>
    </row>
    <row r="21" spans="1:6" x14ac:dyDescent="0.2">
      <c r="A21" s="93"/>
      <c r="B21" s="94"/>
      <c r="C21" s="91" t="s">
        <v>4955</v>
      </c>
      <c r="F21" s="91">
        <f>720*6.3</f>
        <v>4536</v>
      </c>
    </row>
    <row r="22" spans="1:6" x14ac:dyDescent="0.2">
      <c r="A22" s="93"/>
      <c r="B22" s="99"/>
      <c r="C22" s="91" t="s">
        <v>4956</v>
      </c>
      <c r="F22" s="91">
        <f>4.5*720</f>
        <v>3240</v>
      </c>
    </row>
    <row r="23" spans="1:6" x14ac:dyDescent="0.2">
      <c r="C23" s="91" t="s">
        <v>4957</v>
      </c>
      <c r="F23" s="91">
        <f>4.1*1070</f>
        <v>4387</v>
      </c>
    </row>
    <row r="24" spans="1:6" x14ac:dyDescent="0.2">
      <c r="C24" s="91" t="s">
        <v>4958</v>
      </c>
      <c r="F24" s="91">
        <f>4.2*370</f>
        <v>1554</v>
      </c>
    </row>
    <row r="25" spans="1:6" x14ac:dyDescent="0.2">
      <c r="A25" s="137"/>
      <c r="B25" s="99"/>
      <c r="C25" s="91" t="s">
        <v>4959</v>
      </c>
      <c r="F25" s="91">
        <f>4.15*720</f>
        <v>2988.0000000000005</v>
      </c>
    </row>
    <row r="26" spans="1:6" x14ac:dyDescent="0.2">
      <c r="C26" s="91" t="s">
        <v>4960</v>
      </c>
      <c r="F26" s="91">
        <f>6.8*3500</f>
        <v>23800</v>
      </c>
    </row>
    <row r="27" spans="1:6" x14ac:dyDescent="0.2">
      <c r="C27" s="91" t="s">
        <v>4961</v>
      </c>
      <c r="F27" s="91">
        <f>8.3*3500</f>
        <v>29050.000000000004</v>
      </c>
    </row>
    <row r="28" spans="1:6" x14ac:dyDescent="0.2">
      <c r="C28" s="91" t="s">
        <v>2147</v>
      </c>
      <c r="F28" s="91">
        <f>SUM(F20:F27)*6%</f>
        <v>10192.115999999998</v>
      </c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180060.71599999999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>One Hundred Eighty Thousand Sixty and 72/100 -----------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525">
    <pageSetUpPr fitToPage="1"/>
  </sheetPr>
  <dimension ref="A1:J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</row>
    <row r="2" spans="1:10" x14ac:dyDescent="0.2">
      <c r="A2" s="522" t="s">
        <v>33</v>
      </c>
      <c r="B2" s="522"/>
      <c r="C2" s="522"/>
      <c r="D2" s="522"/>
      <c r="E2" s="522"/>
      <c r="F2" s="522"/>
    </row>
    <row r="3" spans="1:10" x14ac:dyDescent="0.2">
      <c r="A3" s="522" t="s">
        <v>1829</v>
      </c>
      <c r="B3" s="522"/>
      <c r="C3" s="522"/>
      <c r="D3" s="522"/>
      <c r="E3" s="522"/>
      <c r="F3" s="522"/>
    </row>
    <row r="4" spans="1:10" x14ac:dyDescent="0.2">
      <c r="A4" s="522" t="s">
        <v>1828</v>
      </c>
      <c r="B4" s="522"/>
      <c r="C4" s="522"/>
      <c r="D4" s="522"/>
      <c r="E4" s="522"/>
      <c r="F4" s="522"/>
    </row>
    <row r="8" spans="1:10" x14ac:dyDescent="0.2">
      <c r="A8" s="91" t="s">
        <v>32</v>
      </c>
      <c r="D8" s="22" t="s">
        <v>31</v>
      </c>
    </row>
    <row r="9" spans="1:10" x14ac:dyDescent="0.2">
      <c r="D9" s="92" t="s">
        <v>1317</v>
      </c>
      <c r="E9" s="155" t="s">
        <v>7437</v>
      </c>
    </row>
    <row r="10" spans="1:10" x14ac:dyDescent="0.2">
      <c r="A10" s="91" t="s">
        <v>5037</v>
      </c>
      <c r="D10" s="92" t="s">
        <v>1329</v>
      </c>
      <c r="E10" s="155" t="s">
        <v>7435</v>
      </c>
      <c r="J10" s="80"/>
    </row>
    <row r="11" spans="1:10" x14ac:dyDescent="0.2">
      <c r="A11" s="91" t="s">
        <v>5038</v>
      </c>
      <c r="D11" s="92" t="s">
        <v>1330</v>
      </c>
      <c r="E11" s="155" t="s">
        <v>1220</v>
      </c>
    </row>
    <row r="12" spans="1:10" x14ac:dyDescent="0.2">
      <c r="A12" s="91" t="s">
        <v>5039</v>
      </c>
      <c r="D12" s="92" t="s">
        <v>1331</v>
      </c>
      <c r="E12" s="91" t="s">
        <v>7438</v>
      </c>
    </row>
    <row r="13" spans="1:10" x14ac:dyDescent="0.2">
      <c r="A13" s="91" t="s">
        <v>5040</v>
      </c>
    </row>
    <row r="14" spans="1:10" x14ac:dyDescent="0.2">
      <c r="A14" s="91" t="s">
        <v>2926</v>
      </c>
    </row>
    <row r="16" spans="1:10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2"/>
      <c r="B18" s="94"/>
      <c r="C18" s="2" t="s">
        <v>5041</v>
      </c>
    </row>
    <row r="20" spans="1:6" x14ac:dyDescent="0.2">
      <c r="A20" s="94" t="s">
        <v>5042</v>
      </c>
      <c r="B20" s="91" t="s">
        <v>5043</v>
      </c>
      <c r="C20" s="91" t="s">
        <v>5044</v>
      </c>
      <c r="F20" s="91">
        <v>1550.64</v>
      </c>
    </row>
    <row r="21" spans="1:6" x14ac:dyDescent="0.2">
      <c r="A21" s="216"/>
      <c r="C21" s="91" t="s">
        <v>5045</v>
      </c>
      <c r="F21" s="91">
        <v>440.62</v>
      </c>
    </row>
    <row r="22" spans="1:6" x14ac:dyDescent="0.2">
      <c r="A22" s="93"/>
      <c r="B22" s="94"/>
      <c r="C22" s="91" t="s">
        <v>5046</v>
      </c>
      <c r="F22" s="91">
        <v>1660.09</v>
      </c>
    </row>
    <row r="23" spans="1:6" x14ac:dyDescent="0.2">
      <c r="A23" s="93"/>
      <c r="B23" s="94"/>
    </row>
    <row r="24" spans="1:6" x14ac:dyDescent="0.2">
      <c r="A24" s="93"/>
      <c r="B24" s="94"/>
    </row>
    <row r="25" spans="1:6" x14ac:dyDescent="0.2">
      <c r="A25" s="93"/>
      <c r="B25" s="94"/>
    </row>
    <row r="26" spans="1:6" x14ac:dyDescent="0.2">
      <c r="A26" s="106"/>
    </row>
    <row r="27" spans="1:6" x14ac:dyDescent="0.2">
      <c r="A27" s="106"/>
    </row>
    <row r="30" spans="1:6" x14ac:dyDescent="0.2">
      <c r="A30" s="1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SUM(F18:F31)</f>
        <v>3651.3500000000004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Six Hundred Fifty-One and 35/100 -----------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6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209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407"/>
  <dimension ref="A1:M54"/>
  <sheetViews>
    <sheetView view="pageBreakPreview" zoomScale="115" zoomScaleNormal="100" zoomScaleSheetLayoutView="115" workbookViewId="0">
      <selection activeCell="G13" sqref="G13"/>
    </sheetView>
  </sheetViews>
  <sheetFormatPr defaultRowHeight="12.75" x14ac:dyDescent="0.2"/>
  <cols>
    <col min="1" max="1" width="12.7109375" style="91" customWidth="1"/>
    <col min="2" max="2" width="17.7109375" style="91" customWidth="1"/>
    <col min="3" max="3" width="1.140625" style="91" customWidth="1"/>
    <col min="4" max="4" width="19.140625" style="91" customWidth="1"/>
    <col min="5" max="5" width="1.42578125" style="91" customWidth="1"/>
    <col min="6" max="6" width="14.140625" style="91" customWidth="1"/>
    <col min="7" max="7" width="10.7109375" style="91" customWidth="1"/>
    <col min="8" max="8" width="13.28515625" style="91" customWidth="1"/>
    <col min="9" max="16384" width="9.140625" style="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1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1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1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1" x14ac:dyDescent="0.2">
      <c r="A8" s="91" t="s">
        <v>32</v>
      </c>
      <c r="F8" s="22" t="s">
        <v>31</v>
      </c>
    </row>
    <row r="9" spans="1:11" x14ac:dyDescent="0.2">
      <c r="F9" s="92" t="s">
        <v>1317</v>
      </c>
      <c r="G9" s="91" t="s">
        <v>8672</v>
      </c>
      <c r="I9" s="1" t="s">
        <v>8519</v>
      </c>
      <c r="J9" s="1">
        <v>43850</v>
      </c>
      <c r="K9" s="1" t="s">
        <v>8518</v>
      </c>
    </row>
    <row r="10" spans="1:11" x14ac:dyDescent="0.2">
      <c r="A10" s="91" t="s">
        <v>4357</v>
      </c>
      <c r="F10" s="92" t="s">
        <v>1329</v>
      </c>
      <c r="G10" s="98" t="s">
        <v>8628</v>
      </c>
    </row>
    <row r="11" spans="1:11" x14ac:dyDescent="0.2">
      <c r="A11" s="91" t="s">
        <v>4358</v>
      </c>
      <c r="F11" s="92" t="s">
        <v>1330</v>
      </c>
      <c r="G11" s="92" t="s">
        <v>2625</v>
      </c>
    </row>
    <row r="12" spans="1:11" x14ac:dyDescent="0.2">
      <c r="A12" s="91" t="s">
        <v>4359</v>
      </c>
      <c r="F12" s="92" t="s">
        <v>1377</v>
      </c>
      <c r="G12" s="94" t="s">
        <v>8674</v>
      </c>
    </row>
    <row r="13" spans="1:11" x14ac:dyDescent="0.2">
      <c r="A13" s="91" t="s">
        <v>4360</v>
      </c>
      <c r="G13" s="153"/>
    </row>
    <row r="14" spans="1:11" x14ac:dyDescent="0.2">
      <c r="A14" s="91" t="s">
        <v>4361</v>
      </c>
    </row>
    <row r="16" spans="1:11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3" x14ac:dyDescent="0.2">
      <c r="A17" s="106"/>
    </row>
    <row r="18" spans="1:13" x14ac:dyDescent="0.2">
      <c r="A18" s="93"/>
      <c r="B18" s="99"/>
      <c r="C18" s="99"/>
      <c r="D18" s="2" t="s">
        <v>4118</v>
      </c>
      <c r="E18" s="2"/>
    </row>
    <row r="19" spans="1:13" x14ac:dyDescent="0.2">
      <c r="A19" s="106"/>
    </row>
    <row r="20" spans="1:13" x14ac:dyDescent="0.2">
      <c r="A20" s="93" t="s">
        <v>8520</v>
      </c>
      <c r="B20" s="278" t="s">
        <v>8521</v>
      </c>
      <c r="C20" s="195"/>
      <c r="D20" s="91" t="s">
        <v>8673</v>
      </c>
    </row>
    <row r="21" spans="1:13" x14ac:dyDescent="0.2">
      <c r="A21" s="106"/>
      <c r="D21" s="191" t="s">
        <v>8522</v>
      </c>
      <c r="H21" s="91">
        <f>SUM(504+252+135+81+234+135)/2</f>
        <v>670.5</v>
      </c>
    </row>
    <row r="22" spans="1:13" x14ac:dyDescent="0.2">
      <c r="A22" s="106"/>
      <c r="D22" s="240" t="s">
        <v>8523</v>
      </c>
      <c r="E22" s="94"/>
      <c r="J22" s="94"/>
      <c r="K22" s="91"/>
      <c r="L22" s="91"/>
      <c r="M22" s="91"/>
    </row>
    <row r="23" spans="1:13" x14ac:dyDescent="0.2">
      <c r="A23" s="106"/>
      <c r="D23" s="191" t="s">
        <v>8524</v>
      </c>
      <c r="H23" s="91">
        <f>SUM(540+360+432+144+216+216+216+126+297+126)/2</f>
        <v>1336.5</v>
      </c>
      <c r="J23" s="91"/>
      <c r="K23" s="91"/>
      <c r="L23" s="91"/>
      <c r="M23" s="91"/>
    </row>
    <row r="24" spans="1:13" x14ac:dyDescent="0.2">
      <c r="A24" s="106"/>
      <c r="D24" s="240" t="s">
        <v>8525</v>
      </c>
      <c r="J24" s="91"/>
      <c r="K24" s="91"/>
      <c r="L24" s="91"/>
      <c r="M24" s="91"/>
    </row>
    <row r="25" spans="1:13" x14ac:dyDescent="0.2">
      <c r="A25" s="106"/>
      <c r="D25" s="91" t="s">
        <v>8526</v>
      </c>
      <c r="H25" s="91">
        <f>SUM(2304+2304+8370+7200+2112)/2</f>
        <v>11145</v>
      </c>
      <c r="J25" s="91"/>
      <c r="K25" s="91"/>
      <c r="L25" s="91"/>
      <c r="M25" s="91"/>
    </row>
    <row r="26" spans="1:13" x14ac:dyDescent="0.2">
      <c r="A26" s="106"/>
      <c r="D26" s="91" t="s">
        <v>8527</v>
      </c>
      <c r="J26" s="91"/>
      <c r="K26" s="91"/>
      <c r="L26" s="91"/>
      <c r="M26" s="91"/>
    </row>
    <row r="27" spans="1:13" x14ac:dyDescent="0.2">
      <c r="A27" s="106"/>
      <c r="J27" s="91"/>
      <c r="K27" s="91"/>
      <c r="L27" s="91"/>
      <c r="M27" s="91"/>
    </row>
    <row r="28" spans="1:13" x14ac:dyDescent="0.2">
      <c r="A28" s="106"/>
    </row>
    <row r="30" spans="1:13" x14ac:dyDescent="0.2">
      <c r="A30" s="1"/>
      <c r="B30" s="1"/>
      <c r="C30" s="1"/>
      <c r="D30" s="94"/>
      <c r="E30" s="94"/>
    </row>
    <row r="31" spans="1:13" x14ac:dyDescent="0.2">
      <c r="A31" s="1"/>
      <c r="B31" s="1"/>
      <c r="C31" s="1"/>
      <c r="D31" s="94"/>
      <c r="E31" s="94"/>
    </row>
    <row r="32" spans="1:13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SUM(H19:H33)</f>
        <v>13152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Thirteen Thousand One Hundred Fifty-Two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388"/>
      <c r="G38" s="388"/>
      <c r="H38" s="388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  <c r="D43" s="386"/>
    </row>
    <row r="44" spans="1:8" x14ac:dyDescent="0.2">
      <c r="D44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D51" s="386"/>
      <c r="F51" s="91" t="s">
        <v>2</v>
      </c>
    </row>
    <row r="52" spans="1:8" x14ac:dyDescent="0.2">
      <c r="D52" s="386"/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00F2-DAE9-489C-9F88-1D11ADEBE049}">
  <sheetPr codeName="Sheet687">
    <pageSetUpPr fitToPage="1"/>
  </sheetPr>
  <dimension ref="A1:I58"/>
  <sheetViews>
    <sheetView topLeftCell="A22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91" t="s">
        <v>6988</v>
      </c>
      <c r="I9" s="61"/>
    </row>
    <row r="10" spans="1:9" x14ac:dyDescent="0.2">
      <c r="A10" s="91" t="s">
        <v>6990</v>
      </c>
      <c r="F10" s="92" t="s">
        <v>1335</v>
      </c>
      <c r="G10" s="92" t="s">
        <v>6951</v>
      </c>
      <c r="I10" s="113"/>
    </row>
    <row r="11" spans="1:9" x14ac:dyDescent="0.2">
      <c r="A11" s="91" t="s">
        <v>6991</v>
      </c>
      <c r="F11" s="92" t="s">
        <v>1333</v>
      </c>
      <c r="G11" s="91" t="s">
        <v>1220</v>
      </c>
      <c r="I11" s="113"/>
    </row>
    <row r="12" spans="1:9" x14ac:dyDescent="0.2">
      <c r="A12" s="91" t="s">
        <v>6992</v>
      </c>
      <c r="F12" s="92" t="s">
        <v>1331</v>
      </c>
      <c r="G12" s="94" t="s">
        <v>6989</v>
      </c>
      <c r="I12" s="113"/>
    </row>
    <row r="13" spans="1:9" x14ac:dyDescent="0.2">
      <c r="A13" s="91" t="s">
        <v>3969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6993</v>
      </c>
    </row>
    <row r="19" spans="1:8" x14ac:dyDescent="0.2">
      <c r="A19" s="93"/>
      <c r="B19" s="99"/>
    </row>
    <row r="20" spans="1:8" x14ac:dyDescent="0.2">
      <c r="A20" s="93" t="s">
        <v>6994</v>
      </c>
      <c r="B20" s="93" t="s">
        <v>6995</v>
      </c>
      <c r="C20" s="93"/>
      <c r="D20" s="91" t="s">
        <v>6996</v>
      </c>
      <c r="H20" s="91">
        <v>39950</v>
      </c>
    </row>
    <row r="21" spans="1:8" x14ac:dyDescent="0.2">
      <c r="A21" s="93"/>
      <c r="B21" s="93"/>
      <c r="C21" s="93"/>
      <c r="D21" s="91" t="s">
        <v>6886</v>
      </c>
      <c r="H21" s="91">
        <f>H20*6%</f>
        <v>2397</v>
      </c>
    </row>
    <row r="22" spans="1:8" x14ac:dyDescent="0.2">
      <c r="A22" s="93"/>
      <c r="B22" s="93"/>
    </row>
    <row r="23" spans="1:8" x14ac:dyDescent="0.2">
      <c r="A23" s="93"/>
      <c r="B23" s="99"/>
    </row>
    <row r="24" spans="1:8" x14ac:dyDescent="0.2">
      <c r="A24" s="93"/>
      <c r="B24" s="99"/>
    </row>
    <row r="25" spans="1:8" x14ac:dyDescent="0.2">
      <c r="A25" s="93"/>
      <c r="B25" s="99"/>
    </row>
    <row r="26" spans="1:8" x14ac:dyDescent="0.2">
      <c r="A26" s="93"/>
      <c r="B26" s="99"/>
    </row>
    <row r="27" spans="1:8" x14ac:dyDescent="0.2">
      <c r="A27" s="93"/>
      <c r="B27" s="99"/>
    </row>
    <row r="28" spans="1:8" x14ac:dyDescent="0.2">
      <c r="D28" s="2"/>
    </row>
    <row r="29" spans="1:8" x14ac:dyDescent="0.2">
      <c r="A29" s="111"/>
      <c r="B29" s="93"/>
      <c r="C29" s="93"/>
      <c r="D29" s="2"/>
      <c r="H29" s="110"/>
    </row>
    <row r="30" spans="1:8" x14ac:dyDescent="0.2">
      <c r="A30" s="111"/>
      <c r="B30" s="93"/>
      <c r="C30" s="93"/>
      <c r="D30" s="2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11"/>
      <c r="B34" s="93"/>
      <c r="C34" s="93"/>
      <c r="H34" s="110"/>
    </row>
    <row r="35" spans="1:8" x14ac:dyDescent="0.2">
      <c r="A35" s="111"/>
      <c r="B35" s="93"/>
      <c r="C35" s="93"/>
      <c r="H35" s="110"/>
    </row>
    <row r="36" spans="1:8" x14ac:dyDescent="0.2">
      <c r="A36" s="111"/>
      <c r="B36" s="93"/>
      <c r="C36" s="93"/>
      <c r="H36" s="110"/>
    </row>
    <row r="37" spans="1:8" x14ac:dyDescent="0.2">
      <c r="A37" s="109"/>
      <c r="B37" s="99"/>
      <c r="C37" s="99"/>
    </row>
    <row r="39" spans="1:8" ht="13.5" thickBot="1" x14ac:dyDescent="0.25">
      <c r="H39" s="107">
        <f>SUM(H18:H37)</f>
        <v>42347</v>
      </c>
    </row>
    <row r="40" spans="1:8" ht="13.5" thickTop="1" x14ac:dyDescent="0.2"/>
    <row r="41" spans="1:8" ht="20.100000000000001" customHeight="1" x14ac:dyDescent="0.2">
      <c r="A41" s="96" t="s">
        <v>336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Forty-Two Thousand Three Hundred Forty-Seven and NO/100 -----------</v>
      </c>
      <c r="C41" s="185"/>
      <c r="D41" s="97"/>
      <c r="E41" s="97"/>
      <c r="F41" s="97"/>
      <c r="G41" s="97"/>
      <c r="H41" s="97"/>
    </row>
    <row r="42" spans="1:8" ht="20.100000000000001" customHeight="1" x14ac:dyDescent="0.2">
      <c r="A42" s="113"/>
      <c r="B42" s="103"/>
      <c r="C42" s="103"/>
      <c r="D42" s="61"/>
      <c r="E42" s="61"/>
      <c r="F42" s="61"/>
      <c r="G42" s="61"/>
      <c r="H42" s="61"/>
    </row>
    <row r="43" spans="1:8" ht="25.5" x14ac:dyDescent="0.2">
      <c r="A43" s="94" t="s">
        <v>3973</v>
      </c>
      <c r="F43" s="218" t="s">
        <v>3975</v>
      </c>
      <c r="G43" s="219"/>
      <c r="H43" s="220"/>
    </row>
    <row r="44" spans="1:8" x14ac:dyDescent="0.2">
      <c r="F44" s="228"/>
      <c r="G44" s="229"/>
      <c r="H44" s="229"/>
    </row>
    <row r="45" spans="1:8" x14ac:dyDescent="0.2">
      <c r="A45" s="1"/>
      <c r="D45" s="99"/>
      <c r="E45" s="99"/>
    </row>
    <row r="46" spans="1:8" x14ac:dyDescent="0.2">
      <c r="A46" s="91" t="s">
        <v>121</v>
      </c>
      <c r="D46" s="99"/>
      <c r="E46" s="99"/>
    </row>
    <row r="47" spans="1:8" x14ac:dyDescent="0.2">
      <c r="A47" s="101"/>
      <c r="B47" s="101"/>
    </row>
    <row r="49" spans="1:8" x14ac:dyDescent="0.2">
      <c r="A49" s="98" t="s">
        <v>8</v>
      </c>
      <c r="D49" s="98" t="s">
        <v>8</v>
      </c>
      <c r="F49" s="98" t="s">
        <v>7</v>
      </c>
      <c r="H49" s="102"/>
    </row>
    <row r="53" spans="1:8" x14ac:dyDescent="0.2">
      <c r="A53" s="101"/>
      <c r="B53" s="101"/>
      <c r="D53" s="101"/>
      <c r="F53" s="101"/>
      <c r="G53" s="101"/>
      <c r="H53" s="101"/>
    </row>
    <row r="54" spans="1:8" s="3" customFormat="1" ht="17.100000000000001" customHeight="1" x14ac:dyDescent="0.2">
      <c r="A54" s="91" t="s">
        <v>4066</v>
      </c>
      <c r="B54" s="104"/>
      <c r="C54" s="104"/>
      <c r="D54" s="91" t="s">
        <v>50</v>
      </c>
      <c r="E54" s="61"/>
      <c r="F54" s="61" t="s">
        <v>3</v>
      </c>
      <c r="G54" s="61"/>
      <c r="H54" s="61"/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2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499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8.7109375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4825</v>
      </c>
      <c r="G9" s="61"/>
    </row>
    <row r="10" spans="1:7" x14ac:dyDescent="0.2">
      <c r="A10" s="91" t="s">
        <v>4827</v>
      </c>
      <c r="D10" s="92" t="s">
        <v>1335</v>
      </c>
      <c r="E10" s="92" t="s">
        <v>4815</v>
      </c>
      <c r="G10" s="113"/>
    </row>
    <row r="11" spans="1:7" x14ac:dyDescent="0.2">
      <c r="A11" s="91" t="s">
        <v>4828</v>
      </c>
      <c r="D11" s="92" t="s">
        <v>1333</v>
      </c>
      <c r="E11" s="92" t="s">
        <v>1220</v>
      </c>
      <c r="G11" s="113"/>
    </row>
    <row r="12" spans="1:7" x14ac:dyDescent="0.2">
      <c r="A12" s="91" t="s">
        <v>1337</v>
      </c>
      <c r="D12" s="92" t="s">
        <v>1331</v>
      </c>
      <c r="E12" s="94" t="s">
        <v>4826</v>
      </c>
      <c r="G12" s="113"/>
    </row>
    <row r="13" spans="1:7" x14ac:dyDescent="0.2">
      <c r="A13" s="91" t="s">
        <v>4829</v>
      </c>
    </row>
    <row r="14" spans="1:7" x14ac:dyDescent="0.2">
      <c r="A14" s="94" t="s">
        <v>4830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/>
      <c r="B18" s="111"/>
      <c r="C18" s="2" t="s">
        <v>4798</v>
      </c>
      <c r="I18" s="91"/>
      <c r="J18" s="91"/>
      <c r="K18" s="91"/>
      <c r="L18" s="91"/>
    </row>
    <row r="19" spans="1:12" x14ac:dyDescent="0.2">
      <c r="I19" s="91"/>
      <c r="J19" s="91"/>
      <c r="K19" s="91"/>
      <c r="L19" s="110"/>
    </row>
    <row r="20" spans="1:12" x14ac:dyDescent="0.2">
      <c r="A20" s="93" t="s">
        <v>4772</v>
      </c>
      <c r="B20" s="93" t="s">
        <v>4831</v>
      </c>
      <c r="C20" s="91" t="s">
        <v>4832</v>
      </c>
      <c r="F20" s="110">
        <v>1061.32</v>
      </c>
      <c r="I20" s="91"/>
      <c r="J20" s="91"/>
      <c r="K20" s="91"/>
      <c r="L20" s="91"/>
    </row>
    <row r="21" spans="1:12" x14ac:dyDescent="0.2">
      <c r="C21" s="91" t="s">
        <v>4833</v>
      </c>
      <c r="F21" s="91">
        <v>693.4</v>
      </c>
      <c r="I21" s="91"/>
      <c r="J21" s="91"/>
      <c r="K21" s="91"/>
      <c r="L21" s="91"/>
    </row>
    <row r="22" spans="1:12" x14ac:dyDescent="0.2">
      <c r="C22" s="91" t="s">
        <v>2147</v>
      </c>
      <c r="F22" s="91">
        <f>SUM(F20+F21)*6%</f>
        <v>105.28319999999998</v>
      </c>
      <c r="I22" s="91"/>
      <c r="J22" s="91"/>
      <c r="K22" s="91"/>
      <c r="L22" s="110"/>
    </row>
    <row r="23" spans="1:12" x14ac:dyDescent="0.2"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28" spans="1:12" x14ac:dyDescent="0.2">
      <c r="F28" s="110"/>
    </row>
    <row r="31" spans="1:12" x14ac:dyDescent="0.2">
      <c r="A31" s="93"/>
      <c r="B31" s="111"/>
    </row>
    <row r="36" spans="1:6" ht="13.5" thickBot="1" x14ac:dyDescent="0.25">
      <c r="F36" s="95">
        <f>SUM(F18:F35)</f>
        <v>1860.0031999999999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Eight Hundred Sixty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32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3461</v>
      </c>
    </row>
    <row r="10" spans="1:6" x14ac:dyDescent="0.2">
      <c r="A10" s="91" t="s">
        <v>3463</v>
      </c>
      <c r="D10" s="92" t="s">
        <v>1444</v>
      </c>
      <c r="E10" s="91" t="s">
        <v>3460</v>
      </c>
    </row>
    <row r="11" spans="1:6" x14ac:dyDescent="0.2">
      <c r="D11" s="92" t="s">
        <v>1431</v>
      </c>
      <c r="E11" s="91" t="s">
        <v>1220</v>
      </c>
    </row>
    <row r="12" spans="1:6" x14ac:dyDescent="0.2">
      <c r="D12" s="92" t="s">
        <v>1268</v>
      </c>
      <c r="E12" s="94" t="s">
        <v>3462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3464</v>
      </c>
    </row>
    <row r="20" spans="1:6" x14ac:dyDescent="0.2">
      <c r="A20" s="111" t="s">
        <v>3451</v>
      </c>
      <c r="B20" s="93"/>
      <c r="C20" s="91" t="s">
        <v>3465</v>
      </c>
      <c r="F20" s="110">
        <v>600</v>
      </c>
    </row>
    <row r="21" spans="1:6" x14ac:dyDescent="0.2">
      <c r="A21" s="111"/>
      <c r="B21" s="93"/>
      <c r="C21" s="91" t="s">
        <v>3466</v>
      </c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600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1326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408">
    <pageSetUpPr fitToPage="1"/>
  </sheetPr>
  <dimension ref="A1:F70"/>
  <sheetViews>
    <sheetView workbookViewId="0">
      <selection activeCell="F34" sqref="F34"/>
    </sheetView>
  </sheetViews>
  <sheetFormatPr defaultRowHeight="12.75" x14ac:dyDescent="0.2"/>
  <cols>
    <col min="1" max="1" width="15.85546875" style="1" customWidth="1"/>
    <col min="2" max="2" width="15.28515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6" spans="1:6" s="91" customFormat="1" x14ac:dyDescent="0.2"/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1317</v>
      </c>
      <c r="E9" s="91" t="s">
        <v>4363</v>
      </c>
    </row>
    <row r="10" spans="1:6" s="91" customFormat="1" x14ac:dyDescent="0.2">
      <c r="A10" s="91" t="s">
        <v>4338</v>
      </c>
      <c r="D10" s="92" t="s">
        <v>1357</v>
      </c>
      <c r="E10" s="92" t="s">
        <v>4362</v>
      </c>
    </row>
    <row r="11" spans="1:6" s="91" customFormat="1" x14ac:dyDescent="0.2">
      <c r="A11" s="91" t="s">
        <v>4339</v>
      </c>
      <c r="D11" s="92" t="s">
        <v>1330</v>
      </c>
      <c r="E11" s="92" t="s">
        <v>1220</v>
      </c>
    </row>
    <row r="12" spans="1:6" s="91" customFormat="1" x14ac:dyDescent="0.2">
      <c r="A12" s="91" t="s">
        <v>1862</v>
      </c>
      <c r="D12" s="92" t="s">
        <v>1224</v>
      </c>
      <c r="E12" s="92" t="s">
        <v>4364</v>
      </c>
    </row>
    <row r="13" spans="1:6" s="91" customFormat="1" x14ac:dyDescent="0.2"/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7" spans="1:6" s="14" customFormat="1" x14ac:dyDescent="0.2">
      <c r="A17" s="34"/>
      <c r="B17" s="34"/>
      <c r="C17" s="35"/>
      <c r="D17" s="34"/>
      <c r="E17" s="33"/>
      <c r="F17" s="32"/>
    </row>
    <row r="18" spans="1:6" s="14" customFormat="1" x14ac:dyDescent="0.2">
      <c r="A18" s="34"/>
      <c r="B18" s="34"/>
      <c r="C18" s="14" t="s">
        <v>4340</v>
      </c>
      <c r="D18" s="34"/>
      <c r="E18" s="33"/>
      <c r="F18" s="32"/>
    </row>
    <row r="19" spans="1:6" s="91" customFormat="1" x14ac:dyDescent="0.2"/>
    <row r="20" spans="1:6" s="91" customFormat="1" x14ac:dyDescent="0.2">
      <c r="A20" s="93" t="s">
        <v>4341</v>
      </c>
      <c r="B20" s="93" t="s">
        <v>4342</v>
      </c>
      <c r="C20" s="91" t="s">
        <v>4343</v>
      </c>
      <c r="F20" s="91">
        <v>50</v>
      </c>
    </row>
    <row r="21" spans="1:6" s="91" customFormat="1" x14ac:dyDescent="0.2"/>
    <row r="22" spans="1:6" s="91" customFormat="1" x14ac:dyDescent="0.2">
      <c r="C22" s="91" t="s">
        <v>4344</v>
      </c>
      <c r="F22" s="91">
        <v>1030</v>
      </c>
    </row>
    <row r="23" spans="1:6" s="91" customFormat="1" x14ac:dyDescent="0.2">
      <c r="A23" s="93"/>
      <c r="B23" s="99"/>
    </row>
    <row r="24" spans="1:6" s="91" customFormat="1" x14ac:dyDescent="0.2">
      <c r="C24" s="91" t="s">
        <v>4345</v>
      </c>
      <c r="F24" s="91">
        <v>490</v>
      </c>
    </row>
    <row r="25" spans="1:6" s="91" customFormat="1" x14ac:dyDescent="0.2"/>
    <row r="26" spans="1:6" s="91" customFormat="1" x14ac:dyDescent="0.2"/>
    <row r="27" spans="1:6" s="91" customFormat="1" x14ac:dyDescent="0.2"/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95">
        <f>SUM(F19:F32)</f>
        <v>1570</v>
      </c>
    </row>
    <row r="35" spans="1:6" s="91" customFormat="1" ht="13.5" thickTop="1" x14ac:dyDescent="0.2"/>
    <row r="36" spans="1:6" s="91" customFormat="1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Five Hundred Seventy and NO/100 -----------</v>
      </c>
      <c r="C36" s="97"/>
      <c r="D36" s="206"/>
      <c r="E36" s="206"/>
      <c r="F36" s="206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/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  <row r="56" spans="1:4" s="91" customFormat="1" x14ac:dyDescent="0.2"/>
    <row r="57" spans="1:4" s="91" customFormat="1" x14ac:dyDescent="0.2"/>
    <row r="58" spans="1:4" s="91" customFormat="1" x14ac:dyDescent="0.2"/>
    <row r="59" spans="1:4" s="91" customFormat="1" x14ac:dyDescent="0.2"/>
    <row r="60" spans="1:4" s="91" customFormat="1" x14ac:dyDescent="0.2"/>
    <row r="61" spans="1:4" s="91" customFormat="1" x14ac:dyDescent="0.2"/>
    <row r="62" spans="1:4" s="91" customFormat="1" x14ac:dyDescent="0.2"/>
    <row r="63" spans="1:4" s="91" customFormat="1" x14ac:dyDescent="0.2"/>
    <row r="64" spans="1: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327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3607</v>
      </c>
      <c r="F9" s="91"/>
    </row>
    <row r="10" spans="1:6" x14ac:dyDescent="0.2">
      <c r="A10" s="91" t="s">
        <v>3363</v>
      </c>
      <c r="B10" s="91"/>
      <c r="C10" s="91"/>
      <c r="D10" s="92" t="s">
        <v>1357</v>
      </c>
      <c r="E10" s="92" t="s">
        <v>3588</v>
      </c>
      <c r="F10" s="91"/>
    </row>
    <row r="11" spans="1:6" x14ac:dyDescent="0.2">
      <c r="A11" s="91" t="s">
        <v>1228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3364</v>
      </c>
      <c r="B12" s="91"/>
      <c r="C12" s="91"/>
      <c r="D12" s="92" t="s">
        <v>1224</v>
      </c>
      <c r="E12" s="92" t="s">
        <v>3608</v>
      </c>
      <c r="F12" s="91"/>
    </row>
    <row r="13" spans="1:6" x14ac:dyDescent="0.2">
      <c r="A13" s="91"/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B18" s="93"/>
      <c r="C18" s="2" t="s">
        <v>1230</v>
      </c>
      <c r="D18" s="91"/>
      <c r="E18" s="91"/>
      <c r="F18" s="91"/>
    </row>
    <row r="19" spans="1:6" x14ac:dyDescent="0.2">
      <c r="A19" s="91"/>
      <c r="B19" s="91"/>
      <c r="C19" s="2" t="s">
        <v>3365</v>
      </c>
      <c r="D19" s="91"/>
      <c r="E19" s="91"/>
      <c r="F19" s="91"/>
    </row>
    <row r="20" spans="1:6" x14ac:dyDescent="0.2">
      <c r="A20" s="106"/>
      <c r="B20" s="91"/>
      <c r="D20" s="91"/>
      <c r="E20" s="91"/>
      <c r="F20" s="91"/>
    </row>
    <row r="21" spans="1:6" x14ac:dyDescent="0.2">
      <c r="A21" s="105" t="s">
        <v>3366</v>
      </c>
      <c r="B21" s="91"/>
      <c r="C21" s="91" t="s">
        <v>1967</v>
      </c>
      <c r="D21" s="91"/>
      <c r="E21" s="91"/>
      <c r="F21" s="91"/>
    </row>
    <row r="22" spans="1:6" x14ac:dyDescent="0.2">
      <c r="A22" s="137"/>
      <c r="B22" s="91"/>
      <c r="C22" s="91" t="s">
        <v>3609</v>
      </c>
      <c r="D22" s="91"/>
      <c r="E22" s="91"/>
      <c r="F22" s="91">
        <v>287.5</v>
      </c>
    </row>
    <row r="23" spans="1:6" x14ac:dyDescent="0.2">
      <c r="A23" s="106"/>
      <c r="B23" s="91"/>
      <c r="C23" s="91"/>
      <c r="D23" s="91"/>
      <c r="E23" s="91"/>
      <c r="F23" s="91"/>
    </row>
    <row r="25" spans="1:6" x14ac:dyDescent="0.2">
      <c r="A25" s="137"/>
      <c r="B25" s="91"/>
      <c r="C25" s="91"/>
      <c r="D25" s="91"/>
      <c r="E25" s="91"/>
      <c r="F25" s="91"/>
    </row>
    <row r="26" spans="1:6" x14ac:dyDescent="0.2">
      <c r="A26" s="106"/>
      <c r="B26" s="91"/>
      <c r="C26" s="143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ht="13.5" thickBot="1" x14ac:dyDescent="0.25">
      <c r="A32" s="91"/>
      <c r="B32" s="91"/>
      <c r="C32" s="91"/>
      <c r="D32" s="91"/>
      <c r="E32" s="91"/>
      <c r="F32" s="107">
        <f>SUM(F18:F31)</f>
        <v>287.5</v>
      </c>
    </row>
    <row r="33" spans="1:6" ht="13.5" thickTop="1" x14ac:dyDescent="0.2">
      <c r="A33" s="91"/>
      <c r="B33" s="91"/>
      <c r="C33" s="91"/>
      <c r="D33" s="91"/>
      <c r="E33" s="91"/>
      <c r="F33" s="91"/>
    </row>
    <row r="34" spans="1:6" ht="13.5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122</v>
      </c>
      <c r="B35" s="185" t="s">
        <v>3610</v>
      </c>
      <c r="C35" s="97"/>
      <c r="D35" s="97"/>
      <c r="E35" s="97"/>
      <c r="F35" s="97"/>
    </row>
    <row r="36" spans="1:6" ht="25.5" x14ac:dyDescent="0.2">
      <c r="A36" s="94" t="s">
        <v>11</v>
      </c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328">
    <pageSetUpPr fitToPage="1"/>
  </sheetPr>
  <dimension ref="A1:F54"/>
  <sheetViews>
    <sheetView topLeftCell="A16"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3698</v>
      </c>
      <c r="F9" s="91"/>
    </row>
    <row r="10" spans="1:6" x14ac:dyDescent="0.2">
      <c r="A10" s="91" t="s">
        <v>3500</v>
      </c>
      <c r="B10" s="91"/>
      <c r="C10" s="91"/>
      <c r="D10" s="92" t="s">
        <v>1357</v>
      </c>
      <c r="E10" s="92" t="s">
        <v>3699</v>
      </c>
      <c r="F10" s="91"/>
    </row>
    <row r="11" spans="1:6" x14ac:dyDescent="0.2">
      <c r="A11" s="91" t="s">
        <v>1228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3501</v>
      </c>
      <c r="B12" s="91"/>
      <c r="C12" s="91"/>
      <c r="D12" s="92" t="s">
        <v>1224</v>
      </c>
      <c r="E12" s="92" t="s">
        <v>3700</v>
      </c>
      <c r="F12" s="91"/>
    </row>
    <row r="13" spans="1:6" x14ac:dyDescent="0.2">
      <c r="A13" s="91" t="s">
        <v>3504</v>
      </c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B18" s="93"/>
      <c r="C18" s="2" t="s">
        <v>1230</v>
      </c>
      <c r="D18" s="91"/>
      <c r="E18" s="91"/>
      <c r="F18" s="91"/>
    </row>
    <row r="19" spans="1:6" x14ac:dyDescent="0.2">
      <c r="A19" s="91"/>
      <c r="B19" s="91"/>
      <c r="C19" s="2" t="s">
        <v>3502</v>
      </c>
      <c r="D19" s="91"/>
      <c r="E19" s="91"/>
      <c r="F19" s="91"/>
    </row>
    <row r="20" spans="1:6" x14ac:dyDescent="0.2">
      <c r="A20" s="106"/>
      <c r="B20" s="91"/>
      <c r="D20" s="91"/>
      <c r="E20" s="91"/>
      <c r="F20" s="91"/>
    </row>
    <row r="21" spans="1:6" x14ac:dyDescent="0.2">
      <c r="A21" s="105" t="s">
        <v>3503</v>
      </c>
      <c r="B21" s="91"/>
      <c r="C21" s="91" t="s">
        <v>1967</v>
      </c>
      <c r="D21" s="91"/>
      <c r="E21" s="91"/>
      <c r="F21" s="91"/>
    </row>
    <row r="22" spans="1:6" x14ac:dyDescent="0.2">
      <c r="A22" s="137"/>
      <c r="B22" s="91"/>
      <c r="C22" s="91" t="s">
        <v>3701</v>
      </c>
      <c r="D22" s="91"/>
      <c r="E22" s="91"/>
      <c r="F22" s="91">
        <v>210</v>
      </c>
    </row>
    <row r="23" spans="1:6" x14ac:dyDescent="0.2">
      <c r="A23" s="106"/>
      <c r="B23" s="91"/>
      <c r="C23" s="91"/>
      <c r="D23" s="91"/>
      <c r="E23" s="91"/>
      <c r="F23" s="91"/>
    </row>
    <row r="24" spans="1:6" x14ac:dyDescent="0.2">
      <c r="C24" s="91"/>
      <c r="F24" s="91"/>
    </row>
    <row r="25" spans="1:6" x14ac:dyDescent="0.2">
      <c r="A25" s="137"/>
      <c r="B25" s="91"/>
      <c r="C25" s="91"/>
      <c r="D25" s="91"/>
      <c r="E25" s="91"/>
      <c r="F25" s="91"/>
    </row>
    <row r="26" spans="1:6" x14ac:dyDescent="0.2">
      <c r="A26" s="106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ht="13.5" thickBot="1" x14ac:dyDescent="0.25">
      <c r="A32" s="91"/>
      <c r="B32" s="91"/>
      <c r="C32" s="91"/>
      <c r="D32" s="91"/>
      <c r="E32" s="91"/>
      <c r="F32" s="107">
        <f>SUM(F18:F31)</f>
        <v>210</v>
      </c>
    </row>
    <row r="33" spans="1:6" ht="13.5" thickTop="1" x14ac:dyDescent="0.2">
      <c r="A33" s="91"/>
      <c r="B33" s="91"/>
      <c r="C33" s="91"/>
      <c r="D33" s="91"/>
      <c r="E33" s="91"/>
      <c r="F33" s="91"/>
    </row>
    <row r="34" spans="1:6" ht="13.5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122</v>
      </c>
      <c r="B35" s="185" t="s">
        <v>3702</v>
      </c>
      <c r="C35" s="97"/>
      <c r="D35" s="97"/>
      <c r="E35" s="97"/>
      <c r="F35" s="97"/>
    </row>
    <row r="36" spans="1:6" ht="25.5" x14ac:dyDescent="0.2">
      <c r="A36" s="94" t="s">
        <v>11</v>
      </c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619">
    <pageSetUpPr fitToPage="1"/>
  </sheetPr>
  <dimension ref="A1:H55"/>
  <sheetViews>
    <sheetView topLeftCell="A4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0.85546875" style="1" customWidth="1"/>
    <col min="4" max="4" width="18.7109375" style="1" customWidth="1"/>
    <col min="5" max="5" width="1.425781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A9" s="91" t="s">
        <v>6071</v>
      </c>
      <c r="F9" s="92" t="s">
        <v>1705</v>
      </c>
      <c r="G9" s="91" t="s">
        <v>6070</v>
      </c>
    </row>
    <row r="10" spans="1:8" s="91" customFormat="1" x14ac:dyDescent="0.2">
      <c r="A10" s="91" t="s">
        <v>6072</v>
      </c>
      <c r="F10" s="92" t="s">
        <v>1706</v>
      </c>
      <c r="G10" s="92" t="s">
        <v>6066</v>
      </c>
    </row>
    <row r="11" spans="1:8" s="91" customFormat="1" x14ac:dyDescent="0.2">
      <c r="A11" s="91" t="s">
        <v>6073</v>
      </c>
      <c r="F11" s="92" t="s">
        <v>1707</v>
      </c>
      <c r="G11" s="92" t="s">
        <v>1220</v>
      </c>
    </row>
    <row r="12" spans="1:8" s="91" customFormat="1" x14ac:dyDescent="0.2">
      <c r="A12" s="91" t="s">
        <v>6074</v>
      </c>
      <c r="F12" s="92" t="s">
        <v>1355</v>
      </c>
      <c r="G12" s="92" t="s">
        <v>770</v>
      </c>
    </row>
    <row r="13" spans="1:8" s="91" customFormat="1" x14ac:dyDescent="0.2"/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9"/>
      <c r="C18" s="99"/>
      <c r="D18" s="2" t="s">
        <v>6075</v>
      </c>
      <c r="E18" s="2"/>
    </row>
    <row r="19" spans="1:8" s="91" customFormat="1" x14ac:dyDescent="0.2"/>
    <row r="20" spans="1:8" s="91" customFormat="1" x14ac:dyDescent="0.2">
      <c r="A20" s="93" t="s">
        <v>6076</v>
      </c>
      <c r="B20" s="93"/>
      <c r="C20" s="93"/>
      <c r="D20" s="91" t="s">
        <v>6077</v>
      </c>
      <c r="H20" s="91">
        <f>16200*4.2748</f>
        <v>69251.759999999995</v>
      </c>
    </row>
    <row r="21" spans="1:8" s="91" customFormat="1" x14ac:dyDescent="0.2">
      <c r="D21" s="91" t="s">
        <v>6078</v>
      </c>
    </row>
    <row r="22" spans="1:8" s="91" customFormat="1" x14ac:dyDescent="0.2">
      <c r="A22" s="93"/>
      <c r="B22" s="93"/>
      <c r="C22" s="93"/>
    </row>
    <row r="23" spans="1:8" s="91" customFormat="1" x14ac:dyDescent="0.2"/>
    <row r="24" spans="1:8" s="91" customFormat="1" x14ac:dyDescent="0.2">
      <c r="A24" s="93"/>
      <c r="B24" s="93"/>
      <c r="C24" s="93"/>
    </row>
    <row r="25" spans="1:8" s="91" customFormat="1" x14ac:dyDescent="0.2"/>
    <row r="26" spans="1:8" s="91" customFormat="1" x14ac:dyDescent="0.2"/>
    <row r="27" spans="1:8" s="91" customFormat="1" x14ac:dyDescent="0.2">
      <c r="B27" s="94"/>
      <c r="C27" s="94"/>
    </row>
    <row r="28" spans="1:8" s="91" customFormat="1" x14ac:dyDescent="0.2">
      <c r="B28" s="94"/>
      <c r="C28" s="94"/>
    </row>
    <row r="29" spans="1:8" s="91" customFormat="1" x14ac:dyDescent="0.2">
      <c r="B29" s="94"/>
      <c r="C29" s="94"/>
    </row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ht="13.5" thickBot="1" x14ac:dyDescent="0.25">
      <c r="H33" s="95">
        <f>SUM(H18:H31)</f>
        <v>69251.759999999995</v>
      </c>
    </row>
    <row r="34" spans="1:8" s="91" customFormat="1" ht="13.5" thickTop="1" x14ac:dyDescent="0.2">
      <c r="H34" s="101"/>
    </row>
    <row r="35" spans="1:8" s="91" customFormat="1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Sixty-Nine Thousand Two Hundred Fifty-One and 76/100 -----------</v>
      </c>
      <c r="C35" s="185"/>
      <c r="D35" s="97"/>
      <c r="E35" s="97"/>
      <c r="F35" s="97"/>
      <c r="G35" s="97"/>
      <c r="H35" s="207"/>
    </row>
    <row r="36" spans="1:8" s="91" customFormat="1" x14ac:dyDescent="0.2">
      <c r="A36" s="94" t="s">
        <v>11</v>
      </c>
    </row>
    <row r="37" spans="1:8" s="91" customFormat="1" ht="25.5" x14ac:dyDescent="0.2">
      <c r="A37" s="91" t="s">
        <v>10</v>
      </c>
      <c r="F37" s="218" t="s">
        <v>3975</v>
      </c>
      <c r="G37" s="219"/>
      <c r="H37" s="220"/>
    </row>
    <row r="38" spans="1:8" s="91" customFormat="1" x14ac:dyDescent="0.2"/>
    <row r="39" spans="1:8" s="91" customFormat="1" x14ac:dyDescent="0.2">
      <c r="F39" s="227"/>
      <c r="G39" s="227"/>
      <c r="H39" s="227"/>
    </row>
    <row r="40" spans="1:8" s="91" customFormat="1" x14ac:dyDescent="0.2">
      <c r="F40" s="228"/>
      <c r="G40" s="229"/>
      <c r="H40" s="229"/>
    </row>
    <row r="41" spans="1:8" s="91" customFormat="1" x14ac:dyDescent="0.2">
      <c r="A41" s="101"/>
      <c r="B41" s="101"/>
    </row>
    <row r="42" spans="1:8" s="91" customFormat="1" x14ac:dyDescent="0.2"/>
    <row r="43" spans="1:8" s="91" customFormat="1" x14ac:dyDescent="0.2">
      <c r="A43" s="98" t="s">
        <v>8</v>
      </c>
      <c r="D43" s="98" t="s">
        <v>8</v>
      </c>
      <c r="F43" s="98" t="s">
        <v>7</v>
      </c>
      <c r="H43" s="102"/>
    </row>
    <row r="44" spans="1:8" s="91" customFormat="1" x14ac:dyDescent="0.2"/>
    <row r="45" spans="1:8" s="91" customFormat="1" x14ac:dyDescent="0.2"/>
    <row r="46" spans="1:8" s="91" customFormat="1" x14ac:dyDescent="0.2"/>
    <row r="47" spans="1:8" s="91" customFormat="1" x14ac:dyDescent="0.2">
      <c r="A47" s="101"/>
      <c r="B47" s="101"/>
      <c r="D47" s="101"/>
      <c r="F47" s="101"/>
      <c r="G47" s="101"/>
      <c r="H47" s="101"/>
    </row>
    <row r="48" spans="1:8" s="61" customFormat="1" ht="17.100000000000001" customHeight="1" x14ac:dyDescent="0.2">
      <c r="A48" s="103" t="s">
        <v>4047</v>
      </c>
      <c r="B48" s="104"/>
      <c r="C48" s="104"/>
      <c r="D48" s="103" t="s">
        <v>50</v>
      </c>
      <c r="F48" s="61" t="s">
        <v>3</v>
      </c>
    </row>
    <row r="49" spans="6:6" s="91" customFormat="1" x14ac:dyDescent="0.2">
      <c r="F49" s="91" t="s">
        <v>2</v>
      </c>
    </row>
    <row r="50" spans="6:6" s="91" customFormat="1" x14ac:dyDescent="0.2"/>
    <row r="51" spans="6:6" s="91" customFormat="1" x14ac:dyDescent="0.2">
      <c r="F51" s="2" t="s">
        <v>1</v>
      </c>
    </row>
    <row r="52" spans="6:6" s="91" customFormat="1" x14ac:dyDescent="0.2">
      <c r="F52" s="2" t="s">
        <v>0</v>
      </c>
    </row>
    <row r="53" spans="6:6" s="91" customFormat="1" x14ac:dyDescent="0.2"/>
    <row r="54" spans="6:6" s="91" customFormat="1" x14ac:dyDescent="0.2"/>
    <row r="55" spans="6:6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526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2" width="15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1317</v>
      </c>
      <c r="E9" s="91" t="s">
        <v>6036</v>
      </c>
    </row>
    <row r="10" spans="1:6" s="91" customFormat="1" x14ac:dyDescent="0.2">
      <c r="A10" s="91" t="s">
        <v>5108</v>
      </c>
      <c r="D10" s="92" t="s">
        <v>1357</v>
      </c>
      <c r="E10" s="92" t="s">
        <v>6030</v>
      </c>
    </row>
    <row r="11" spans="1:6" s="91" customFormat="1" x14ac:dyDescent="0.2">
      <c r="A11" s="91" t="s">
        <v>5109</v>
      </c>
      <c r="D11" s="92" t="s">
        <v>1330</v>
      </c>
      <c r="E11" s="92" t="s">
        <v>1220</v>
      </c>
    </row>
    <row r="12" spans="1:6" s="91" customFormat="1" x14ac:dyDescent="0.2">
      <c r="D12" s="92" t="s">
        <v>1224</v>
      </c>
      <c r="E12" s="94" t="s">
        <v>6037</v>
      </c>
    </row>
    <row r="13" spans="1:6" s="91" customFormat="1" x14ac:dyDescent="0.2">
      <c r="E13" s="153"/>
    </row>
    <row r="14" spans="1:6" s="91" customFormat="1" x14ac:dyDescent="0.2"/>
    <row r="15" spans="1:6" s="91" customFormat="1" x14ac:dyDescent="0.2"/>
    <row r="16" spans="1:6" s="91" customFormat="1" x14ac:dyDescent="0.2"/>
    <row r="17" spans="1:6" s="14" customFormat="1" ht="20.100000000000001" customHeight="1" x14ac:dyDescent="0.2">
      <c r="A17" s="17" t="s">
        <v>1261</v>
      </c>
      <c r="B17" s="31" t="s">
        <v>1262</v>
      </c>
      <c r="C17" s="18" t="s">
        <v>19</v>
      </c>
      <c r="D17" s="17"/>
      <c r="E17" s="16"/>
      <c r="F17" s="15" t="s">
        <v>18</v>
      </c>
    </row>
    <row r="18" spans="1:6" s="91" customFormat="1" x14ac:dyDescent="0.2"/>
    <row r="19" spans="1:6" s="91" customFormat="1" x14ac:dyDescent="0.2">
      <c r="C19" s="2" t="s">
        <v>6038</v>
      </c>
    </row>
    <row r="20" spans="1:6" s="91" customFormat="1" x14ac:dyDescent="0.2">
      <c r="C20" s="2" t="s">
        <v>6039</v>
      </c>
    </row>
    <row r="21" spans="1:6" s="91" customFormat="1" x14ac:dyDescent="0.2"/>
    <row r="22" spans="1:6" s="91" customFormat="1" x14ac:dyDescent="0.2">
      <c r="A22" s="94" t="s">
        <v>4249</v>
      </c>
      <c r="B22" s="99"/>
      <c r="C22" s="91" t="s">
        <v>5675</v>
      </c>
      <c r="F22" s="91">
        <f>1530+229.5</f>
        <v>1759.5</v>
      </c>
    </row>
    <row r="23" spans="1:6" s="91" customFormat="1" x14ac:dyDescent="0.2">
      <c r="A23" s="93" t="s">
        <v>5999</v>
      </c>
      <c r="C23" s="91" t="s">
        <v>127</v>
      </c>
      <c r="F23" s="91">
        <f>48.08</f>
        <v>48.08</v>
      </c>
    </row>
    <row r="24" spans="1:6" s="91" customFormat="1" x14ac:dyDescent="0.2">
      <c r="C24" s="91" t="s">
        <v>5505</v>
      </c>
      <c r="F24" s="91">
        <v>624.9</v>
      </c>
    </row>
    <row r="25" spans="1:6" s="91" customFormat="1" x14ac:dyDescent="0.2">
      <c r="C25" s="91" t="s">
        <v>6042</v>
      </c>
      <c r="F25" s="91">
        <f>3180.38</f>
        <v>3180.38</v>
      </c>
    </row>
    <row r="26" spans="1:6" s="91" customFormat="1" x14ac:dyDescent="0.2">
      <c r="C26" s="91" t="s">
        <v>6040</v>
      </c>
      <c r="F26" s="91">
        <v>688</v>
      </c>
    </row>
    <row r="27" spans="1:6" s="91" customFormat="1" x14ac:dyDescent="0.2">
      <c r="C27" s="91" t="s">
        <v>6041</v>
      </c>
      <c r="F27" s="91">
        <v>307</v>
      </c>
    </row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SUM(F19:F33)</f>
        <v>6607.8600000000006</v>
      </c>
    </row>
    <row r="35" spans="1:6" s="91" customFormat="1" ht="13.5" thickTop="1" x14ac:dyDescent="0.2"/>
    <row r="36" spans="1:6" s="91" customFormat="1" ht="20.100000000000001" customHeight="1" x14ac:dyDescent="0.2">
      <c r="A36" s="96" t="s">
        <v>2674</v>
      </c>
      <c r="B36" s="96" t="s">
        <v>2675</v>
      </c>
      <c r="C36" s="97"/>
      <c r="D36" s="206"/>
      <c r="E36" s="206"/>
      <c r="F36" s="206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/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  <row r="56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329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3703</v>
      </c>
      <c r="F9" s="91"/>
    </row>
    <row r="10" spans="1:6" x14ac:dyDescent="0.2">
      <c r="A10" s="91" t="s">
        <v>3506</v>
      </c>
      <c r="B10" s="91"/>
      <c r="C10" s="91"/>
      <c r="D10" s="92" t="s">
        <v>1357</v>
      </c>
      <c r="E10" s="92" t="s">
        <v>3699</v>
      </c>
      <c r="F10" s="91"/>
    </row>
    <row r="11" spans="1:6" x14ac:dyDescent="0.2">
      <c r="A11" s="91" t="s">
        <v>1228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3501</v>
      </c>
      <c r="B12" s="91"/>
      <c r="C12" s="91"/>
      <c r="D12" s="92" t="s">
        <v>1224</v>
      </c>
      <c r="E12" s="92" t="s">
        <v>3704</v>
      </c>
      <c r="F12" s="91"/>
    </row>
    <row r="13" spans="1:6" x14ac:dyDescent="0.2">
      <c r="A13" s="91" t="s">
        <v>3505</v>
      </c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B18" s="93"/>
      <c r="C18" s="2" t="s">
        <v>1230</v>
      </c>
      <c r="D18" s="91"/>
      <c r="E18" s="91"/>
      <c r="F18" s="91"/>
    </row>
    <row r="19" spans="1:6" x14ac:dyDescent="0.2">
      <c r="A19" s="91"/>
      <c r="B19" s="91"/>
      <c r="C19" s="2" t="s">
        <v>3502</v>
      </c>
      <c r="D19" s="91"/>
      <c r="E19" s="91"/>
      <c r="F19" s="91"/>
    </row>
    <row r="20" spans="1:6" x14ac:dyDescent="0.2">
      <c r="A20" s="106"/>
      <c r="B20" s="91"/>
      <c r="D20" s="91"/>
      <c r="E20" s="91"/>
      <c r="F20" s="91"/>
    </row>
    <row r="21" spans="1:6" x14ac:dyDescent="0.2">
      <c r="A21" s="105" t="s">
        <v>3503</v>
      </c>
      <c r="B21" s="91"/>
      <c r="C21" s="91" t="s">
        <v>1967</v>
      </c>
      <c r="D21" s="91"/>
      <c r="E21" s="91"/>
      <c r="F21" s="91"/>
    </row>
    <row r="22" spans="1:6" x14ac:dyDescent="0.2">
      <c r="A22" s="137"/>
      <c r="B22" s="91"/>
      <c r="C22" s="91" t="s">
        <v>3701</v>
      </c>
      <c r="D22" s="91"/>
      <c r="E22" s="91"/>
      <c r="F22" s="91">
        <v>210</v>
      </c>
    </row>
    <row r="23" spans="1:6" x14ac:dyDescent="0.2">
      <c r="A23" s="106"/>
      <c r="B23" s="91"/>
      <c r="C23" s="91"/>
      <c r="D23" s="91"/>
      <c r="E23" s="91"/>
      <c r="F23" s="91"/>
    </row>
    <row r="25" spans="1:6" x14ac:dyDescent="0.2">
      <c r="A25" s="137"/>
      <c r="B25" s="91"/>
      <c r="C25" s="91"/>
      <c r="D25" s="91"/>
      <c r="E25" s="91"/>
      <c r="F25" s="91"/>
    </row>
    <row r="26" spans="1:6" x14ac:dyDescent="0.2">
      <c r="A26" s="106"/>
      <c r="B26" s="91"/>
      <c r="C26" s="143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ht="13.5" thickBot="1" x14ac:dyDescent="0.25">
      <c r="A32" s="91"/>
      <c r="B32" s="91"/>
      <c r="C32" s="91"/>
      <c r="D32" s="91"/>
      <c r="E32" s="91"/>
      <c r="F32" s="107">
        <f>SUM(F18:F31)</f>
        <v>210</v>
      </c>
    </row>
    <row r="33" spans="1:6" ht="13.5" thickTop="1" x14ac:dyDescent="0.2">
      <c r="A33" s="91"/>
      <c r="B33" s="91"/>
      <c r="C33" s="91"/>
      <c r="D33" s="91"/>
      <c r="E33" s="91"/>
      <c r="F33" s="91"/>
    </row>
    <row r="34" spans="1:6" ht="13.5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122</v>
      </c>
      <c r="B35" s="185" t="s">
        <v>3702</v>
      </c>
      <c r="C35" s="97"/>
      <c r="D35" s="97"/>
      <c r="E35" s="97"/>
      <c r="F35" s="97"/>
    </row>
    <row r="36" spans="1:6" ht="25.5" x14ac:dyDescent="0.2">
      <c r="A36" s="94" t="s">
        <v>11</v>
      </c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330"/>
  <dimension ref="A1:F53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4.285156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3479</v>
      </c>
    </row>
    <row r="10" spans="1:6" x14ac:dyDescent="0.2">
      <c r="A10" s="91" t="s">
        <v>3388</v>
      </c>
      <c r="D10" s="92" t="s">
        <v>1329</v>
      </c>
      <c r="E10" s="91" t="s">
        <v>3449</v>
      </c>
    </row>
    <row r="11" spans="1:6" x14ac:dyDescent="0.2">
      <c r="A11" s="91" t="s">
        <v>3480</v>
      </c>
      <c r="D11" s="92" t="s">
        <v>1330</v>
      </c>
      <c r="E11" s="91" t="s">
        <v>1220</v>
      </c>
    </row>
    <row r="12" spans="1:6" x14ac:dyDescent="0.2">
      <c r="A12" s="91" t="s">
        <v>3481</v>
      </c>
      <c r="D12" s="92" t="s">
        <v>1331</v>
      </c>
      <c r="E12" s="94" t="s">
        <v>770</v>
      </c>
    </row>
    <row r="13" spans="1:6" x14ac:dyDescent="0.2">
      <c r="A13" s="91" t="s">
        <v>3482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3483</v>
      </c>
    </row>
    <row r="19" spans="1:6" x14ac:dyDescent="0.2">
      <c r="A19" s="106"/>
      <c r="C19" s="2"/>
    </row>
    <row r="20" spans="1:6" x14ac:dyDescent="0.2">
      <c r="A20" s="93" t="s">
        <v>3432</v>
      </c>
      <c r="B20" s="93" t="s">
        <v>3484</v>
      </c>
      <c r="C20" s="91" t="s">
        <v>3485</v>
      </c>
      <c r="F20" s="91">
        <f>87581250*0.000284</f>
        <v>24873.075000000001</v>
      </c>
    </row>
    <row r="21" spans="1:6" x14ac:dyDescent="0.2">
      <c r="A21" s="93"/>
      <c r="B21" s="94"/>
      <c r="C21" s="91" t="s">
        <v>3486</v>
      </c>
    </row>
    <row r="22" spans="1:6" x14ac:dyDescent="0.2">
      <c r="A22" s="93"/>
      <c r="B22" s="99"/>
      <c r="C22" s="91" t="s">
        <v>3487</v>
      </c>
    </row>
    <row r="23" spans="1:6" x14ac:dyDescent="0.2">
      <c r="C23" s="91" t="s">
        <v>3488</v>
      </c>
    </row>
    <row r="25" spans="1:6" x14ac:dyDescent="0.2">
      <c r="A25" s="137"/>
      <c r="B25" s="99"/>
      <c r="C25" s="91" t="s">
        <v>3493</v>
      </c>
    </row>
    <row r="26" spans="1:6" x14ac:dyDescent="0.2">
      <c r="C26" s="91" t="s">
        <v>3490</v>
      </c>
      <c r="F26" s="91">
        <f>2085000*0.000284</f>
        <v>592.14</v>
      </c>
    </row>
    <row r="27" spans="1:6" x14ac:dyDescent="0.2">
      <c r="C27" s="91" t="s">
        <v>3491</v>
      </c>
      <c r="F27" s="91">
        <f>3475000*0.000284</f>
        <v>986.90000000000009</v>
      </c>
    </row>
    <row r="28" spans="1:6" x14ac:dyDescent="0.2">
      <c r="C28" s="91" t="s">
        <v>3492</v>
      </c>
      <c r="F28" s="91">
        <f>3475000*0.000284</f>
        <v>986.90000000000009</v>
      </c>
    </row>
    <row r="29" spans="1:6" x14ac:dyDescent="0.2">
      <c r="A29" s="93"/>
      <c r="B29" s="99"/>
    </row>
    <row r="30" spans="1:6" x14ac:dyDescent="0.2">
      <c r="A30" s="93"/>
      <c r="B30" s="99"/>
      <c r="C30" s="91" t="s">
        <v>3489</v>
      </c>
    </row>
    <row r="31" spans="1:6" x14ac:dyDescent="0.2">
      <c r="A31" s="99"/>
    </row>
    <row r="32" spans="1:6" x14ac:dyDescent="0.2">
      <c r="A32" s="137"/>
      <c r="B32" s="94"/>
      <c r="C32" s="91" t="s">
        <v>52</v>
      </c>
      <c r="F32" s="91">
        <v>20</v>
      </c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27459.015000000003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">
        <v>3494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13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80"/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4.5703125" style="91" customWidth="1"/>
    <col min="3" max="3" width="21" style="91" customWidth="1"/>
    <col min="4" max="4" width="16.42578125" style="91" customWidth="1"/>
    <col min="5" max="5" width="14" style="91" customWidth="1"/>
    <col min="6" max="6" width="13.28515625" style="91" customWidth="1"/>
    <col min="7" max="16384" width="9.140625" style="91"/>
  </cols>
  <sheetData>
    <row r="1" spans="1:5" ht="15" x14ac:dyDescent="0.25">
      <c r="A1" s="521" t="s">
        <v>34</v>
      </c>
      <c r="B1" s="521"/>
      <c r="C1" s="521"/>
      <c r="D1" s="521"/>
      <c r="E1" s="521"/>
    </row>
    <row r="2" spans="1:5" x14ac:dyDescent="0.2">
      <c r="A2" s="522" t="s">
        <v>33</v>
      </c>
      <c r="B2" s="522"/>
      <c r="C2" s="522"/>
      <c r="D2" s="522"/>
      <c r="E2" s="522"/>
    </row>
    <row r="3" spans="1:5" x14ac:dyDescent="0.2">
      <c r="A3" s="522" t="s">
        <v>1829</v>
      </c>
      <c r="B3" s="522"/>
      <c r="C3" s="522"/>
      <c r="D3" s="522"/>
      <c r="E3" s="522"/>
    </row>
    <row r="4" spans="1:5" x14ac:dyDescent="0.2">
      <c r="A4" s="522" t="s">
        <v>1828</v>
      </c>
      <c r="B4" s="522"/>
      <c r="C4" s="522"/>
      <c r="D4" s="522"/>
      <c r="E4" s="522"/>
    </row>
    <row r="8" spans="1:5" x14ac:dyDescent="0.2">
      <c r="A8" s="91" t="s">
        <v>32</v>
      </c>
      <c r="D8" s="22" t="s">
        <v>31</v>
      </c>
    </row>
    <row r="9" spans="1:5" x14ac:dyDescent="0.2">
      <c r="D9" s="92" t="s">
        <v>1393</v>
      </c>
      <c r="E9" s="91" t="s">
        <v>2482</v>
      </c>
    </row>
    <row r="10" spans="1:5" x14ac:dyDescent="0.2">
      <c r="A10" s="91" t="s">
        <v>1620</v>
      </c>
      <c r="D10" s="92" t="s">
        <v>1356</v>
      </c>
      <c r="E10" s="98" t="s">
        <v>2483</v>
      </c>
    </row>
    <row r="11" spans="1:5" x14ac:dyDescent="0.2">
      <c r="A11" s="91" t="s">
        <v>2485</v>
      </c>
      <c r="D11" s="92" t="s">
        <v>1364</v>
      </c>
      <c r="E11" s="92" t="s">
        <v>1220</v>
      </c>
    </row>
    <row r="12" spans="1:5" x14ac:dyDescent="0.2">
      <c r="A12" s="91" t="s">
        <v>2486</v>
      </c>
      <c r="D12" s="92" t="s">
        <v>1394</v>
      </c>
      <c r="E12" s="92" t="s">
        <v>2484</v>
      </c>
    </row>
    <row r="13" spans="1:5" x14ac:dyDescent="0.2">
      <c r="A13" s="91" t="s">
        <v>2487</v>
      </c>
      <c r="D13" s="92"/>
    </row>
    <row r="14" spans="1:5" x14ac:dyDescent="0.2">
      <c r="A14" s="91" t="s">
        <v>1621</v>
      </c>
    </row>
    <row r="16" spans="1:5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</row>
    <row r="18" spans="1:5" x14ac:dyDescent="0.2">
      <c r="C18" s="2" t="s">
        <v>2450</v>
      </c>
    </row>
    <row r="19" spans="1:5" x14ac:dyDescent="0.2">
      <c r="A19" s="94"/>
      <c r="C19" s="2"/>
    </row>
    <row r="20" spans="1:5" x14ac:dyDescent="0.2">
      <c r="A20" s="93"/>
      <c r="B20" s="93"/>
      <c r="C20" s="91" t="s">
        <v>2488</v>
      </c>
      <c r="E20" s="91">
        <v>300</v>
      </c>
    </row>
    <row r="21" spans="1:5" x14ac:dyDescent="0.2">
      <c r="A21" s="92"/>
      <c r="B21" s="93"/>
      <c r="C21" s="91" t="s">
        <v>2491</v>
      </c>
    </row>
    <row r="22" spans="1:5" x14ac:dyDescent="0.2">
      <c r="B22" s="94"/>
    </row>
    <row r="23" spans="1:5" x14ac:dyDescent="0.2">
      <c r="B23" s="94"/>
      <c r="C23" s="91" t="s">
        <v>2489</v>
      </c>
      <c r="E23" s="91">
        <v>365</v>
      </c>
    </row>
    <row r="24" spans="1:5" x14ac:dyDescent="0.2">
      <c r="A24" s="93"/>
      <c r="B24" s="93"/>
      <c r="C24" s="91" t="s">
        <v>2490</v>
      </c>
    </row>
    <row r="26" spans="1:5" x14ac:dyDescent="0.2">
      <c r="B26" s="94"/>
    </row>
    <row r="27" spans="1:5" x14ac:dyDescent="0.2">
      <c r="B27" s="94"/>
      <c r="C27" s="2"/>
    </row>
    <row r="28" spans="1:5" x14ac:dyDescent="0.2">
      <c r="B28" s="94"/>
    </row>
    <row r="29" spans="1:5" x14ac:dyDescent="0.2">
      <c r="B29" s="94"/>
      <c r="C29" s="2"/>
    </row>
    <row r="30" spans="1:5" x14ac:dyDescent="0.2">
      <c r="B30" s="94"/>
    </row>
    <row r="31" spans="1:5" x14ac:dyDescent="0.2">
      <c r="B31" s="94"/>
    </row>
    <row r="32" spans="1:5" ht="13.5" thickBot="1" x14ac:dyDescent="0.25">
      <c r="B32" s="94"/>
      <c r="E32" s="107">
        <f>SUM(E20:E31)</f>
        <v>665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1465</v>
      </c>
      <c r="B35" s="96" t="s">
        <v>2492</v>
      </c>
      <c r="C35" s="97"/>
      <c r="D35" s="97"/>
      <c r="E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E43" s="102"/>
    </row>
    <row r="47" spans="1:6" x14ac:dyDescent="0.2">
      <c r="A47" s="101" t="s">
        <v>3972</v>
      </c>
      <c r="B47" s="101"/>
      <c r="D47" s="91" t="s">
        <v>5</v>
      </c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1">
    <pageSetUpPr fitToPage="1"/>
  </sheetPr>
  <dimension ref="A1:J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</row>
    <row r="2" spans="1:10" x14ac:dyDescent="0.2">
      <c r="A2" s="522" t="s">
        <v>33</v>
      </c>
      <c r="B2" s="522"/>
      <c r="C2" s="522"/>
      <c r="D2" s="522"/>
      <c r="E2" s="522"/>
      <c r="F2" s="522"/>
    </row>
    <row r="3" spans="1:10" x14ac:dyDescent="0.2">
      <c r="A3" s="522" t="s">
        <v>1829</v>
      </c>
      <c r="B3" s="522"/>
      <c r="C3" s="522"/>
      <c r="D3" s="522"/>
      <c r="E3" s="522"/>
      <c r="F3" s="522"/>
    </row>
    <row r="4" spans="1:10" x14ac:dyDescent="0.2">
      <c r="A4" s="522" t="s">
        <v>1828</v>
      </c>
      <c r="B4" s="522"/>
      <c r="C4" s="522"/>
      <c r="D4" s="522"/>
      <c r="E4" s="522"/>
      <c r="F4" s="522"/>
    </row>
    <row r="8" spans="1:10" x14ac:dyDescent="0.2">
      <c r="A8" s="91" t="s">
        <v>32</v>
      </c>
      <c r="D8" s="22" t="s">
        <v>31</v>
      </c>
    </row>
    <row r="9" spans="1:10" x14ac:dyDescent="0.2">
      <c r="A9" s="91" t="s">
        <v>1949</v>
      </c>
      <c r="D9" s="92" t="s">
        <v>1317</v>
      </c>
      <c r="E9" s="91" t="s">
        <v>5032</v>
      </c>
    </row>
    <row r="10" spans="1:10" x14ac:dyDescent="0.2">
      <c r="A10" s="91" t="s">
        <v>3852</v>
      </c>
      <c r="D10" s="92" t="s">
        <v>1329</v>
      </c>
      <c r="E10" s="98" t="s">
        <v>5028</v>
      </c>
      <c r="J10" s="80"/>
    </row>
    <row r="11" spans="1:10" x14ac:dyDescent="0.2">
      <c r="A11" s="91" t="s">
        <v>1950</v>
      </c>
      <c r="D11" s="92" t="s">
        <v>1330</v>
      </c>
      <c r="E11" s="92" t="s">
        <v>1220</v>
      </c>
    </row>
    <row r="12" spans="1:10" x14ac:dyDescent="0.2">
      <c r="A12" s="91" t="s">
        <v>1951</v>
      </c>
      <c r="D12" s="92" t="s">
        <v>1331</v>
      </c>
      <c r="E12" s="92" t="s">
        <v>5033</v>
      </c>
    </row>
    <row r="16" spans="1:10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2"/>
      <c r="B18" s="94"/>
      <c r="C18" s="2" t="s">
        <v>5034</v>
      </c>
    </row>
    <row r="20" spans="1:6" x14ac:dyDescent="0.2">
      <c r="A20" s="91" t="s">
        <v>5035</v>
      </c>
      <c r="C20" s="91" t="s">
        <v>5036</v>
      </c>
      <c r="F20" s="91">
        <v>20000</v>
      </c>
    </row>
    <row r="21" spans="1:6" x14ac:dyDescent="0.2">
      <c r="A21" s="216"/>
    </row>
    <row r="22" spans="1:6" x14ac:dyDescent="0.2">
      <c r="A22" s="93"/>
      <c r="B22" s="94"/>
    </row>
    <row r="23" spans="1:6" x14ac:dyDescent="0.2">
      <c r="A23" s="93"/>
      <c r="B23" s="94"/>
    </row>
    <row r="24" spans="1:6" x14ac:dyDescent="0.2">
      <c r="A24" s="93"/>
      <c r="B24" s="94"/>
    </row>
    <row r="25" spans="1:6" x14ac:dyDescent="0.2">
      <c r="A25" s="93"/>
      <c r="B25" s="94"/>
    </row>
    <row r="26" spans="1:6" x14ac:dyDescent="0.2">
      <c r="A26" s="106"/>
    </row>
    <row r="27" spans="1:6" x14ac:dyDescent="0.2">
      <c r="A27" s="106"/>
    </row>
    <row r="30" spans="1:6" x14ac:dyDescent="0.2">
      <c r="A30" s="1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C33" s="91" t="s">
        <v>2333</v>
      </c>
      <c r="F33" s="107">
        <f>SUM(F18:F31)</f>
        <v>20000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Twenty Thousand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6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209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1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591</v>
      </c>
    </row>
    <row r="10" spans="1:6" x14ac:dyDescent="0.2">
      <c r="A10" s="1" t="s">
        <v>590</v>
      </c>
      <c r="D10" s="20" t="s">
        <v>27</v>
      </c>
      <c r="E10" s="20" t="s">
        <v>589</v>
      </c>
    </row>
    <row r="11" spans="1:6" x14ac:dyDescent="0.2">
      <c r="A11" s="1" t="s">
        <v>588</v>
      </c>
      <c r="D11" s="20" t="s">
        <v>24</v>
      </c>
      <c r="E11" s="20" t="s">
        <v>23</v>
      </c>
    </row>
    <row r="12" spans="1:6" x14ac:dyDescent="0.2">
      <c r="A12" s="1" t="s">
        <v>587</v>
      </c>
      <c r="D12" s="20" t="s">
        <v>22</v>
      </c>
      <c r="E12" s="20" t="s">
        <v>586</v>
      </c>
    </row>
    <row r="13" spans="1:6" x14ac:dyDescent="0.2">
      <c r="A13" s="1" t="s">
        <v>585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2:6" x14ac:dyDescent="0.2">
      <c r="C18" s="21"/>
    </row>
    <row r="19" spans="2:6" x14ac:dyDescent="0.2">
      <c r="C19" s="21"/>
    </row>
    <row r="20" spans="2:6" x14ac:dyDescent="0.2">
      <c r="C20" s="13" t="s">
        <v>584</v>
      </c>
    </row>
    <row r="21" spans="2:6" x14ac:dyDescent="0.2">
      <c r="B21" s="8"/>
      <c r="C21" s="1" t="s">
        <v>583</v>
      </c>
    </row>
    <row r="22" spans="2:6" x14ac:dyDescent="0.2">
      <c r="C22" s="1" t="s">
        <v>582</v>
      </c>
    </row>
    <row r="23" spans="2:6" x14ac:dyDescent="0.2">
      <c r="B23" s="8"/>
    </row>
    <row r="24" spans="2:6" x14ac:dyDescent="0.2">
      <c r="B24" s="8"/>
    </row>
    <row r="25" spans="2:6" x14ac:dyDescent="0.2">
      <c r="C25" s="1" t="s">
        <v>581</v>
      </c>
      <c r="F25" s="1">
        <v>8516.33</v>
      </c>
    </row>
    <row r="29" spans="2:6" x14ac:dyDescent="0.2">
      <c r="B29" s="8"/>
    </row>
    <row r="30" spans="2:6" x14ac:dyDescent="0.2">
      <c r="B30" s="8"/>
    </row>
    <row r="32" spans="2:6" ht="13.5" thickBot="1" x14ac:dyDescent="0.25">
      <c r="F32" s="11">
        <f>SUM(F18:F31)</f>
        <v>8516.33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580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200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6843</v>
      </c>
    </row>
    <row r="10" spans="1:6" x14ac:dyDescent="0.2">
      <c r="A10" s="91" t="s">
        <v>2240</v>
      </c>
      <c r="D10" s="92" t="s">
        <v>1444</v>
      </c>
      <c r="E10" s="98" t="s">
        <v>6833</v>
      </c>
    </row>
    <row r="11" spans="1:6" x14ac:dyDescent="0.2">
      <c r="A11" s="91" t="s">
        <v>2241</v>
      </c>
      <c r="D11" s="92" t="s">
        <v>1431</v>
      </c>
      <c r="E11" s="92" t="s">
        <v>1220</v>
      </c>
    </row>
    <row r="12" spans="1:6" x14ac:dyDescent="0.2">
      <c r="A12" s="91" t="s">
        <v>2242</v>
      </c>
      <c r="D12" s="92" t="s">
        <v>1268</v>
      </c>
      <c r="E12" s="92" t="s">
        <v>6844</v>
      </c>
    </row>
    <row r="13" spans="1:6" x14ac:dyDescent="0.2">
      <c r="A13" s="91" t="s">
        <v>2243</v>
      </c>
    </row>
    <row r="14" spans="1:6" x14ac:dyDescent="0.2">
      <c r="A14" s="91" t="s">
        <v>2244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4311</v>
      </c>
      <c r="F18" s="110"/>
    </row>
    <row r="19" spans="1:6" x14ac:dyDescent="0.2">
      <c r="F19" s="110"/>
    </row>
    <row r="20" spans="1:6" x14ac:dyDescent="0.2">
      <c r="A20" s="111" t="s">
        <v>6813</v>
      </c>
      <c r="B20" s="93" t="s">
        <v>6845</v>
      </c>
      <c r="C20" s="91" t="s">
        <v>6846</v>
      </c>
      <c r="F20" s="110">
        <v>157.05000000000001</v>
      </c>
    </row>
    <row r="21" spans="1:6" x14ac:dyDescent="0.2">
      <c r="C21" s="94"/>
    </row>
    <row r="27" spans="1:6" ht="12" customHeight="1" x14ac:dyDescent="0.2"/>
    <row r="28" spans="1:6" x14ac:dyDescent="0.2">
      <c r="A28" s="108"/>
      <c r="B28" s="94"/>
      <c r="C28" s="2"/>
      <c r="F28" s="110"/>
    </row>
    <row r="29" spans="1:6" x14ac:dyDescent="0.2">
      <c r="A29" s="109"/>
      <c r="B29" s="94"/>
      <c r="C29" s="2"/>
      <c r="F29" s="110"/>
    </row>
    <row r="30" spans="1:6" x14ac:dyDescent="0.2">
      <c r="A30" s="111"/>
      <c r="B30" s="94"/>
    </row>
    <row r="31" spans="1:6" x14ac:dyDescent="0.2">
      <c r="A31" s="108"/>
    </row>
    <row r="32" spans="1:6" x14ac:dyDescent="0.2">
      <c r="A32" s="108"/>
    </row>
    <row r="37" spans="1:6" ht="13.5" thickBot="1" x14ac:dyDescent="0.25">
      <c r="F37" s="95">
        <f>SUM(F18:F35)</f>
        <v>157.05000000000001</v>
      </c>
    </row>
    <row r="38" spans="1:6" ht="13.5" thickTop="1" x14ac:dyDescent="0.2"/>
    <row r="39" spans="1:6" ht="20.100000000000001" customHeight="1" x14ac:dyDescent="0.2">
      <c r="A39" s="96" t="s">
        <v>336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One Hundred Fifty-Seven and 5/100 -----------</v>
      </c>
      <c r="C39" s="97"/>
      <c r="D39" s="97"/>
      <c r="E39" s="97"/>
      <c r="F39" s="97"/>
    </row>
    <row r="40" spans="1:6" x14ac:dyDescent="0.2">
      <c r="A40" s="94" t="s">
        <v>11</v>
      </c>
    </row>
    <row r="41" spans="1:6" ht="25.5" x14ac:dyDescent="0.2">
      <c r="A41" s="91" t="s">
        <v>10</v>
      </c>
      <c r="D41" s="218" t="s">
        <v>3975</v>
      </c>
      <c r="E41" s="219"/>
      <c r="F41" s="220"/>
    </row>
    <row r="43" spans="1:6" x14ac:dyDescent="0.2">
      <c r="D43" s="227"/>
      <c r="E43" s="227"/>
      <c r="F43" s="227"/>
    </row>
    <row r="44" spans="1:6" x14ac:dyDescent="0.2">
      <c r="A44" s="91" t="s">
        <v>121</v>
      </c>
      <c r="C44" s="99"/>
      <c r="D44" s="228"/>
      <c r="E44" s="229"/>
      <c r="F44" s="229"/>
    </row>
    <row r="45" spans="1:6" x14ac:dyDescent="0.2">
      <c r="A45" s="101"/>
      <c r="B45" s="101"/>
    </row>
    <row r="47" spans="1:6" x14ac:dyDescent="0.2">
      <c r="A47" s="98" t="s">
        <v>8</v>
      </c>
      <c r="D47" s="98" t="s">
        <v>7</v>
      </c>
      <c r="F47" s="102"/>
    </row>
    <row r="51" spans="1:6" x14ac:dyDescent="0.2">
      <c r="A51" s="101"/>
      <c r="B51" s="101"/>
      <c r="D51" s="101"/>
      <c r="E51" s="101"/>
      <c r="F51" s="101"/>
    </row>
    <row r="52" spans="1:6" s="61" customFormat="1" ht="17.100000000000001" customHeight="1" x14ac:dyDescent="0.2">
      <c r="A52" s="103" t="s">
        <v>4066</v>
      </c>
      <c r="B52" s="104"/>
      <c r="D52" s="61" t="s">
        <v>3</v>
      </c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212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153" t="s">
        <v>3767</v>
      </c>
    </row>
    <row r="10" spans="1:6" x14ac:dyDescent="0.2">
      <c r="A10" s="91" t="s">
        <v>2431</v>
      </c>
      <c r="D10" s="92" t="s">
        <v>1444</v>
      </c>
      <c r="E10" s="155" t="s">
        <v>3768</v>
      </c>
    </row>
    <row r="11" spans="1:6" x14ac:dyDescent="0.2">
      <c r="A11" s="91" t="s">
        <v>2432</v>
      </c>
      <c r="D11" s="92" t="s">
        <v>1431</v>
      </c>
      <c r="E11" s="155" t="s">
        <v>1220</v>
      </c>
    </row>
    <row r="12" spans="1:6" x14ac:dyDescent="0.2">
      <c r="A12" s="91" t="s">
        <v>2433</v>
      </c>
      <c r="D12" s="92" t="s">
        <v>1268</v>
      </c>
      <c r="E12" s="155" t="s">
        <v>770</v>
      </c>
    </row>
    <row r="13" spans="1:6" x14ac:dyDescent="0.2">
      <c r="A13" s="91" t="s">
        <v>2434</v>
      </c>
    </row>
    <row r="14" spans="1:6" x14ac:dyDescent="0.2">
      <c r="A14" s="91" t="s">
        <v>2435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3246</v>
      </c>
      <c r="F18" s="110"/>
    </row>
    <row r="19" spans="1:6" x14ac:dyDescent="0.2">
      <c r="C19" s="2"/>
      <c r="F19" s="110"/>
    </row>
    <row r="20" spans="1:6" x14ac:dyDescent="0.2">
      <c r="A20" s="93" t="s">
        <v>3546</v>
      </c>
      <c r="B20" s="93" t="s">
        <v>3769</v>
      </c>
      <c r="C20" s="94" t="s">
        <v>3770</v>
      </c>
      <c r="F20" s="91">
        <f>5000*0.107</f>
        <v>535</v>
      </c>
    </row>
    <row r="22" spans="1:6" x14ac:dyDescent="0.2">
      <c r="C22" s="91" t="s">
        <v>3771</v>
      </c>
      <c r="F22" s="91">
        <f>10000*0.107</f>
        <v>1070</v>
      </c>
    </row>
    <row r="23" spans="1:6" ht="13.5" customHeight="1" x14ac:dyDescent="0.2">
      <c r="A23" s="108"/>
      <c r="B23" s="94"/>
    </row>
    <row r="24" spans="1:6" ht="13.5" customHeight="1" x14ac:dyDescent="0.2">
      <c r="A24" s="108"/>
      <c r="B24" s="94"/>
      <c r="C24" s="91" t="s">
        <v>3772</v>
      </c>
      <c r="F24" s="91">
        <f>844*0.107</f>
        <v>90.307999999999993</v>
      </c>
    </row>
    <row r="25" spans="1:6" ht="13.5" customHeight="1" x14ac:dyDescent="0.2">
      <c r="A25" s="108"/>
      <c r="B25" s="94"/>
    </row>
    <row r="26" spans="1:6" x14ac:dyDescent="0.2">
      <c r="C26" s="91" t="s">
        <v>52</v>
      </c>
      <c r="F26" s="110">
        <v>30</v>
      </c>
    </row>
    <row r="27" spans="1:6" x14ac:dyDescent="0.2">
      <c r="A27" s="109"/>
      <c r="B27" s="94"/>
      <c r="F27" s="110"/>
    </row>
    <row r="28" spans="1:6" x14ac:dyDescent="0.2">
      <c r="A28" s="111"/>
      <c r="B28" s="94"/>
      <c r="C28" s="143" t="s">
        <v>3773</v>
      </c>
    </row>
    <row r="29" spans="1:6" x14ac:dyDescent="0.2">
      <c r="A29" s="108"/>
    </row>
    <row r="30" spans="1:6" x14ac:dyDescent="0.2">
      <c r="A30" s="108"/>
    </row>
    <row r="35" spans="1:6" ht="13.5" thickBot="1" x14ac:dyDescent="0.25">
      <c r="F35" s="95">
        <f>SUM(F18:F33)</f>
        <v>1725.308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Seven Hundred Twenty-Five and 31/100 -----------</v>
      </c>
      <c r="C37" s="97"/>
      <c r="D37" s="222"/>
      <c r="E37" s="222"/>
      <c r="F37" s="61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4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213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2406</v>
      </c>
    </row>
    <row r="10" spans="1:6" x14ac:dyDescent="0.2">
      <c r="A10" s="91" t="s">
        <v>2409</v>
      </c>
      <c r="D10" s="92" t="s">
        <v>1444</v>
      </c>
      <c r="E10" s="92" t="s">
        <v>2407</v>
      </c>
    </row>
    <row r="11" spans="1:6" x14ac:dyDescent="0.2">
      <c r="A11" s="91" t="s">
        <v>2410</v>
      </c>
      <c r="D11" s="92" t="s">
        <v>1431</v>
      </c>
      <c r="E11" s="92" t="s">
        <v>1220</v>
      </c>
    </row>
    <row r="12" spans="1:6" x14ac:dyDescent="0.2">
      <c r="A12" s="91" t="s">
        <v>2411</v>
      </c>
      <c r="D12" s="92" t="s">
        <v>1268</v>
      </c>
      <c r="E12" s="92" t="s">
        <v>2408</v>
      </c>
    </row>
    <row r="13" spans="1:6" x14ac:dyDescent="0.2">
      <c r="A13" s="91" t="s">
        <v>2412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2413</v>
      </c>
      <c r="F18" s="110"/>
    </row>
    <row r="19" spans="1:6" x14ac:dyDescent="0.2">
      <c r="F19" s="110"/>
    </row>
    <row r="20" spans="1:6" x14ac:dyDescent="0.2">
      <c r="A20" s="111" t="s">
        <v>2381</v>
      </c>
      <c r="B20" s="93" t="s">
        <v>2414</v>
      </c>
      <c r="C20" s="91" t="s">
        <v>2415</v>
      </c>
      <c r="F20" s="110">
        <v>180</v>
      </c>
    </row>
    <row r="21" spans="1:6" x14ac:dyDescent="0.2">
      <c r="C21" s="94"/>
    </row>
    <row r="22" spans="1:6" x14ac:dyDescent="0.2">
      <c r="C22" s="91" t="s">
        <v>2416</v>
      </c>
      <c r="F22" s="91">
        <v>100</v>
      </c>
    </row>
    <row r="24" spans="1:6" x14ac:dyDescent="0.2">
      <c r="A24" s="108"/>
      <c r="B24" s="94"/>
      <c r="C24" s="91" t="s">
        <v>2417</v>
      </c>
      <c r="F24" s="110">
        <v>225</v>
      </c>
    </row>
    <row r="25" spans="1:6" x14ac:dyDescent="0.2">
      <c r="A25" s="109"/>
      <c r="B25" s="94"/>
      <c r="C25" s="91" t="s">
        <v>2418</v>
      </c>
      <c r="F25" s="110"/>
    </row>
    <row r="26" spans="1:6" x14ac:dyDescent="0.2">
      <c r="A26" s="111"/>
      <c r="B26" s="94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505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2419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69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2023</v>
      </c>
      <c r="D9" s="92" t="s">
        <v>1317</v>
      </c>
      <c r="E9" s="91" t="s">
        <v>2246</v>
      </c>
    </row>
    <row r="10" spans="1:6" x14ac:dyDescent="0.2">
      <c r="A10" s="91" t="s">
        <v>2024</v>
      </c>
      <c r="D10" s="92" t="s">
        <v>1329</v>
      </c>
      <c r="E10" s="92" t="s">
        <v>2245</v>
      </c>
    </row>
    <row r="11" spans="1:6" x14ac:dyDescent="0.2">
      <c r="A11" s="91" t="s">
        <v>2025</v>
      </c>
      <c r="D11" s="92" t="s">
        <v>1330</v>
      </c>
      <c r="E11" s="92" t="s">
        <v>1220</v>
      </c>
    </row>
    <row r="12" spans="1:6" x14ac:dyDescent="0.2">
      <c r="A12" s="91" t="s">
        <v>2026</v>
      </c>
      <c r="D12" s="92" t="s">
        <v>1331</v>
      </c>
      <c r="E12" s="92" t="s">
        <v>2247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2248</v>
      </c>
      <c r="B18" s="93" t="s">
        <v>2249</v>
      </c>
      <c r="C18" s="91" t="s">
        <v>2250</v>
      </c>
      <c r="F18" s="91">
        <f>200*3</f>
        <v>600</v>
      </c>
    </row>
    <row r="19" spans="1:6" x14ac:dyDescent="0.2">
      <c r="A19" s="106"/>
      <c r="C19" s="91" t="s">
        <v>2251</v>
      </c>
    </row>
    <row r="20" spans="1:6" x14ac:dyDescent="0.2">
      <c r="A20" s="93"/>
      <c r="B20" s="93"/>
      <c r="C20" s="94" t="s">
        <v>2252</v>
      </c>
    </row>
    <row r="21" spans="1:6" x14ac:dyDescent="0.2">
      <c r="A21" s="106"/>
      <c r="C21" s="91" t="s">
        <v>2254</v>
      </c>
    </row>
    <row r="22" spans="1:6" x14ac:dyDescent="0.2">
      <c r="A22" s="106"/>
    </row>
    <row r="23" spans="1:6" x14ac:dyDescent="0.2">
      <c r="A23" s="106"/>
      <c r="C23" s="91" t="s">
        <v>2253</v>
      </c>
      <c r="F23" s="91">
        <f>60*3</f>
        <v>180</v>
      </c>
    </row>
    <row r="24" spans="1:6" x14ac:dyDescent="0.2">
      <c r="C24" s="91" t="s">
        <v>2255</v>
      </c>
    </row>
    <row r="25" spans="1:6" x14ac:dyDescent="0.2">
      <c r="A25" s="93"/>
      <c r="B25" s="93"/>
    </row>
    <row r="26" spans="1:6" x14ac:dyDescent="0.2">
      <c r="A26" s="93" t="s">
        <v>2256</v>
      </c>
      <c r="B26" s="93" t="s">
        <v>2257</v>
      </c>
      <c r="C26" s="91" t="s">
        <v>2262</v>
      </c>
    </row>
    <row r="27" spans="1:6" x14ac:dyDescent="0.2">
      <c r="A27" s="93"/>
      <c r="B27" s="93"/>
      <c r="C27" s="91" t="s">
        <v>2258</v>
      </c>
      <c r="F27" s="91">
        <v>1200</v>
      </c>
    </row>
    <row r="28" spans="1:6" x14ac:dyDescent="0.2">
      <c r="A28" s="93"/>
      <c r="B28" s="93"/>
      <c r="C28" s="91" t="s">
        <v>2259</v>
      </c>
    </row>
    <row r="29" spans="1:6" x14ac:dyDescent="0.2">
      <c r="A29" s="93"/>
      <c r="B29" s="93"/>
    </row>
    <row r="30" spans="1:6" x14ac:dyDescent="0.2">
      <c r="A30" s="1"/>
      <c r="B30" s="1"/>
      <c r="C30" s="91" t="s">
        <v>2260</v>
      </c>
      <c r="F30" s="91">
        <v>2700</v>
      </c>
    </row>
    <row r="31" spans="1:6" x14ac:dyDescent="0.2">
      <c r="A31" s="1"/>
      <c r="B31" s="1"/>
    </row>
    <row r="32" spans="1:6" x14ac:dyDescent="0.2">
      <c r="A32" s="1"/>
      <c r="B32" s="1"/>
      <c r="C32" s="1"/>
      <c r="D32" s="1"/>
      <c r="E32" s="1"/>
      <c r="F32" s="1"/>
    </row>
    <row r="33" spans="1:6" ht="13.5" thickBot="1" x14ac:dyDescent="0.25">
      <c r="A33" s="106"/>
      <c r="F33" s="107">
        <f>SUM(F18:F32)</f>
        <v>4680</v>
      </c>
    </row>
    <row r="34" spans="1:6" ht="14.25" thickTop="1" thickBot="1" x14ac:dyDescent="0.25">
      <c r="A34" s="106"/>
      <c r="F34" s="107"/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96" t="s">
        <v>2261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70">
    <pageSetUpPr fitToPage="1"/>
  </sheetPr>
  <dimension ref="A1:F49"/>
  <sheetViews>
    <sheetView topLeftCell="A4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2018</v>
      </c>
      <c r="D9" s="92" t="s">
        <v>1317</v>
      </c>
      <c r="E9" s="91" t="s">
        <v>2814</v>
      </c>
    </row>
    <row r="10" spans="1:6" x14ac:dyDescent="0.2">
      <c r="A10" s="91" t="s">
        <v>2019</v>
      </c>
      <c r="D10" s="92" t="s">
        <v>1329</v>
      </c>
      <c r="E10" s="92" t="s">
        <v>2816</v>
      </c>
    </row>
    <row r="11" spans="1:6" x14ac:dyDescent="0.2">
      <c r="A11" s="91" t="s">
        <v>2020</v>
      </c>
      <c r="D11" s="92" t="s">
        <v>1330</v>
      </c>
      <c r="E11" s="92" t="s">
        <v>1220</v>
      </c>
    </row>
    <row r="12" spans="1:6" x14ac:dyDescent="0.2">
      <c r="A12" s="91" t="s">
        <v>2021</v>
      </c>
      <c r="D12" s="92" t="s">
        <v>1331</v>
      </c>
      <c r="E12" s="92" t="s">
        <v>2815</v>
      </c>
    </row>
    <row r="13" spans="1:6" x14ac:dyDescent="0.2">
      <c r="A13" s="91" t="s">
        <v>2022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2817</v>
      </c>
    </row>
    <row r="19" spans="1:6" x14ac:dyDescent="0.2">
      <c r="A19" s="106"/>
    </row>
    <row r="20" spans="1:6" x14ac:dyDescent="0.2">
      <c r="A20" s="93" t="s">
        <v>2818</v>
      </c>
      <c r="B20" s="93" t="s">
        <v>2819</v>
      </c>
      <c r="C20" s="91" t="s">
        <v>2820</v>
      </c>
      <c r="F20" s="91">
        <f>290*3</f>
        <v>870</v>
      </c>
    </row>
    <row r="21" spans="1:6" x14ac:dyDescent="0.2">
      <c r="A21" s="106"/>
      <c r="C21" s="91" t="s">
        <v>2821</v>
      </c>
    </row>
    <row r="22" spans="1:6" x14ac:dyDescent="0.2">
      <c r="A22" s="106"/>
    </row>
    <row r="23" spans="1:6" x14ac:dyDescent="0.2">
      <c r="A23" s="106"/>
      <c r="C23" s="91" t="s">
        <v>2820</v>
      </c>
      <c r="F23" s="91">
        <f>290*3</f>
        <v>870</v>
      </c>
    </row>
    <row r="24" spans="1:6" x14ac:dyDescent="0.2">
      <c r="C24" s="91" t="s">
        <v>2821</v>
      </c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1740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2822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81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1737</v>
      </c>
    </row>
    <row r="10" spans="1:6" x14ac:dyDescent="0.2">
      <c r="A10" s="91" t="s">
        <v>1798</v>
      </c>
      <c r="D10" s="92" t="s">
        <v>1329</v>
      </c>
      <c r="E10" s="105" t="s">
        <v>1738</v>
      </c>
    </row>
    <row r="11" spans="1:6" x14ac:dyDescent="0.2">
      <c r="A11" s="91" t="s">
        <v>1740</v>
      </c>
      <c r="D11" s="92" t="s">
        <v>1330</v>
      </c>
      <c r="E11" s="92" t="s">
        <v>1220</v>
      </c>
    </row>
    <row r="12" spans="1:6" x14ac:dyDescent="0.2">
      <c r="A12" s="91" t="s">
        <v>1741</v>
      </c>
      <c r="D12" s="92" t="s">
        <v>1331</v>
      </c>
      <c r="E12" s="92" t="s">
        <v>1739</v>
      </c>
    </row>
    <row r="13" spans="1:6" x14ac:dyDescent="0.2">
      <c r="A13" s="91" t="s">
        <v>1742</v>
      </c>
    </row>
    <row r="14" spans="1:6" x14ac:dyDescent="0.2">
      <c r="A14" s="91" t="s">
        <v>1743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1744</v>
      </c>
      <c r="B18" s="93" t="s">
        <v>1745</v>
      </c>
      <c r="C18" s="91" t="s">
        <v>1746</v>
      </c>
      <c r="F18" s="91">
        <v>2000</v>
      </c>
    </row>
    <row r="19" spans="1:6" x14ac:dyDescent="0.2">
      <c r="A19" s="93"/>
      <c r="B19" s="94"/>
      <c r="C19" s="91" t="s">
        <v>1747</v>
      </c>
    </row>
    <row r="20" spans="1:6" x14ac:dyDescent="0.2">
      <c r="A20" s="106"/>
      <c r="C20" s="91" t="s">
        <v>1748</v>
      </c>
    </row>
    <row r="21" spans="1:6" x14ac:dyDescent="0.2">
      <c r="A21" s="93"/>
      <c r="B21" s="94"/>
    </row>
    <row r="22" spans="1:6" x14ac:dyDescent="0.2">
      <c r="A22" s="106"/>
    </row>
    <row r="23" spans="1:6" x14ac:dyDescent="0.2">
      <c r="A23" s="93"/>
      <c r="B23" s="94"/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SUM(F18:F28)</f>
        <v>2000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1635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82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3.85546875" style="91" customWidth="1"/>
    <col min="2" max="2" width="18.710937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1971</v>
      </c>
      <c r="D9" s="92" t="s">
        <v>1317</v>
      </c>
      <c r="E9" s="61" t="s">
        <v>2676</v>
      </c>
    </row>
    <row r="10" spans="1:6" x14ac:dyDescent="0.2">
      <c r="A10" s="91" t="s">
        <v>1972</v>
      </c>
      <c r="D10" s="92" t="s">
        <v>1329</v>
      </c>
      <c r="E10" s="113" t="s">
        <v>2677</v>
      </c>
    </row>
    <row r="11" spans="1:6" x14ac:dyDescent="0.2">
      <c r="A11" s="91" t="s">
        <v>1973</v>
      </c>
      <c r="D11" s="92" t="s">
        <v>1330</v>
      </c>
      <c r="E11" s="113" t="s">
        <v>1220</v>
      </c>
    </row>
    <row r="12" spans="1:6" x14ac:dyDescent="0.2">
      <c r="D12" s="92" t="s">
        <v>1331</v>
      </c>
      <c r="E12" s="113" t="s">
        <v>2678</v>
      </c>
    </row>
    <row r="13" spans="1:6" x14ac:dyDescent="0.2">
      <c r="A13" s="91" t="s">
        <v>1974</v>
      </c>
    </row>
    <row r="14" spans="1:6" x14ac:dyDescent="0.2">
      <c r="A14" s="91" t="s">
        <v>1975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  <c r="C17" s="91" t="s">
        <v>2774</v>
      </c>
    </row>
    <row r="18" spans="1:6" x14ac:dyDescent="0.2">
      <c r="C18" s="2" t="s">
        <v>2679</v>
      </c>
    </row>
    <row r="19" spans="1:6" x14ac:dyDescent="0.2">
      <c r="A19" s="106"/>
      <c r="C19" s="2" t="s">
        <v>2680</v>
      </c>
    </row>
    <row r="20" spans="1:6" x14ac:dyDescent="0.2">
      <c r="C20" s="2" t="s">
        <v>2681</v>
      </c>
    </row>
    <row r="21" spans="1:6" x14ac:dyDescent="0.2">
      <c r="A21" s="93"/>
      <c r="B21" s="94"/>
      <c r="C21" s="2"/>
    </row>
    <row r="22" spans="1:6" x14ac:dyDescent="0.2">
      <c r="A22" s="137" t="s">
        <v>2682</v>
      </c>
      <c r="B22" s="191" t="s">
        <v>2683</v>
      </c>
      <c r="C22" s="91" t="s">
        <v>2686</v>
      </c>
      <c r="F22" s="91">
        <f>30638*7%</f>
        <v>2144.6600000000003</v>
      </c>
    </row>
    <row r="23" spans="1:6" x14ac:dyDescent="0.2">
      <c r="A23" s="94"/>
      <c r="C23" s="91" t="s">
        <v>2684</v>
      </c>
    </row>
    <row r="24" spans="1:6" x14ac:dyDescent="0.2">
      <c r="A24" s="106"/>
    </row>
    <row r="25" spans="1:6" x14ac:dyDescent="0.2">
      <c r="C25" s="91" t="s">
        <v>2685</v>
      </c>
      <c r="F25" s="91">
        <f>F22*6%</f>
        <v>128.67960000000002</v>
      </c>
    </row>
    <row r="30" spans="1:6" x14ac:dyDescent="0.2">
      <c r="A30" s="1"/>
      <c r="B30" s="1"/>
    </row>
    <row r="31" spans="1:6" ht="13.5" thickBot="1" x14ac:dyDescent="0.25">
      <c r="A31" s="106"/>
      <c r="F31" s="107">
        <f>SUM(F22:F29)</f>
        <v>2273.3396000000002</v>
      </c>
    </row>
    <row r="32" spans="1:6" ht="13.5" thickTop="1" x14ac:dyDescent="0.2">
      <c r="A32" s="106"/>
    </row>
    <row r="33" spans="1:6" x14ac:dyDescent="0.2">
      <c r="A33" s="106"/>
    </row>
    <row r="34" spans="1:6" ht="20.100000000000001" customHeight="1" thickBot="1" x14ac:dyDescent="0.25">
      <c r="A34" s="96" t="s">
        <v>1248</v>
      </c>
      <c r="B34" s="96" t="s">
        <v>2687</v>
      </c>
      <c r="C34" s="97"/>
      <c r="D34" s="97"/>
      <c r="E34" s="97"/>
      <c r="F34" s="132"/>
    </row>
    <row r="35" spans="1:6" ht="13.5" thickTop="1" x14ac:dyDescent="0.2">
      <c r="A35" s="94"/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A41" s="1"/>
      <c r="D41" s="98" t="s">
        <v>7</v>
      </c>
      <c r="F41" s="102"/>
    </row>
    <row r="42" spans="1:6" x14ac:dyDescent="0.2">
      <c r="A42" s="91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3" customFormat="1" ht="17.100000000000001" customHeight="1" x14ac:dyDescent="0.2">
      <c r="A47" s="61" t="s">
        <v>3972</v>
      </c>
      <c r="B47" s="104"/>
      <c r="C47" s="61"/>
      <c r="D47" s="61" t="s">
        <v>3</v>
      </c>
      <c r="E47" s="61"/>
      <c r="F47" s="61"/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83"/>
  <dimension ref="A1:F50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140625" style="91" customWidth="1"/>
    <col min="3" max="3" width="21" style="91" customWidth="1"/>
    <col min="4" max="4" width="16.42578125" style="91" customWidth="1"/>
    <col min="5" max="5" width="6.42578125" style="91" customWidth="1"/>
    <col min="6" max="6" width="14.140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3048</v>
      </c>
    </row>
    <row r="10" spans="1:6" x14ac:dyDescent="0.2">
      <c r="A10" s="91" t="s">
        <v>1976</v>
      </c>
      <c r="D10" s="92" t="s">
        <v>1444</v>
      </c>
      <c r="E10" s="92" t="s">
        <v>3049</v>
      </c>
    </row>
    <row r="11" spans="1:6" x14ac:dyDescent="0.2">
      <c r="A11" s="91" t="s">
        <v>1977</v>
      </c>
      <c r="D11" s="92" t="s">
        <v>1431</v>
      </c>
      <c r="E11" s="92" t="s">
        <v>1220</v>
      </c>
    </row>
    <row r="12" spans="1:6" x14ac:dyDescent="0.2">
      <c r="A12" s="91" t="s">
        <v>1862</v>
      </c>
      <c r="D12" s="92" t="s">
        <v>1268</v>
      </c>
      <c r="E12" s="92" t="s">
        <v>3050</v>
      </c>
    </row>
    <row r="13" spans="1:6" x14ac:dyDescent="0.2">
      <c r="A13" s="91" t="s">
        <v>1978</v>
      </c>
    </row>
    <row r="14" spans="1:6" x14ac:dyDescent="0.2">
      <c r="A14" s="91" t="s">
        <v>1979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2824</v>
      </c>
      <c r="F18" s="110"/>
    </row>
    <row r="19" spans="1:6" x14ac:dyDescent="0.2">
      <c r="A19" s="91" t="s">
        <v>3051</v>
      </c>
      <c r="B19" s="150"/>
      <c r="F19" s="110"/>
    </row>
    <row r="20" spans="1:6" x14ac:dyDescent="0.2">
      <c r="A20" s="91" t="s">
        <v>3052</v>
      </c>
      <c r="C20" s="91" t="s">
        <v>3053</v>
      </c>
      <c r="F20" s="110">
        <v>550</v>
      </c>
    </row>
    <row r="21" spans="1:6" x14ac:dyDescent="0.2">
      <c r="C21" s="91" t="s">
        <v>3054</v>
      </c>
    </row>
    <row r="22" spans="1:6" x14ac:dyDescent="0.2">
      <c r="F22" s="110"/>
    </row>
    <row r="23" spans="1:6" x14ac:dyDescent="0.2">
      <c r="C23" s="2"/>
      <c r="F23" s="110"/>
    </row>
    <row r="25" spans="1:6" x14ac:dyDescent="0.2">
      <c r="A25" s="111"/>
      <c r="B25" s="93"/>
    </row>
    <row r="27" spans="1:6" x14ac:dyDescent="0.2">
      <c r="A27" s="108"/>
    </row>
    <row r="30" spans="1:6" ht="13.5" thickBot="1" x14ac:dyDescent="0.25">
      <c r="F30" s="95">
        <f>SUM(F18:F29)</f>
        <v>550</v>
      </c>
    </row>
    <row r="31" spans="1:6" ht="13.5" thickTop="1" x14ac:dyDescent="0.2"/>
    <row r="33" spans="1:6" ht="20.100000000000001" customHeight="1" x14ac:dyDescent="0.2">
      <c r="A33" s="96" t="s">
        <v>336</v>
      </c>
      <c r="B33" s="96" t="s">
        <v>2739</v>
      </c>
      <c r="C33" s="97"/>
      <c r="D33" s="97"/>
      <c r="E33" s="97"/>
      <c r="F33" s="97"/>
    </row>
    <row r="34" spans="1:6" ht="13.5" thickBot="1" x14ac:dyDescent="0.25">
      <c r="A34" s="94" t="s">
        <v>11</v>
      </c>
      <c r="F34" s="107"/>
    </row>
    <row r="35" spans="1:6" ht="13.5" thickTop="1" x14ac:dyDescent="0.2">
      <c r="A35" s="9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91" t="s">
        <v>121</v>
      </c>
      <c r="C39" s="99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01" t="s">
        <v>120</v>
      </c>
      <c r="B45" s="101"/>
      <c r="D45" s="101"/>
      <c r="E45" s="101"/>
      <c r="F45" s="101"/>
    </row>
    <row r="46" spans="1:6" s="61" customFormat="1" ht="17.100000000000001" customHeight="1" x14ac:dyDescent="0.2">
      <c r="A46" s="104" t="s">
        <v>35</v>
      </c>
      <c r="B46" s="104"/>
      <c r="D46" s="61" t="s">
        <v>3</v>
      </c>
    </row>
    <row r="47" spans="1:6" x14ac:dyDescent="0.2">
      <c r="A47" s="91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topLeftCell="A4">
      <selection activeCell="E9" sqref="E9"/>
      <pageMargins left="0.74803149606299213" right="0.7480314960629921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78740157480314965" header="0.51181102362204722" footer="0.51181102362204722"/>
  <pageSetup paperSize="9" orientation="portrait" r:id="rId2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84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16" style="1" customWidth="1"/>
    <col min="2" max="2" width="13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A9" s="80" t="s">
        <v>1249</v>
      </c>
      <c r="D9" s="20" t="s">
        <v>30</v>
      </c>
      <c r="E9" s="80" t="s">
        <v>2481</v>
      </c>
    </row>
    <row r="10" spans="1:6" x14ac:dyDescent="0.2">
      <c r="A10" s="80" t="s">
        <v>1250</v>
      </c>
      <c r="D10" s="20" t="s">
        <v>27</v>
      </c>
      <c r="E10" s="82">
        <v>40624</v>
      </c>
    </row>
    <row r="11" spans="1:6" x14ac:dyDescent="0.2">
      <c r="A11" s="80" t="s">
        <v>1251</v>
      </c>
      <c r="D11" s="20" t="s">
        <v>24</v>
      </c>
      <c r="E11" s="20" t="s">
        <v>1220</v>
      </c>
    </row>
    <row r="12" spans="1:6" x14ac:dyDescent="0.2">
      <c r="A12" s="80" t="s">
        <v>1252</v>
      </c>
      <c r="D12" s="20" t="s">
        <v>22</v>
      </c>
      <c r="E12" s="81" t="s">
        <v>1254</v>
      </c>
    </row>
    <row r="13" spans="1:6" x14ac:dyDescent="0.2">
      <c r="A13" s="80" t="s">
        <v>1253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83"/>
    </row>
    <row r="19" spans="1:6" x14ac:dyDescent="0.2">
      <c r="C19" s="13" t="s">
        <v>1256</v>
      </c>
    </row>
    <row r="20" spans="1:6" x14ac:dyDescent="0.2">
      <c r="A20" s="83">
        <v>40619</v>
      </c>
      <c r="B20" s="85" t="s">
        <v>1255</v>
      </c>
      <c r="C20" s="80" t="s">
        <v>1260</v>
      </c>
      <c r="F20" s="1">
        <v>1029</v>
      </c>
    </row>
    <row r="21" spans="1:6" x14ac:dyDescent="0.2">
      <c r="C21" s="80"/>
    </row>
    <row r="22" spans="1:6" x14ac:dyDescent="0.2">
      <c r="C22" s="1" t="s">
        <v>1257</v>
      </c>
      <c r="F22" s="1">
        <v>353.52</v>
      </c>
    </row>
    <row r="24" spans="1:6" x14ac:dyDescent="0.2">
      <c r="A24" s="83"/>
      <c r="C24" s="80" t="s">
        <v>1258</v>
      </c>
      <c r="F24" s="1">
        <v>87.48</v>
      </c>
    </row>
    <row r="25" spans="1:6" x14ac:dyDescent="0.2">
      <c r="A25" s="83"/>
      <c r="B25" s="80"/>
      <c r="C25" s="80"/>
    </row>
    <row r="26" spans="1:6" x14ac:dyDescent="0.2">
      <c r="A26" s="83"/>
    </row>
    <row r="27" spans="1:6" x14ac:dyDescent="0.2">
      <c r="A27" s="83"/>
      <c r="C27" s="80"/>
    </row>
    <row r="28" spans="1:6" x14ac:dyDescent="0.2">
      <c r="A28" s="83"/>
    </row>
    <row r="29" spans="1:6" x14ac:dyDescent="0.2">
      <c r="A29" s="83"/>
      <c r="C29" s="80"/>
    </row>
    <row r="31" spans="1:6" x14ac:dyDescent="0.2">
      <c r="A31" s="83"/>
    </row>
    <row r="32" spans="1:6" ht="13.5" thickBot="1" x14ac:dyDescent="0.25">
      <c r="A32" s="83"/>
      <c r="F32" s="11">
        <f>SUM(F19:F31)</f>
        <v>1470</v>
      </c>
    </row>
    <row r="33" spans="1:6" ht="13.5" thickTop="1" x14ac:dyDescent="0.2">
      <c r="A33" s="83"/>
    </row>
    <row r="34" spans="1:6" ht="13.5" thickBot="1" x14ac:dyDescent="0.25">
      <c r="A34" s="83"/>
      <c r="F34" s="11"/>
    </row>
    <row r="35" spans="1:6" ht="20.100000000000001" customHeight="1" thickTop="1" x14ac:dyDescent="0.2">
      <c r="A35" s="84" t="s">
        <v>1248</v>
      </c>
      <c r="B35" s="84" t="s">
        <v>1259</v>
      </c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21" t="s">
        <v>120</v>
      </c>
      <c r="C40" s="7"/>
      <c r="D40" s="228"/>
      <c r="E40" s="229"/>
      <c r="F40" s="229"/>
    </row>
    <row r="43" spans="1:6" x14ac:dyDescent="0.2">
      <c r="A43" s="1" t="s">
        <v>8</v>
      </c>
      <c r="D43" s="6" t="s">
        <v>7</v>
      </c>
      <c r="F43" s="5"/>
    </row>
    <row r="47" spans="1:6" x14ac:dyDescent="0.2">
      <c r="A47" s="53" t="s">
        <v>3972</v>
      </c>
      <c r="B47" s="23"/>
      <c r="D47" s="23"/>
      <c r="E47" s="23"/>
      <c r="F47" s="23"/>
    </row>
    <row r="48" spans="1:6" s="3" customFormat="1" ht="17.100000000000001" customHeight="1" x14ac:dyDescent="0.2">
      <c r="A48" s="3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7BA6-6FE1-4229-9E52-10E5195F46CA}">
  <sheetPr codeName="Sheet730"/>
  <dimension ref="A1:P53"/>
  <sheetViews>
    <sheetView view="pageBreakPreview" zoomScale="115" zoomScaleNormal="100" zoomScaleSheetLayoutView="115" workbookViewId="0">
      <selection activeCell="A27" sqref="A27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19.42578125" style="153" customWidth="1"/>
    <col min="5" max="5" width="1.42578125" style="153" customWidth="1"/>
    <col min="6" max="6" width="15.28515625" style="153" customWidth="1"/>
    <col min="7" max="7" width="7.5703125" style="153" customWidth="1"/>
    <col min="8" max="8" width="13.28515625" style="153" customWidth="1"/>
    <col min="9" max="15" width="9.140625" style="152"/>
    <col min="16" max="16" width="9.7109375" style="152" bestFit="1" customWidth="1"/>
    <col min="17" max="16384" width="9.140625" style="152"/>
  </cols>
  <sheetData>
    <row r="1" spans="1:16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6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6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6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6" x14ac:dyDescent="0.2">
      <c r="A8" s="153" t="s">
        <v>32</v>
      </c>
      <c r="F8" s="154" t="s">
        <v>31</v>
      </c>
      <c r="J8" s="152" t="s">
        <v>7522</v>
      </c>
      <c r="K8" s="152">
        <v>43602</v>
      </c>
      <c r="M8" s="152" t="s">
        <v>770</v>
      </c>
    </row>
    <row r="9" spans="1:16" x14ac:dyDescent="0.2">
      <c r="F9" s="155" t="s">
        <v>1317</v>
      </c>
      <c r="G9" s="91" t="s">
        <v>7528</v>
      </c>
    </row>
    <row r="10" spans="1:16" x14ac:dyDescent="0.2">
      <c r="A10" s="153" t="s">
        <v>7530</v>
      </c>
      <c r="F10" s="155" t="s">
        <v>1329</v>
      </c>
      <c r="G10" s="92" t="s">
        <v>7524</v>
      </c>
      <c r="J10" s="152" t="s">
        <v>7523</v>
      </c>
      <c r="K10" s="152">
        <v>43595</v>
      </c>
      <c r="M10" s="152" t="s">
        <v>770</v>
      </c>
    </row>
    <row r="11" spans="1:16" x14ac:dyDescent="0.2">
      <c r="A11" s="153" t="s">
        <v>7531</v>
      </c>
      <c r="F11" s="155" t="s">
        <v>1330</v>
      </c>
      <c r="G11" s="92" t="s">
        <v>1220</v>
      </c>
    </row>
    <row r="12" spans="1:16" x14ac:dyDescent="0.2">
      <c r="A12" s="153" t="s">
        <v>7532</v>
      </c>
      <c r="F12" s="155" t="s">
        <v>1331</v>
      </c>
      <c r="G12" s="92" t="s">
        <v>7529</v>
      </c>
    </row>
    <row r="13" spans="1:16" x14ac:dyDescent="0.2">
      <c r="A13" s="153" t="s">
        <v>7533</v>
      </c>
      <c r="L13" s="153" t="s">
        <v>7525</v>
      </c>
      <c r="M13" s="153"/>
      <c r="N13" s="153"/>
      <c r="O13" s="153"/>
      <c r="P13" s="153">
        <v>3000</v>
      </c>
    </row>
    <row r="14" spans="1:16" x14ac:dyDescent="0.2">
      <c r="A14" s="153" t="s">
        <v>2244</v>
      </c>
      <c r="L14" s="153" t="s">
        <v>2147</v>
      </c>
      <c r="M14" s="153"/>
      <c r="N14" s="153"/>
      <c r="O14" s="153"/>
      <c r="P14" s="153">
        <f>P13*6%</f>
        <v>180</v>
      </c>
    </row>
    <row r="15" spans="1:16" x14ac:dyDescent="0.2">
      <c r="L15" s="153"/>
      <c r="M15" s="153"/>
      <c r="N15" s="153"/>
      <c r="O15" s="153"/>
      <c r="P15" s="153"/>
    </row>
    <row r="16" spans="1:16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L16" s="153" t="s">
        <v>7526</v>
      </c>
      <c r="M16" s="153"/>
      <c r="N16" s="153"/>
      <c r="O16" s="153"/>
      <c r="P16" s="153">
        <f>3000*4</f>
        <v>12000</v>
      </c>
    </row>
    <row r="17" spans="1:16" x14ac:dyDescent="0.2">
      <c r="A17" s="164"/>
      <c r="K17" s="153"/>
      <c r="L17" s="153" t="s">
        <v>7527</v>
      </c>
      <c r="M17" s="153"/>
      <c r="N17" s="153"/>
      <c r="O17" s="153"/>
      <c r="P17" s="153">
        <f>3000*4</f>
        <v>12000</v>
      </c>
    </row>
    <row r="18" spans="1:16" x14ac:dyDescent="0.2">
      <c r="A18" s="169" t="s">
        <v>7534</v>
      </c>
      <c r="B18" s="404" t="s">
        <v>7535</v>
      </c>
      <c r="D18" s="153" t="s">
        <v>7536</v>
      </c>
      <c r="E18" s="163"/>
      <c r="H18" s="153">
        <v>50000</v>
      </c>
      <c r="K18" s="153"/>
      <c r="L18" s="153" t="s">
        <v>2147</v>
      </c>
      <c r="M18" s="153"/>
      <c r="N18" s="153"/>
      <c r="O18" s="153"/>
      <c r="P18" s="153">
        <f>SUM(P16+P17)*6%</f>
        <v>1440</v>
      </c>
    </row>
    <row r="19" spans="1:16" x14ac:dyDescent="0.2">
      <c r="A19" s="164"/>
      <c r="D19" s="153" t="s">
        <v>7537</v>
      </c>
      <c r="E19" s="163"/>
      <c r="K19" s="153"/>
      <c r="L19" s="153"/>
      <c r="M19" s="153"/>
      <c r="N19" s="153"/>
      <c r="O19" s="153"/>
    </row>
    <row r="20" spans="1:16" x14ac:dyDescent="0.2">
      <c r="A20" s="166"/>
      <c r="B20" s="168"/>
      <c r="C20" s="168"/>
    </row>
    <row r="21" spans="1:16" x14ac:dyDescent="0.2">
      <c r="A21" s="166"/>
      <c r="B21" s="168"/>
      <c r="C21" s="168"/>
    </row>
    <row r="22" spans="1:16" x14ac:dyDescent="0.2">
      <c r="A22" s="166"/>
      <c r="B22" s="173"/>
    </row>
    <row r="23" spans="1:16" x14ac:dyDescent="0.2">
      <c r="A23" s="166"/>
      <c r="B23" s="168"/>
    </row>
    <row r="24" spans="1:16" x14ac:dyDescent="0.2">
      <c r="A24" s="166"/>
      <c r="B24" s="168"/>
    </row>
    <row r="25" spans="1:16" x14ac:dyDescent="0.2">
      <c r="A25" s="166"/>
      <c r="B25" s="168"/>
    </row>
    <row r="26" spans="1:16" x14ac:dyDescent="0.2">
      <c r="A26" s="168"/>
      <c r="B26" s="173"/>
    </row>
    <row r="27" spans="1:16" x14ac:dyDescent="0.2">
      <c r="A27" s="168"/>
      <c r="B27" s="173"/>
    </row>
    <row r="28" spans="1:16" x14ac:dyDescent="0.2">
      <c r="D28" s="163"/>
    </row>
    <row r="29" spans="1:16" x14ac:dyDescent="0.2">
      <c r="A29" s="168"/>
      <c r="B29" s="173"/>
    </row>
    <row r="30" spans="1:16" x14ac:dyDescent="0.2">
      <c r="A30" s="166"/>
      <c r="B30" s="168"/>
    </row>
    <row r="31" spans="1:16" x14ac:dyDescent="0.2">
      <c r="A31" s="168"/>
      <c r="B31" s="173"/>
    </row>
    <row r="32" spans="1:16" x14ac:dyDescent="0.2">
      <c r="A32" s="168"/>
      <c r="B32" s="168"/>
      <c r="C32" s="152"/>
    </row>
    <row r="33" spans="1:8" x14ac:dyDescent="0.2">
      <c r="A33" s="164"/>
      <c r="H33" s="152"/>
    </row>
    <row r="34" spans="1:8" ht="13.5" thickBot="1" x14ac:dyDescent="0.25">
      <c r="A34" s="164"/>
      <c r="H34" s="182">
        <f>SUM(H18:H32)</f>
        <v>50000</v>
      </c>
    </row>
    <row r="35" spans="1:8" ht="13.5" thickTop="1" x14ac:dyDescent="0.2">
      <c r="A35" s="164"/>
    </row>
    <row r="36" spans="1:8" ht="20.100000000000001" customHeight="1" x14ac:dyDescent="0.2">
      <c r="A36" s="171" t="s">
        <v>1248</v>
      </c>
      <c r="B36" s="213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Fifty Thousand and NO/100 -----------</v>
      </c>
      <c r="C36" s="213"/>
      <c r="D36" s="172"/>
      <c r="E36" s="172"/>
      <c r="F36" s="172"/>
      <c r="G36" s="172"/>
      <c r="H36" s="172"/>
    </row>
    <row r="37" spans="1:8" x14ac:dyDescent="0.2">
      <c r="A37" s="169"/>
    </row>
    <row r="38" spans="1:8" ht="25.5" x14ac:dyDescent="0.2">
      <c r="A38" s="153" t="s">
        <v>10</v>
      </c>
      <c r="F38" s="242" t="s">
        <v>3975</v>
      </c>
      <c r="G38" s="243"/>
      <c r="H38" s="244"/>
    </row>
    <row r="40" spans="1:8" x14ac:dyDescent="0.2">
      <c r="F40" s="258"/>
      <c r="G40" s="258"/>
      <c r="H40" s="258"/>
    </row>
    <row r="41" spans="1:8" x14ac:dyDescent="0.2">
      <c r="A41" s="153" t="s">
        <v>120</v>
      </c>
      <c r="D41" s="173"/>
      <c r="E41" s="173"/>
      <c r="F41" s="259"/>
      <c r="G41" s="260"/>
      <c r="H41" s="260"/>
    </row>
    <row r="42" spans="1:8" x14ac:dyDescent="0.2">
      <c r="A42" s="250"/>
      <c r="B42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85">
    <pageSetUpPr fitToPage="1"/>
  </sheetPr>
  <dimension ref="A1:F49"/>
  <sheetViews>
    <sheetView topLeftCell="A4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3.42578125" style="91" customWidth="1"/>
    <col min="3" max="3" width="21" style="91" customWidth="1"/>
    <col min="4" max="4" width="16.42578125" style="91" customWidth="1"/>
    <col min="5" max="5" width="8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1830</v>
      </c>
    </row>
    <row r="10" spans="1:6" x14ac:dyDescent="0.2">
      <c r="A10" s="91" t="s">
        <v>1832</v>
      </c>
      <c r="D10" s="92" t="s">
        <v>1329</v>
      </c>
      <c r="E10" s="105" t="s">
        <v>1838</v>
      </c>
    </row>
    <row r="11" spans="1:6" x14ac:dyDescent="0.2">
      <c r="A11" s="91" t="s">
        <v>1833</v>
      </c>
      <c r="D11" s="92" t="s">
        <v>1330</v>
      </c>
      <c r="E11" s="92" t="s">
        <v>1220</v>
      </c>
    </row>
    <row r="12" spans="1:6" x14ac:dyDescent="0.2">
      <c r="A12" s="91" t="s">
        <v>1834</v>
      </c>
      <c r="D12" s="92" t="s">
        <v>1331</v>
      </c>
      <c r="E12" s="92" t="s">
        <v>1831</v>
      </c>
    </row>
    <row r="13" spans="1:6" x14ac:dyDescent="0.2">
      <c r="A13" s="91" t="s">
        <v>1835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91" t="s">
        <v>1837</v>
      </c>
      <c r="F18" s="91">
        <v>250</v>
      </c>
    </row>
    <row r="19" spans="1:6" x14ac:dyDescent="0.2">
      <c r="A19" s="93"/>
      <c r="B19" s="94"/>
    </row>
    <row r="20" spans="1:6" x14ac:dyDescent="0.2">
      <c r="A20" s="106"/>
    </row>
    <row r="21" spans="1:6" x14ac:dyDescent="0.2">
      <c r="A21" s="93"/>
      <c r="B21" s="94"/>
    </row>
    <row r="22" spans="1:6" x14ac:dyDescent="0.2">
      <c r="A22" s="106"/>
    </row>
    <row r="23" spans="1:6" x14ac:dyDescent="0.2">
      <c r="A23" s="93"/>
      <c r="B23" s="94"/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SUM(F18:F28)</f>
        <v>250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1836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789</v>
      </c>
    </row>
    <row r="10" spans="1:6" x14ac:dyDescent="0.2">
      <c r="A10" s="1" t="s">
        <v>788</v>
      </c>
      <c r="D10" s="20" t="s">
        <v>27</v>
      </c>
      <c r="E10" s="20" t="s">
        <v>787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786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2:6" x14ac:dyDescent="0.2">
      <c r="C19" s="21"/>
    </row>
    <row r="20" spans="2:6" x14ac:dyDescent="0.2">
      <c r="C20" s="13" t="s">
        <v>785</v>
      </c>
    </row>
    <row r="21" spans="2:6" x14ac:dyDescent="0.2">
      <c r="C21" s="12"/>
    </row>
    <row r="22" spans="2:6" x14ac:dyDescent="0.2">
      <c r="C22" s="21"/>
    </row>
    <row r="24" spans="2:6" x14ac:dyDescent="0.2">
      <c r="C24" s="1" t="s">
        <v>784</v>
      </c>
      <c r="F24" s="1">
        <v>30000</v>
      </c>
    </row>
    <row r="25" spans="2:6" x14ac:dyDescent="0.2">
      <c r="C25" s="21"/>
    </row>
    <row r="26" spans="2:6" x14ac:dyDescent="0.2">
      <c r="C26" s="21"/>
    </row>
    <row r="27" spans="2:6" x14ac:dyDescent="0.2">
      <c r="C27" s="21"/>
      <c r="F27" s="13"/>
    </row>
    <row r="28" spans="2:6" x14ac:dyDescent="0.2">
      <c r="B28" s="8"/>
    </row>
    <row r="29" spans="2:6" x14ac:dyDescent="0.2">
      <c r="B29" s="8"/>
    </row>
    <row r="31" spans="2:6" ht="13.5" thickBot="1" x14ac:dyDescent="0.25">
      <c r="F31" s="25">
        <f>SUM(F19:F30)</f>
        <v>30000</v>
      </c>
    </row>
    <row r="32" spans="2:6" ht="13.5" thickTop="1" x14ac:dyDescent="0.2"/>
    <row r="33" spans="1:6" ht="20.100000000000001" customHeight="1" x14ac:dyDescent="0.2">
      <c r="A33" s="10" t="s">
        <v>783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86">
    <pageSetUpPr fitToPage="1"/>
  </sheetPr>
  <dimension ref="A1:H53"/>
  <sheetViews>
    <sheetView topLeftCell="A4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" style="91" customWidth="1"/>
    <col min="4" max="4" width="21" style="91" customWidth="1"/>
    <col min="5" max="5" width="1.28515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1572</v>
      </c>
      <c r="F9" s="92" t="s">
        <v>1317</v>
      </c>
      <c r="G9" s="155" t="s">
        <v>8341</v>
      </c>
    </row>
    <row r="10" spans="1:8" x14ac:dyDescent="0.2">
      <c r="A10" s="91" t="s">
        <v>1573</v>
      </c>
      <c r="F10" s="92" t="s">
        <v>1329</v>
      </c>
      <c r="G10" s="155" t="s">
        <v>8340</v>
      </c>
    </row>
    <row r="11" spans="1:8" x14ac:dyDescent="0.2">
      <c r="F11" s="92" t="s">
        <v>1330</v>
      </c>
      <c r="G11" s="155" t="s">
        <v>1220</v>
      </c>
    </row>
    <row r="12" spans="1:8" x14ac:dyDescent="0.2">
      <c r="F12" s="92" t="s">
        <v>1331</v>
      </c>
      <c r="G12" s="94" t="s">
        <v>8342</v>
      </c>
    </row>
    <row r="13" spans="1:8" x14ac:dyDescent="0.2">
      <c r="G13" s="91" t="s">
        <v>7914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18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4305</v>
      </c>
      <c r="E18" s="2"/>
    </row>
    <row r="19" spans="1:8" x14ac:dyDescent="0.2">
      <c r="A19" s="144"/>
      <c r="D19" s="2" t="s">
        <v>4243</v>
      </c>
      <c r="E19" s="2"/>
    </row>
    <row r="20" spans="1:8" x14ac:dyDescent="0.2">
      <c r="A20" s="144"/>
      <c r="B20" s="94"/>
      <c r="C20" s="94"/>
    </row>
    <row r="21" spans="1:8" x14ac:dyDescent="0.2">
      <c r="A21" s="106" t="s">
        <v>4249</v>
      </c>
      <c r="D21" s="91" t="s">
        <v>8344</v>
      </c>
      <c r="H21" s="91">
        <v>448</v>
      </c>
    </row>
    <row r="22" spans="1:8" x14ac:dyDescent="0.2">
      <c r="A22" s="91" t="s">
        <v>8343</v>
      </c>
      <c r="D22" s="91" t="s">
        <v>8345</v>
      </c>
    </row>
    <row r="23" spans="1:8" x14ac:dyDescent="0.2">
      <c r="A23" s="106"/>
    </row>
    <row r="26" spans="1:8" x14ac:dyDescent="0.2">
      <c r="A26" s="1"/>
      <c r="B26" s="1"/>
      <c r="C26" s="1"/>
    </row>
    <row r="27" spans="1:8" x14ac:dyDescent="0.2">
      <c r="A27" s="1"/>
      <c r="B27" s="1"/>
      <c r="C27" s="1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SUM(H19:H31)</f>
        <v>448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 Hundred Forty-Eight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40" spans="1:8" x14ac:dyDescent="0.2">
      <c r="A40" s="91" t="s">
        <v>120</v>
      </c>
      <c r="D40" s="99"/>
      <c r="E40" s="419"/>
    </row>
    <row r="41" spans="1:8" x14ac:dyDescent="0.2">
      <c r="D41" s="99"/>
      <c r="E41" s="419"/>
    </row>
    <row r="42" spans="1:8" x14ac:dyDescent="0.2">
      <c r="A42" s="101"/>
      <c r="B42" s="101"/>
      <c r="C42" s="386"/>
      <c r="F42" s="227"/>
      <c r="G42" s="227"/>
      <c r="H42" s="227"/>
    </row>
    <row r="43" spans="1:8" x14ac:dyDescent="0.2">
      <c r="F43" s="227"/>
      <c r="G43" s="227"/>
      <c r="H43" s="227"/>
    </row>
    <row r="44" spans="1:8" x14ac:dyDescent="0.2">
      <c r="A44" s="91" t="s">
        <v>8</v>
      </c>
      <c r="D44" s="91" t="s">
        <v>8</v>
      </c>
      <c r="F44" s="228"/>
      <c r="G44" s="229"/>
      <c r="H44" s="229"/>
    </row>
    <row r="45" spans="1:8" x14ac:dyDescent="0.2">
      <c r="A45" s="1"/>
      <c r="D45" s="1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87"/>
  <dimension ref="A1:F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1242</v>
      </c>
      <c r="D9" s="92" t="s">
        <v>1317</v>
      </c>
      <c r="E9" s="91" t="s">
        <v>4762</v>
      </c>
    </row>
    <row r="10" spans="1:6" x14ac:dyDescent="0.2">
      <c r="A10" s="91" t="s">
        <v>1243</v>
      </c>
      <c r="D10" s="92" t="s">
        <v>1329</v>
      </c>
      <c r="E10" s="98" t="s">
        <v>4749</v>
      </c>
    </row>
    <row r="11" spans="1:6" x14ac:dyDescent="0.2">
      <c r="A11" s="91" t="s">
        <v>1244</v>
      </c>
      <c r="D11" s="92" t="s">
        <v>1330</v>
      </c>
      <c r="E11" s="92" t="s">
        <v>1220</v>
      </c>
    </row>
    <row r="12" spans="1:6" x14ac:dyDescent="0.2">
      <c r="A12" s="91" t="s">
        <v>1245</v>
      </c>
      <c r="D12" s="92" t="s">
        <v>1331</v>
      </c>
      <c r="E12" s="94" t="s">
        <v>4763</v>
      </c>
    </row>
    <row r="13" spans="1:6" x14ac:dyDescent="0.2">
      <c r="A13" s="91" t="s">
        <v>1246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4764</v>
      </c>
    </row>
    <row r="20" spans="1:6" x14ac:dyDescent="0.2">
      <c r="A20" s="93" t="s">
        <v>4740</v>
      </c>
      <c r="B20" s="99" t="s">
        <v>4765</v>
      </c>
      <c r="C20" s="91" t="s">
        <v>4769</v>
      </c>
      <c r="F20" s="91">
        <f>4893.3+1631.1+275.6-15.6</f>
        <v>6784.4</v>
      </c>
    </row>
    <row r="21" spans="1:6" x14ac:dyDescent="0.2">
      <c r="A21" s="93"/>
      <c r="B21" s="94"/>
      <c r="C21" s="91" t="s">
        <v>4766</v>
      </c>
      <c r="F21" s="91">
        <f>156+156</f>
        <v>312</v>
      </c>
    </row>
    <row r="22" spans="1:6" x14ac:dyDescent="0.2">
      <c r="C22" s="91" t="s">
        <v>4767</v>
      </c>
      <c r="F22" s="91">
        <f>7020+3120</f>
        <v>10140</v>
      </c>
    </row>
    <row r="23" spans="1:6" x14ac:dyDescent="0.2">
      <c r="A23" s="137"/>
      <c r="B23" s="99"/>
      <c r="C23" s="91" t="s">
        <v>4768</v>
      </c>
      <c r="F23" s="91">
        <f>36+36+54</f>
        <v>126</v>
      </c>
    </row>
    <row r="24" spans="1:6" x14ac:dyDescent="0.2">
      <c r="C24" s="91" t="s">
        <v>4770</v>
      </c>
      <c r="F24" s="91">
        <v>768</v>
      </c>
    </row>
    <row r="25" spans="1:6" x14ac:dyDescent="0.2">
      <c r="C25" s="91" t="s">
        <v>4771</v>
      </c>
      <c r="F25" s="91">
        <v>1176</v>
      </c>
    </row>
    <row r="26" spans="1:6" x14ac:dyDescent="0.2">
      <c r="C26" s="91" t="s">
        <v>2147</v>
      </c>
      <c r="F26" s="91">
        <v>15.6</v>
      </c>
    </row>
    <row r="27" spans="1:6" x14ac:dyDescent="0.2">
      <c r="A27" s="93"/>
      <c r="B27" s="99"/>
    </row>
    <row r="29" spans="1:6" x14ac:dyDescent="0.2">
      <c r="A29" s="93"/>
      <c r="B29" s="99"/>
    </row>
    <row r="30" spans="1:6" x14ac:dyDescent="0.2">
      <c r="A30" s="94"/>
    </row>
    <row r="31" spans="1:6" x14ac:dyDescent="0.2">
      <c r="A31" s="93"/>
      <c r="B31" s="99"/>
    </row>
    <row r="32" spans="1:6" x14ac:dyDescent="0.2">
      <c r="A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SUM(F20:F33)</f>
        <v>19322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">
        <v>3668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88">
    <pageSetUpPr fitToPage="1"/>
  </sheetPr>
  <dimension ref="A1:F49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1485</v>
      </c>
      <c r="D9" s="92" t="s">
        <v>1317</v>
      </c>
      <c r="E9" s="61" t="s">
        <v>1996</v>
      </c>
    </row>
    <row r="10" spans="1:6" x14ac:dyDescent="0.2">
      <c r="A10" s="91" t="s">
        <v>1486</v>
      </c>
      <c r="D10" s="92" t="s">
        <v>1329</v>
      </c>
      <c r="E10" s="113" t="s">
        <v>1990</v>
      </c>
    </row>
    <row r="11" spans="1:6" x14ac:dyDescent="0.2">
      <c r="A11" s="91" t="s">
        <v>1487</v>
      </c>
      <c r="D11" s="92" t="s">
        <v>1330</v>
      </c>
      <c r="E11" s="113" t="s">
        <v>1220</v>
      </c>
    </row>
    <row r="12" spans="1:6" x14ac:dyDescent="0.2">
      <c r="A12" s="91" t="s">
        <v>1488</v>
      </c>
      <c r="D12" s="92" t="s">
        <v>1331</v>
      </c>
      <c r="E12" s="113" t="s">
        <v>1997</v>
      </c>
    </row>
    <row r="13" spans="1:6" x14ac:dyDescent="0.2">
      <c r="A13" s="91" t="s">
        <v>1489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1998</v>
      </c>
    </row>
    <row r="19" spans="1:6" x14ac:dyDescent="0.2">
      <c r="A19" s="106"/>
      <c r="C19" s="2"/>
    </row>
    <row r="20" spans="1:6" x14ac:dyDescent="0.2">
      <c r="A20" s="93" t="s">
        <v>1999</v>
      </c>
      <c r="B20" s="93" t="s">
        <v>2000</v>
      </c>
      <c r="C20" s="91" t="s">
        <v>2001</v>
      </c>
      <c r="F20" s="91">
        <v>500</v>
      </c>
    </row>
    <row r="21" spans="1:6" x14ac:dyDescent="0.2">
      <c r="A21" s="106"/>
    </row>
    <row r="23" spans="1:6" x14ac:dyDescent="0.2">
      <c r="A23" s="106"/>
      <c r="C23" s="2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500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1437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89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1645</v>
      </c>
      <c r="D9" s="92" t="s">
        <v>1317</v>
      </c>
      <c r="E9" s="91" t="s">
        <v>1644</v>
      </c>
    </row>
    <row r="10" spans="1:6" x14ac:dyDescent="0.2">
      <c r="A10" s="91" t="s">
        <v>1646</v>
      </c>
      <c r="D10" s="92" t="s">
        <v>1329</v>
      </c>
      <c r="E10" s="105" t="s">
        <v>1669</v>
      </c>
    </row>
    <row r="11" spans="1:6" x14ac:dyDescent="0.2">
      <c r="A11" s="91" t="s">
        <v>1647</v>
      </c>
      <c r="D11" s="92" t="s">
        <v>1330</v>
      </c>
      <c r="E11" s="92" t="s">
        <v>1220</v>
      </c>
    </row>
    <row r="12" spans="1:6" x14ac:dyDescent="0.2">
      <c r="A12" s="91" t="s">
        <v>1648</v>
      </c>
      <c r="D12" s="92" t="s">
        <v>1331</v>
      </c>
      <c r="E12" s="92" t="s">
        <v>1668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4"/>
    </row>
    <row r="19" spans="1:6" x14ac:dyDescent="0.2">
      <c r="A19" s="93" t="s">
        <v>1649</v>
      </c>
      <c r="B19" s="94" t="s">
        <v>1650</v>
      </c>
      <c r="C19" s="91" t="s">
        <v>1651</v>
      </c>
      <c r="F19" s="91">
        <f>250*2</f>
        <v>500</v>
      </c>
    </row>
    <row r="20" spans="1:6" x14ac:dyDescent="0.2">
      <c r="A20" s="106"/>
      <c r="C20" s="91" t="s">
        <v>1652</v>
      </c>
    </row>
    <row r="21" spans="1:6" x14ac:dyDescent="0.2">
      <c r="A21" s="93"/>
      <c r="B21" s="94"/>
    </row>
    <row r="22" spans="1:6" x14ac:dyDescent="0.2">
      <c r="A22" s="106"/>
      <c r="C22" s="91" t="s">
        <v>1653</v>
      </c>
      <c r="F22" s="91">
        <f>300*4</f>
        <v>1200</v>
      </c>
    </row>
    <row r="23" spans="1:6" x14ac:dyDescent="0.2">
      <c r="A23" s="93"/>
      <c r="B23" s="94"/>
      <c r="C23" s="91" t="s">
        <v>1654</v>
      </c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1700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1667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2"/>
  <dimension ref="A1:F53"/>
  <sheetViews>
    <sheetView topLeftCell="A37" zoomScaleNormal="100" zoomScaleSheetLayoutView="85" workbookViewId="0">
      <selection activeCell="F34" sqref="F34"/>
    </sheetView>
  </sheetViews>
  <sheetFormatPr defaultRowHeight="12.75" x14ac:dyDescent="0.2"/>
  <cols>
    <col min="1" max="1" width="15.140625" style="91" customWidth="1"/>
    <col min="2" max="2" width="13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1242</v>
      </c>
      <c r="D9" s="92" t="s">
        <v>1317</v>
      </c>
      <c r="E9" s="91" t="s">
        <v>4320</v>
      </c>
    </row>
    <row r="10" spans="1:6" x14ac:dyDescent="0.2">
      <c r="A10" s="91" t="s">
        <v>1243</v>
      </c>
      <c r="D10" s="92" t="s">
        <v>1329</v>
      </c>
      <c r="E10" s="92" t="s">
        <v>4321</v>
      </c>
    </row>
    <row r="11" spans="1:6" x14ac:dyDescent="0.2">
      <c r="A11" s="91" t="s">
        <v>1244</v>
      </c>
      <c r="D11" s="92" t="s">
        <v>1330</v>
      </c>
      <c r="E11" s="92" t="s">
        <v>1220</v>
      </c>
    </row>
    <row r="12" spans="1:6" x14ac:dyDescent="0.2">
      <c r="A12" s="91" t="s">
        <v>1245</v>
      </c>
      <c r="D12" s="92" t="s">
        <v>1331</v>
      </c>
      <c r="E12" s="92" t="s">
        <v>4325</v>
      </c>
    </row>
    <row r="13" spans="1:6" x14ac:dyDescent="0.2">
      <c r="A13" s="91" t="s">
        <v>1246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4326</v>
      </c>
    </row>
    <row r="20" spans="1:6" x14ac:dyDescent="0.2">
      <c r="A20" s="137" t="s">
        <v>4277</v>
      </c>
      <c r="B20" s="93" t="s">
        <v>4327</v>
      </c>
      <c r="C20" s="91" t="s">
        <v>4328</v>
      </c>
      <c r="F20" s="91">
        <v>4560</v>
      </c>
    </row>
    <row r="21" spans="1:6" x14ac:dyDescent="0.2">
      <c r="A21" s="106"/>
      <c r="C21" s="91" t="s">
        <v>4329</v>
      </c>
    </row>
    <row r="25" spans="1:6" x14ac:dyDescent="0.2">
      <c r="A25" s="137"/>
      <c r="B25" s="99"/>
    </row>
    <row r="26" spans="1:6" x14ac:dyDescent="0.2">
      <c r="A26" s="106"/>
    </row>
    <row r="27" spans="1:6" x14ac:dyDescent="0.2">
      <c r="A27" s="106"/>
    </row>
    <row r="28" spans="1:6" x14ac:dyDescent="0.2">
      <c r="A28" s="106"/>
    </row>
    <row r="29" spans="1:6" x14ac:dyDescent="0.2">
      <c r="A29" s="106"/>
    </row>
    <row r="30" spans="1:6" x14ac:dyDescent="0.2">
      <c r="A30" s="106"/>
    </row>
    <row r="31" spans="1:6" x14ac:dyDescent="0.2">
      <c r="A31" s="106"/>
    </row>
    <row r="32" spans="1:6" x14ac:dyDescent="0.2">
      <c r="A32" s="106"/>
    </row>
    <row r="33" spans="1:6" x14ac:dyDescent="0.2">
      <c r="A33" s="106"/>
      <c r="F33" s="1"/>
    </row>
    <row r="34" spans="1:6" ht="13.5" thickBot="1" x14ac:dyDescent="0.25">
      <c r="A34" s="106"/>
      <c r="F34" s="107">
        <f>SUM(F20:F32)</f>
        <v>4560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Thousand Five Hundred Sixty and NO/100 -----------</v>
      </c>
      <c r="C36" s="97"/>
      <c r="D36" s="97"/>
      <c r="E36" s="97"/>
      <c r="F36" s="97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41" spans="1:6" x14ac:dyDescent="0.2">
      <c r="D41" s="227"/>
      <c r="E41" s="227"/>
      <c r="F41" s="227"/>
    </row>
    <row r="42" spans="1:6" x14ac:dyDescent="0.2">
      <c r="A42" s="101"/>
      <c r="B42" s="101"/>
      <c r="D42" s="228"/>
      <c r="E42" s="229"/>
      <c r="F42" s="229"/>
    </row>
    <row r="43" spans="1:6" x14ac:dyDescent="0.2">
      <c r="A43" s="1"/>
      <c r="D43" s="98" t="s">
        <v>7</v>
      </c>
      <c r="F43" s="102"/>
    </row>
    <row r="44" spans="1:6" x14ac:dyDescent="0.2">
      <c r="A44" s="91" t="s">
        <v>8</v>
      </c>
      <c r="D44" s="98"/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9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2">
    <pageSetUpPr fitToPage="1"/>
  </sheetPr>
  <dimension ref="A1:F51"/>
  <sheetViews>
    <sheetView topLeftCell="A4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803</v>
      </c>
    </row>
    <row r="10" spans="1:6" x14ac:dyDescent="0.2">
      <c r="A10" s="1" t="s">
        <v>802</v>
      </c>
      <c r="D10" s="20" t="s">
        <v>27</v>
      </c>
      <c r="E10" s="20" t="s">
        <v>211</v>
      </c>
    </row>
    <row r="11" spans="1:6" x14ac:dyDescent="0.2">
      <c r="A11" s="1" t="s">
        <v>801</v>
      </c>
      <c r="D11" s="20" t="s">
        <v>24</v>
      </c>
      <c r="E11" s="20" t="s">
        <v>23</v>
      </c>
    </row>
    <row r="12" spans="1:6" x14ac:dyDescent="0.2">
      <c r="A12" s="1" t="s">
        <v>631</v>
      </c>
      <c r="D12" s="20" t="s">
        <v>22</v>
      </c>
      <c r="E12" s="19" t="s">
        <v>800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B19" s="8"/>
      <c r="C19" s="13" t="s">
        <v>799</v>
      </c>
    </row>
    <row r="20" spans="1:6" x14ac:dyDescent="0.2">
      <c r="B20" s="8"/>
      <c r="C20" s="13" t="s">
        <v>798</v>
      </c>
    </row>
    <row r="21" spans="1:6" x14ac:dyDescent="0.2">
      <c r="B21" s="8"/>
      <c r="C21" s="13"/>
    </row>
    <row r="22" spans="1:6" x14ac:dyDescent="0.2">
      <c r="A22" s="1" t="s">
        <v>797</v>
      </c>
      <c r="B22" s="8"/>
      <c r="C22" s="1" t="s">
        <v>796</v>
      </c>
      <c r="F22" s="1">
        <v>1500</v>
      </c>
    </row>
    <row r="23" spans="1:6" x14ac:dyDescent="0.2">
      <c r="B23" s="8"/>
      <c r="C23" s="1" t="s">
        <v>795</v>
      </c>
    </row>
    <row r="24" spans="1:6" x14ac:dyDescent="0.2">
      <c r="B24" s="8"/>
    </row>
    <row r="25" spans="1:6" x14ac:dyDescent="0.2">
      <c r="B25" s="8"/>
      <c r="C25" s="13" t="s">
        <v>794</v>
      </c>
    </row>
    <row r="26" spans="1:6" x14ac:dyDescent="0.2">
      <c r="B26" s="8"/>
      <c r="C26" s="13" t="s">
        <v>793</v>
      </c>
    </row>
    <row r="27" spans="1:6" x14ac:dyDescent="0.2">
      <c r="B27" s="8"/>
    </row>
    <row r="28" spans="1:6" x14ac:dyDescent="0.2">
      <c r="A28" s="1" t="s">
        <v>792</v>
      </c>
      <c r="B28" s="8"/>
      <c r="C28" s="1" t="s">
        <v>791</v>
      </c>
      <c r="F28" s="1">
        <v>1000</v>
      </c>
    </row>
    <row r="29" spans="1:6" x14ac:dyDescent="0.2">
      <c r="B29" s="8"/>
    </row>
    <row r="30" spans="1:6" x14ac:dyDescent="0.2">
      <c r="B30" s="8"/>
    </row>
    <row r="32" spans="1:6" ht="13.5" thickBot="1" x14ac:dyDescent="0.25">
      <c r="F32" s="25">
        <f>SUM(F19:F31)</f>
        <v>2500</v>
      </c>
    </row>
    <row r="33" spans="1:6" ht="13.5" thickTop="1" x14ac:dyDescent="0.2"/>
    <row r="34" spans="1:6" ht="20.100000000000001" customHeight="1" thickBot="1" x14ac:dyDescent="0.25">
      <c r="A34" s="10" t="s">
        <v>790</v>
      </c>
      <c r="B34" s="10"/>
      <c r="C34" s="9"/>
      <c r="D34" s="9"/>
      <c r="E34" s="9"/>
      <c r="F34" s="202"/>
    </row>
    <row r="35" spans="1:6" ht="13.5" thickTop="1" x14ac:dyDescent="0.2">
      <c r="A35" s="8"/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66" t="s">
        <v>1</v>
      </c>
    </row>
    <row r="51" spans="1:4" x14ac:dyDescent="0.2">
      <c r="D51" s="66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90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3775</v>
      </c>
    </row>
    <row r="10" spans="1:6" x14ac:dyDescent="0.2">
      <c r="A10" s="91" t="s">
        <v>1445</v>
      </c>
      <c r="D10" s="92" t="s">
        <v>1444</v>
      </c>
      <c r="E10" s="92" t="s">
        <v>3774</v>
      </c>
    </row>
    <row r="11" spans="1:6" x14ac:dyDescent="0.2">
      <c r="A11" s="91" t="s">
        <v>1446</v>
      </c>
      <c r="D11" s="92" t="s">
        <v>1431</v>
      </c>
      <c r="E11" s="92" t="s">
        <v>1220</v>
      </c>
    </row>
    <row r="12" spans="1:6" x14ac:dyDescent="0.2">
      <c r="A12" s="91" t="s">
        <v>1447</v>
      </c>
      <c r="D12" s="92" t="s">
        <v>1268</v>
      </c>
      <c r="E12" s="92" t="s">
        <v>3776</v>
      </c>
    </row>
    <row r="14" spans="1:6" x14ac:dyDescent="0.2">
      <c r="A14" s="91" t="s">
        <v>1448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111" t="s">
        <v>3777</v>
      </c>
      <c r="B18" s="93" t="s">
        <v>3778</v>
      </c>
      <c r="C18" s="91" t="s">
        <v>2785</v>
      </c>
      <c r="F18" s="110">
        <f>110*3</f>
        <v>330</v>
      </c>
    </row>
    <row r="19" spans="1:6" x14ac:dyDescent="0.2">
      <c r="C19" s="91" t="s">
        <v>3779</v>
      </c>
      <c r="F19" s="110"/>
    </row>
    <row r="20" spans="1:6" x14ac:dyDescent="0.2">
      <c r="A20" s="108"/>
      <c r="F20" s="110"/>
    </row>
    <row r="21" spans="1:6" x14ac:dyDescent="0.2">
      <c r="C21" s="94"/>
    </row>
    <row r="24" spans="1:6" x14ac:dyDescent="0.2">
      <c r="A24" s="108"/>
      <c r="B24" s="94"/>
      <c r="C24" s="2"/>
      <c r="F24" s="110"/>
    </row>
    <row r="25" spans="1:6" x14ac:dyDescent="0.2">
      <c r="A25" s="108"/>
      <c r="B25" s="94"/>
      <c r="C25" s="2"/>
      <c r="F25" s="110"/>
    </row>
    <row r="26" spans="1:6" x14ac:dyDescent="0.2">
      <c r="A26" s="108"/>
      <c r="B26" s="94"/>
      <c r="C26" s="2"/>
      <c r="F26" s="110"/>
    </row>
    <row r="27" spans="1:6" x14ac:dyDescent="0.2">
      <c r="A27" s="109"/>
      <c r="B27" s="94"/>
      <c r="C27" s="2"/>
      <c r="F27" s="110"/>
    </row>
    <row r="28" spans="1:6" x14ac:dyDescent="0.2">
      <c r="A28" s="111"/>
      <c r="B28" s="94"/>
    </row>
    <row r="29" spans="1:6" x14ac:dyDescent="0.2">
      <c r="A29" s="108"/>
    </row>
    <row r="30" spans="1:6" x14ac:dyDescent="0.2">
      <c r="A30" s="108"/>
    </row>
    <row r="35" spans="1:6" ht="13.5" thickBot="1" x14ac:dyDescent="0.25">
      <c r="F35" s="95">
        <f>SUM(F18:F33)</f>
        <v>330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Thirty and NO/100 -----------</v>
      </c>
      <c r="C37" s="97"/>
      <c r="D37" s="222"/>
      <c r="E37" s="222"/>
      <c r="F37" s="61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4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3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91" t="s">
        <v>2238</v>
      </c>
    </row>
    <row r="10" spans="1:6" x14ac:dyDescent="0.2">
      <c r="A10" s="1" t="s">
        <v>815</v>
      </c>
      <c r="D10" s="20" t="s">
        <v>27</v>
      </c>
      <c r="E10" s="92" t="s">
        <v>2237</v>
      </c>
    </row>
    <row r="11" spans="1:6" x14ac:dyDescent="0.2">
      <c r="A11" s="1" t="s">
        <v>814</v>
      </c>
      <c r="D11" s="20" t="s">
        <v>24</v>
      </c>
      <c r="E11" s="92" t="s">
        <v>1220</v>
      </c>
    </row>
    <row r="12" spans="1:6" x14ac:dyDescent="0.2">
      <c r="A12" s="1" t="s">
        <v>524</v>
      </c>
      <c r="D12" s="20" t="s">
        <v>22</v>
      </c>
      <c r="E12" s="92" t="s">
        <v>2239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A20" s="1" t="s">
        <v>813</v>
      </c>
      <c r="B20" s="8"/>
      <c r="C20" s="21" t="s">
        <v>812</v>
      </c>
      <c r="F20" s="1">
        <v>1250</v>
      </c>
    </row>
    <row r="21" spans="1:6" x14ac:dyDescent="0.2">
      <c r="B21" s="8"/>
      <c r="C21" s="21" t="s">
        <v>811</v>
      </c>
      <c r="F21" s="1">
        <v>600</v>
      </c>
    </row>
    <row r="22" spans="1:6" x14ac:dyDescent="0.2">
      <c r="B22" s="8"/>
    </row>
    <row r="23" spans="1:6" x14ac:dyDescent="0.2">
      <c r="A23" s="1" t="s">
        <v>810</v>
      </c>
      <c r="B23" s="8"/>
      <c r="C23" s="1" t="s">
        <v>809</v>
      </c>
      <c r="F23" s="1">
        <v>725</v>
      </c>
    </row>
    <row r="24" spans="1:6" x14ac:dyDescent="0.2">
      <c r="B24" s="8"/>
      <c r="C24" s="1" t="s">
        <v>808</v>
      </c>
    </row>
    <row r="25" spans="1:6" x14ac:dyDescent="0.2">
      <c r="B25" s="8"/>
      <c r="C25" s="1" t="s">
        <v>807</v>
      </c>
    </row>
    <row r="26" spans="1:6" x14ac:dyDescent="0.2">
      <c r="B26" s="8"/>
      <c r="C26" s="1" t="s">
        <v>806</v>
      </c>
    </row>
    <row r="27" spans="1:6" x14ac:dyDescent="0.2">
      <c r="B27" s="8"/>
      <c r="C27" s="21" t="s">
        <v>805</v>
      </c>
    </row>
    <row r="28" spans="1:6" x14ac:dyDescent="0.2">
      <c r="B28" s="8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2575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804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F98E-A151-4879-9780-9BA813970F1B}">
  <sheetPr codeName="Sheet665">
    <pageSetUpPr fitToPage="1"/>
  </sheetPr>
  <dimension ref="A1:H52"/>
  <sheetViews>
    <sheetView view="pageBreakPreview" zoomScale="115" zoomScaleNormal="100" zoomScaleSheetLayoutView="115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6612</v>
      </c>
    </row>
    <row r="10" spans="1:8" x14ac:dyDescent="0.2">
      <c r="A10" s="91" t="s">
        <v>2720</v>
      </c>
      <c r="F10" s="92" t="s">
        <v>1329</v>
      </c>
      <c r="G10" s="92" t="s">
        <v>6605</v>
      </c>
    </row>
    <row r="11" spans="1:8" x14ac:dyDescent="0.2">
      <c r="A11" s="91" t="s">
        <v>6614</v>
      </c>
      <c r="F11" s="92" t="s">
        <v>1330</v>
      </c>
      <c r="G11" s="92" t="s">
        <v>1220</v>
      </c>
    </row>
    <row r="12" spans="1:8" x14ac:dyDescent="0.2">
      <c r="A12" s="91" t="s">
        <v>1015</v>
      </c>
      <c r="F12" s="92" t="s">
        <v>1377</v>
      </c>
      <c r="G12" s="92" t="s">
        <v>6613</v>
      </c>
    </row>
    <row r="13" spans="1:8" x14ac:dyDescent="0.2">
      <c r="A13" s="91" t="s">
        <v>2723</v>
      </c>
    </row>
    <row r="14" spans="1:8" x14ac:dyDescent="0.2">
      <c r="A14" s="91" t="s">
        <v>2724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/>
      <c r="E18" s="2"/>
    </row>
    <row r="19" spans="1:8" x14ac:dyDescent="0.2">
      <c r="A19" s="137" t="s">
        <v>6615</v>
      </c>
      <c r="B19" s="93" t="s">
        <v>6616</v>
      </c>
      <c r="D19" s="91" t="s">
        <v>6617</v>
      </c>
      <c r="H19" s="91">
        <v>150</v>
      </c>
    </row>
    <row r="20" spans="1:8" x14ac:dyDescent="0.2">
      <c r="A20" s="93"/>
      <c r="B20" s="93"/>
      <c r="C20" s="93"/>
      <c r="D20" s="94"/>
      <c r="E20" s="94"/>
    </row>
    <row r="21" spans="1:8" x14ac:dyDescent="0.2">
      <c r="A21" s="92"/>
      <c r="B21" s="93"/>
      <c r="C21" s="93"/>
      <c r="D21" s="94"/>
      <c r="E21" s="94"/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150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Fifty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1"/>
      <c r="G39" s="1"/>
      <c r="H39" s="1"/>
    </row>
    <row r="40" spans="1:8" x14ac:dyDescent="0.2">
      <c r="A40" s="91" t="s">
        <v>120</v>
      </c>
      <c r="D40" s="99"/>
      <c r="E40" s="99"/>
    </row>
    <row r="41" spans="1:8" x14ac:dyDescent="0.2">
      <c r="A41" s="101"/>
      <c r="B41" s="101"/>
      <c r="D41" s="99"/>
      <c r="E41" s="99"/>
    </row>
    <row r="42" spans="1:8" x14ac:dyDescent="0.2">
      <c r="F42" s="227"/>
      <c r="G42" s="227"/>
      <c r="H42" s="227"/>
    </row>
    <row r="43" spans="1:8" x14ac:dyDescent="0.2">
      <c r="A43" s="91" t="s">
        <v>8</v>
      </c>
      <c r="F43" s="98" t="s">
        <v>7</v>
      </c>
      <c r="G43" s="229"/>
      <c r="H43" s="229"/>
    </row>
    <row r="44" spans="1:8" x14ac:dyDescent="0.2">
      <c r="A44" s="1"/>
      <c r="D44" s="1"/>
    </row>
    <row r="47" spans="1:8" x14ac:dyDescent="0.2">
      <c r="A47" s="101" t="s">
        <v>120</v>
      </c>
      <c r="B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/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4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828</v>
      </c>
    </row>
    <row r="10" spans="1:6" x14ac:dyDescent="0.2">
      <c r="A10" s="1" t="s">
        <v>827</v>
      </c>
      <c r="D10" s="20" t="s">
        <v>27</v>
      </c>
      <c r="E10" s="20" t="s">
        <v>780</v>
      </c>
    </row>
    <row r="11" spans="1:6" x14ac:dyDescent="0.2">
      <c r="A11" s="1" t="s">
        <v>826</v>
      </c>
      <c r="D11" s="20" t="s">
        <v>24</v>
      </c>
      <c r="E11" s="20" t="s">
        <v>23</v>
      </c>
    </row>
    <row r="12" spans="1:6" x14ac:dyDescent="0.2">
      <c r="A12" s="1" t="s">
        <v>278</v>
      </c>
      <c r="D12" s="20" t="s">
        <v>22</v>
      </c>
      <c r="E12" s="20" t="s">
        <v>825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824</v>
      </c>
    </row>
    <row r="21" spans="1:6" x14ac:dyDescent="0.2">
      <c r="C21" s="13" t="s">
        <v>823</v>
      </c>
    </row>
    <row r="23" spans="1:6" x14ac:dyDescent="0.2">
      <c r="A23" s="21" t="s">
        <v>822</v>
      </c>
      <c r="C23" s="21" t="s">
        <v>821</v>
      </c>
      <c r="F23" s="1">
        <v>2500</v>
      </c>
    </row>
    <row r="24" spans="1:6" x14ac:dyDescent="0.2">
      <c r="C24" s="21" t="s">
        <v>820</v>
      </c>
    </row>
    <row r="25" spans="1:6" x14ac:dyDescent="0.2">
      <c r="C25" s="1" t="s">
        <v>819</v>
      </c>
    </row>
    <row r="26" spans="1:6" x14ac:dyDescent="0.2">
      <c r="C26" s="21" t="s">
        <v>818</v>
      </c>
      <c r="F26" s="21">
        <v>400</v>
      </c>
    </row>
    <row r="27" spans="1:6" x14ac:dyDescent="0.2">
      <c r="B27" s="8"/>
      <c r="C27" s="21" t="s">
        <v>817</v>
      </c>
      <c r="F27" s="1">
        <v>200</v>
      </c>
    </row>
    <row r="28" spans="1:6" x14ac:dyDescent="0.2">
      <c r="B28" s="8"/>
    </row>
    <row r="30" spans="1:6" ht="13.5" thickBot="1" x14ac:dyDescent="0.25">
      <c r="F30" s="25">
        <f>SUM(F19:F29)</f>
        <v>3100</v>
      </c>
    </row>
    <row r="31" spans="1:6" ht="13.5" thickTop="1" x14ac:dyDescent="0.2"/>
    <row r="32" spans="1:6" ht="20.100000000000001" customHeight="1" x14ac:dyDescent="0.2">
      <c r="A32" s="24" t="s">
        <v>816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7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782</v>
      </c>
    </row>
    <row r="10" spans="1:6" x14ac:dyDescent="0.2">
      <c r="A10" s="1" t="s">
        <v>781</v>
      </c>
      <c r="D10" s="20" t="s">
        <v>27</v>
      </c>
      <c r="E10" s="20" t="s">
        <v>780</v>
      </c>
    </row>
    <row r="11" spans="1:6" x14ac:dyDescent="0.2">
      <c r="A11" s="1" t="s">
        <v>779</v>
      </c>
      <c r="D11" s="20" t="s">
        <v>24</v>
      </c>
      <c r="E11" s="20" t="s">
        <v>23</v>
      </c>
    </row>
    <row r="12" spans="1:6" x14ac:dyDescent="0.2">
      <c r="A12" s="1" t="s">
        <v>778</v>
      </c>
      <c r="D12" s="20" t="s">
        <v>22</v>
      </c>
      <c r="E12" s="20" t="s">
        <v>777</v>
      </c>
    </row>
    <row r="13" spans="1:6" x14ac:dyDescent="0.2">
      <c r="A13" s="1" t="s">
        <v>776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3:6" x14ac:dyDescent="0.2">
      <c r="C19" s="13" t="s">
        <v>775</v>
      </c>
    </row>
    <row r="20" spans="3:6" x14ac:dyDescent="0.2">
      <c r="C20" s="13" t="s">
        <v>774</v>
      </c>
    </row>
    <row r="21" spans="3:6" x14ac:dyDescent="0.2">
      <c r="C21" s="21"/>
    </row>
    <row r="22" spans="3:6" x14ac:dyDescent="0.2">
      <c r="C22" s="21"/>
    </row>
    <row r="23" spans="3:6" x14ac:dyDescent="0.2">
      <c r="C23" s="1" t="s">
        <v>773</v>
      </c>
      <c r="F23" s="1">
        <v>1300</v>
      </c>
    </row>
    <row r="25" spans="3:6" x14ac:dyDescent="0.2">
      <c r="C25" s="8"/>
    </row>
    <row r="32" spans="3:6" ht="13.5" thickBot="1" x14ac:dyDescent="0.25">
      <c r="F32" s="11">
        <f>SUM(F18:F31)</f>
        <v>1300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772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72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471</v>
      </c>
    </row>
    <row r="10" spans="1:6" x14ac:dyDescent="0.2">
      <c r="A10" s="1" t="s">
        <v>470</v>
      </c>
      <c r="D10" s="20" t="s">
        <v>27</v>
      </c>
      <c r="E10" s="20" t="s">
        <v>260</v>
      </c>
    </row>
    <row r="11" spans="1:6" x14ac:dyDescent="0.2">
      <c r="A11" s="1" t="s">
        <v>469</v>
      </c>
      <c r="D11" s="20" t="s">
        <v>24</v>
      </c>
      <c r="E11" s="20" t="s">
        <v>23</v>
      </c>
    </row>
    <row r="12" spans="1:6" x14ac:dyDescent="0.2">
      <c r="A12" s="1" t="s">
        <v>307</v>
      </c>
      <c r="D12" s="20" t="s">
        <v>22</v>
      </c>
      <c r="E12" s="20" t="s">
        <v>468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467</v>
      </c>
    </row>
    <row r="21" spans="2:6" x14ac:dyDescent="0.2">
      <c r="C21" s="21"/>
    </row>
    <row r="22" spans="2:6" x14ac:dyDescent="0.2">
      <c r="C22" s="21"/>
      <c r="F22" s="7"/>
    </row>
    <row r="23" spans="2:6" x14ac:dyDescent="0.2">
      <c r="C23" s="21" t="s">
        <v>466</v>
      </c>
      <c r="F23" s="1">
        <v>5000</v>
      </c>
    </row>
    <row r="24" spans="2:6" x14ac:dyDescent="0.2">
      <c r="B24" s="8"/>
      <c r="C24" s="21"/>
    </row>
    <row r="25" spans="2:6" x14ac:dyDescent="0.2">
      <c r="B25" s="12"/>
      <c r="C25" s="21"/>
    </row>
    <row r="26" spans="2:6" x14ac:dyDescent="0.2">
      <c r="B26" s="12"/>
      <c r="C26" s="21"/>
    </row>
    <row r="27" spans="2:6" x14ac:dyDescent="0.2">
      <c r="B27" s="12"/>
      <c r="C27" s="21"/>
    </row>
    <row r="28" spans="2:6" x14ac:dyDescent="0.2">
      <c r="B28" s="12"/>
      <c r="C28" s="21"/>
    </row>
    <row r="29" spans="2:6" x14ac:dyDescent="0.2">
      <c r="B29" s="12"/>
      <c r="C29" s="21"/>
    </row>
    <row r="30" spans="2:6" x14ac:dyDescent="0.2">
      <c r="B30" s="12"/>
      <c r="C30" s="21"/>
    </row>
    <row r="32" spans="2:6" ht="13.5" thickBot="1" x14ac:dyDescent="0.25">
      <c r="F32" s="11">
        <f>SUM(F19:F31)</f>
        <v>5000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225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52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2360</v>
      </c>
    </row>
    <row r="10" spans="1:6" x14ac:dyDescent="0.2">
      <c r="A10" s="91" t="s">
        <v>341</v>
      </c>
      <c r="D10" s="92" t="s">
        <v>1444</v>
      </c>
      <c r="E10" s="92" t="s">
        <v>2359</v>
      </c>
    </row>
    <row r="11" spans="1:6" x14ac:dyDescent="0.2">
      <c r="A11" s="91" t="s">
        <v>340</v>
      </c>
      <c r="D11" s="92" t="s">
        <v>1431</v>
      </c>
      <c r="E11" s="92" t="s">
        <v>1220</v>
      </c>
    </row>
    <row r="12" spans="1:6" x14ac:dyDescent="0.2">
      <c r="A12" s="91" t="s">
        <v>339</v>
      </c>
      <c r="D12" s="92" t="s">
        <v>1268</v>
      </c>
      <c r="E12" s="92" t="s">
        <v>2361</v>
      </c>
    </row>
    <row r="13" spans="1:6" x14ac:dyDescent="0.2">
      <c r="A13" s="91" t="s">
        <v>123</v>
      </c>
    </row>
    <row r="14" spans="1:6" x14ac:dyDescent="0.2">
      <c r="A14" s="91" t="s">
        <v>338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C18" s="2" t="s">
        <v>337</v>
      </c>
    </row>
    <row r="19" spans="1:6" x14ac:dyDescent="0.2">
      <c r="A19" s="109"/>
    </row>
    <row r="20" spans="1:6" x14ac:dyDescent="0.2">
      <c r="A20" s="111" t="s">
        <v>2102</v>
      </c>
      <c r="B20" s="94" t="s">
        <v>2103</v>
      </c>
      <c r="C20" s="91" t="s">
        <v>2104</v>
      </c>
      <c r="F20" s="110">
        <f>20000*0.224</f>
        <v>4480</v>
      </c>
    </row>
    <row r="21" spans="1:6" x14ac:dyDescent="0.2">
      <c r="A21" s="111"/>
      <c r="B21" s="94"/>
      <c r="F21" s="110"/>
    </row>
    <row r="22" spans="1:6" x14ac:dyDescent="0.2">
      <c r="C22" s="91" t="s">
        <v>2105</v>
      </c>
      <c r="F22" s="110">
        <v>300</v>
      </c>
    </row>
    <row r="23" spans="1:6" x14ac:dyDescent="0.2">
      <c r="A23" s="108"/>
      <c r="C23" s="91" t="s">
        <v>2106</v>
      </c>
      <c r="F23" s="110"/>
    </row>
    <row r="24" spans="1:6" x14ac:dyDescent="0.2">
      <c r="A24" s="108"/>
      <c r="B24" s="94"/>
      <c r="F24" s="110"/>
    </row>
    <row r="25" spans="1:6" x14ac:dyDescent="0.2">
      <c r="A25" s="109"/>
      <c r="B25" s="94"/>
      <c r="C25" s="2"/>
      <c r="F25" s="110"/>
    </row>
    <row r="26" spans="1:6" x14ac:dyDescent="0.2">
      <c r="A26" s="108"/>
      <c r="B26" s="94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4780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2107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2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203</v>
      </c>
    </row>
    <row r="10" spans="1:6" x14ac:dyDescent="0.2">
      <c r="A10" s="1" t="s">
        <v>202</v>
      </c>
      <c r="D10" s="20" t="s">
        <v>27</v>
      </c>
      <c r="E10" s="20" t="s">
        <v>201</v>
      </c>
    </row>
    <row r="11" spans="1:6" x14ac:dyDescent="0.2">
      <c r="A11" s="1" t="s">
        <v>200</v>
      </c>
      <c r="D11" s="20" t="s">
        <v>24</v>
      </c>
      <c r="E11" s="20" t="s">
        <v>23</v>
      </c>
    </row>
    <row r="12" spans="1:6" x14ac:dyDescent="0.2">
      <c r="A12" s="1" t="s">
        <v>199</v>
      </c>
      <c r="D12" s="20" t="s">
        <v>22</v>
      </c>
      <c r="E12" s="19" t="s">
        <v>198</v>
      </c>
    </row>
    <row r="13" spans="1:6" x14ac:dyDescent="0.2">
      <c r="A13" s="1" t="s">
        <v>197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1:6" x14ac:dyDescent="0.2">
      <c r="C20" s="13" t="s">
        <v>145</v>
      </c>
    </row>
    <row r="21" spans="1:6" x14ac:dyDescent="0.2">
      <c r="C21" s="13" t="s">
        <v>144</v>
      </c>
    </row>
    <row r="22" spans="1:6" x14ac:dyDescent="0.2">
      <c r="C22" s="12"/>
    </row>
    <row r="24" spans="1:6" x14ac:dyDescent="0.2">
      <c r="A24" s="1" t="s">
        <v>196</v>
      </c>
      <c r="C24" s="1" t="s">
        <v>195</v>
      </c>
      <c r="F24" s="1">
        <v>17500</v>
      </c>
    </row>
    <row r="26" spans="1:6" x14ac:dyDescent="0.2">
      <c r="A26" s="1" t="s">
        <v>194</v>
      </c>
      <c r="B26" s="8"/>
      <c r="C26" s="21" t="s">
        <v>193</v>
      </c>
      <c r="F26" s="1">
        <v>700</v>
      </c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18200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192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1-000000000000}">
  <sheetPr codeName="Sheet561"/>
  <dimension ref="A1:H59"/>
  <sheetViews>
    <sheetView view="pageBreakPreview" topLeftCell="A4" zoomScaleNormal="100" zoomScaleSheetLayoutView="100" workbookViewId="0">
      <selection activeCell="G9" sqref="G9"/>
    </sheetView>
  </sheetViews>
  <sheetFormatPr defaultRowHeight="12.75" x14ac:dyDescent="0.2"/>
  <cols>
    <col min="1" max="1" width="15.7109375" style="1" customWidth="1"/>
    <col min="2" max="2" width="12.28515625" style="1" customWidth="1"/>
    <col min="3" max="3" width="1.42578125" style="1" customWidth="1"/>
    <col min="4" max="4" width="20.5703125" style="1" customWidth="1"/>
    <col min="5" max="5" width="1.85546875" style="1" customWidth="1"/>
    <col min="6" max="6" width="15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3183</v>
      </c>
      <c r="G9" s="155" t="s">
        <v>8352</v>
      </c>
    </row>
    <row r="10" spans="1:8" s="91" customFormat="1" x14ac:dyDescent="0.2">
      <c r="A10" s="91" t="s">
        <v>3180</v>
      </c>
      <c r="F10" s="92" t="s">
        <v>3184</v>
      </c>
      <c r="G10" s="155" t="s">
        <v>8332</v>
      </c>
    </row>
    <row r="11" spans="1:8" s="91" customFormat="1" x14ac:dyDescent="0.2">
      <c r="A11" s="91" t="s">
        <v>3181</v>
      </c>
      <c r="F11" s="92" t="s">
        <v>3185</v>
      </c>
      <c r="G11" s="155" t="s">
        <v>1220</v>
      </c>
    </row>
    <row r="12" spans="1:8" s="91" customFormat="1" x14ac:dyDescent="0.2">
      <c r="A12" s="91" t="s">
        <v>3182</v>
      </c>
      <c r="F12" s="92" t="s">
        <v>3186</v>
      </c>
      <c r="G12" s="91" t="s">
        <v>8353</v>
      </c>
    </row>
    <row r="13" spans="1:8" s="91" customFormat="1" x14ac:dyDescent="0.2">
      <c r="A13" s="91" t="s">
        <v>1862</v>
      </c>
      <c r="G13" s="91" t="s">
        <v>8348</v>
      </c>
    </row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1261</v>
      </c>
      <c r="B16" s="31" t="s">
        <v>1262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D18" s="2" t="s">
        <v>3802</v>
      </c>
      <c r="E18" s="2"/>
    </row>
    <row r="19" spans="1:8" s="91" customFormat="1" x14ac:dyDescent="0.2"/>
    <row r="20" spans="1:8" s="91" customFormat="1" x14ac:dyDescent="0.2">
      <c r="A20" s="93" t="s">
        <v>8354</v>
      </c>
      <c r="B20" s="93" t="s">
        <v>8355</v>
      </c>
      <c r="C20" s="99"/>
      <c r="D20" s="91" t="s">
        <v>8356</v>
      </c>
      <c r="H20" s="91">
        <f>4.05*1500</f>
        <v>6075</v>
      </c>
    </row>
    <row r="21" spans="1:8" s="91" customFormat="1" x14ac:dyDescent="0.2">
      <c r="D21" s="91" t="s">
        <v>8357</v>
      </c>
      <c r="H21" s="91">
        <f>3000*0.77</f>
        <v>2310</v>
      </c>
    </row>
    <row r="22" spans="1:8" s="91" customFormat="1" x14ac:dyDescent="0.2">
      <c r="A22" s="93"/>
      <c r="B22" s="99"/>
      <c r="C22" s="99"/>
    </row>
    <row r="23" spans="1:8" s="91" customFormat="1" x14ac:dyDescent="0.2">
      <c r="A23" s="93"/>
      <c r="B23" s="488"/>
      <c r="C23" s="488"/>
    </row>
    <row r="24" spans="1:8" s="91" customFormat="1" x14ac:dyDescent="0.2">
      <c r="A24" s="93"/>
      <c r="B24" s="488"/>
      <c r="C24" s="488"/>
    </row>
    <row r="25" spans="1:8" s="91" customFormat="1" x14ac:dyDescent="0.2"/>
    <row r="26" spans="1:8" s="91" customFormat="1" x14ac:dyDescent="0.2">
      <c r="A26" s="93"/>
      <c r="B26" s="99"/>
      <c r="C26" s="99"/>
    </row>
    <row r="27" spans="1:8" s="91" customFormat="1" x14ac:dyDescent="0.2"/>
    <row r="28" spans="1:8" s="91" customFormat="1" x14ac:dyDescent="0.2"/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x14ac:dyDescent="0.2"/>
    <row r="35" spans="1:8" s="91" customFormat="1" ht="13.5" thickBot="1" x14ac:dyDescent="0.25">
      <c r="H35" s="107">
        <f>SUM(H18:H33)</f>
        <v>8385</v>
      </c>
    </row>
    <row r="36" spans="1:8" s="91" customFormat="1" ht="13.5" thickTop="1" x14ac:dyDescent="0.2">
      <c r="H36" s="101"/>
    </row>
    <row r="37" spans="1:8" s="91" customFormat="1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Thousand Three Hundred Eighty-Five and NO/100 -----------</v>
      </c>
      <c r="C37" s="185"/>
      <c r="D37" s="97"/>
      <c r="E37" s="97"/>
      <c r="F37" s="97"/>
      <c r="G37" s="97"/>
      <c r="H37" s="20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D42" s="99"/>
      <c r="E42" s="99"/>
      <c r="F42" s="228"/>
      <c r="G42" s="229"/>
      <c r="H42" s="229"/>
    </row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  <row r="58" spans="1:8" s="91" customFormat="1" x14ac:dyDescent="0.2"/>
    <row r="59" spans="1:8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556"/>
  <dimension ref="A1:K55"/>
  <sheetViews>
    <sheetView view="pageBreakPreview" topLeftCell="A2" zoomScale="115" zoomScaleNormal="100" zoomScaleSheetLayoutView="115" workbookViewId="0">
      <selection activeCell="G9" sqref="G9:G1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85546875" style="91" customWidth="1"/>
    <col min="4" max="4" width="21" style="91" customWidth="1"/>
    <col min="5" max="5" width="1" style="91" customWidth="1"/>
    <col min="6" max="6" width="12.7109375" style="91" customWidth="1"/>
    <col min="7" max="7" width="9.7109375" style="91" customWidth="1"/>
    <col min="8" max="8" width="12.5703125" style="91" customWidth="1"/>
    <col min="9" max="16384" width="9.140625" style="1"/>
  </cols>
  <sheetData>
    <row r="1" spans="1:9" ht="15" hidden="1" customHeight="1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  <c r="G8" s="251"/>
    </row>
    <row r="9" spans="1:9" x14ac:dyDescent="0.2">
      <c r="F9" s="92" t="s">
        <v>1334</v>
      </c>
      <c r="G9" s="153" t="s">
        <v>8633</v>
      </c>
      <c r="I9" s="61"/>
    </row>
    <row r="10" spans="1:9" x14ac:dyDescent="0.2">
      <c r="A10" s="91" t="s">
        <v>1332</v>
      </c>
      <c r="F10" s="92" t="s">
        <v>1335</v>
      </c>
      <c r="G10" s="155" t="s">
        <v>8628</v>
      </c>
      <c r="I10" s="113"/>
    </row>
    <row r="11" spans="1:9" x14ac:dyDescent="0.2">
      <c r="A11" s="91" t="s">
        <v>4803</v>
      </c>
      <c r="F11" s="92" t="s">
        <v>1333</v>
      </c>
      <c r="G11" s="155" t="s">
        <v>2625</v>
      </c>
      <c r="I11" s="113"/>
    </row>
    <row r="12" spans="1:9" x14ac:dyDescent="0.2">
      <c r="A12" s="91" t="s">
        <v>5506</v>
      </c>
      <c r="F12" s="92" t="s">
        <v>1331</v>
      </c>
      <c r="G12" s="155" t="s">
        <v>8634</v>
      </c>
      <c r="I12" s="113"/>
    </row>
    <row r="13" spans="1:9" x14ac:dyDescent="0.2">
      <c r="A13" s="91" t="s">
        <v>1338</v>
      </c>
      <c r="G13" s="153" t="s">
        <v>7762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1" x14ac:dyDescent="0.2">
      <c r="B18" s="111"/>
      <c r="C18" s="111"/>
      <c r="D18" s="2" t="s">
        <v>4586</v>
      </c>
      <c r="E18" s="2"/>
      <c r="J18" s="91"/>
      <c r="K18" s="91"/>
    </row>
    <row r="19" spans="1:11" x14ac:dyDescent="0.2">
      <c r="B19" s="111"/>
      <c r="C19" s="111"/>
      <c r="D19" s="2"/>
      <c r="E19" s="2"/>
      <c r="J19" s="91"/>
      <c r="K19" s="91"/>
    </row>
    <row r="20" spans="1:11" x14ac:dyDescent="0.2">
      <c r="A20" s="93" t="s">
        <v>8635</v>
      </c>
      <c r="B20" s="93" t="s">
        <v>8636</v>
      </c>
      <c r="C20" s="93"/>
      <c r="D20" s="91" t="s">
        <v>8637</v>
      </c>
      <c r="H20" s="110">
        <v>300</v>
      </c>
      <c r="J20" s="91"/>
      <c r="K20" s="110"/>
    </row>
    <row r="21" spans="1:11" x14ac:dyDescent="0.2">
      <c r="A21" s="93"/>
      <c r="B21" s="93"/>
      <c r="C21" s="93"/>
      <c r="H21" s="110"/>
      <c r="J21" s="91"/>
      <c r="K21" s="91"/>
    </row>
    <row r="22" spans="1:11" x14ac:dyDescent="0.2">
      <c r="A22" s="93"/>
      <c r="B22" s="93"/>
    </row>
    <row r="23" spans="1:11" x14ac:dyDescent="0.2">
      <c r="A23" s="93"/>
      <c r="B23" s="93"/>
    </row>
    <row r="26" spans="1:11" x14ac:dyDescent="0.2">
      <c r="A26" s="93"/>
      <c r="B26" s="93"/>
    </row>
    <row r="28" spans="1:11" x14ac:dyDescent="0.2">
      <c r="D28" s="2"/>
    </row>
    <row r="29" spans="1:11" ht="9.75" customHeight="1" x14ac:dyDescent="0.2">
      <c r="D29" s="2"/>
    </row>
    <row r="30" spans="1:11" x14ac:dyDescent="0.2">
      <c r="A30" s="93"/>
      <c r="B30" s="93"/>
    </row>
    <row r="31" spans="1:11" x14ac:dyDescent="0.2">
      <c r="A31" s="93"/>
      <c r="B31" s="93"/>
    </row>
    <row r="32" spans="1:11" x14ac:dyDescent="0.2">
      <c r="A32" s="93"/>
      <c r="B32" s="93"/>
      <c r="D32" s="2"/>
    </row>
    <row r="36" spans="1:8" ht="13.5" thickBot="1" x14ac:dyDescent="0.25">
      <c r="H36" s="95">
        <f>SUM(H18:H35)</f>
        <v>300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and NO/100 -----------</v>
      </c>
      <c r="C38" s="185"/>
      <c r="D38" s="97"/>
      <c r="E38" s="97"/>
      <c r="F38" s="206"/>
      <c r="G38" s="206"/>
      <c r="H38" s="206"/>
    </row>
    <row r="39" spans="1:8" x14ac:dyDescent="0.2">
      <c r="A39" s="94" t="s">
        <v>11</v>
      </c>
    </row>
    <row r="40" spans="1:8" ht="25.5" x14ac:dyDescent="0.2">
      <c r="A40" s="91" t="s">
        <v>10</v>
      </c>
      <c r="F40" s="218" t="s">
        <v>3975</v>
      </c>
      <c r="G40" s="219"/>
      <c r="H40" s="220"/>
    </row>
    <row r="41" spans="1:8" x14ac:dyDescent="0.2">
      <c r="F41" s="227"/>
      <c r="G41" s="227"/>
      <c r="H41" s="227"/>
    </row>
    <row r="42" spans="1:8" x14ac:dyDescent="0.2">
      <c r="F42" s="228"/>
      <c r="G42" s="229"/>
      <c r="H42" s="229"/>
    </row>
    <row r="43" spans="1:8" x14ac:dyDescent="0.2">
      <c r="A43" s="1"/>
    </row>
    <row r="44" spans="1:8" x14ac:dyDescent="0.2">
      <c r="A44" s="101"/>
      <c r="B44" s="101"/>
    </row>
    <row r="45" spans="1:8" x14ac:dyDescent="0.2">
      <c r="D45" s="386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 t="s">
        <v>120</v>
      </c>
      <c r="B50" s="101"/>
      <c r="D50" s="101" t="s">
        <v>120</v>
      </c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D52" s="386"/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527">
    <tabColor rgb="FFFFFF00"/>
    <pageSetUpPr fitToPage="1"/>
  </sheetPr>
  <dimension ref="A1:I57"/>
  <sheetViews>
    <sheetView topLeftCell="A16" workbookViewId="0">
      <selection activeCell="A46" sqref="A46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5703125" style="91" customWidth="1"/>
    <col min="4" max="4" width="21" style="91" customWidth="1"/>
    <col min="5" max="5" width="0.85546875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A9" s="91" t="s">
        <v>5308</v>
      </c>
      <c r="F9" s="92" t="s">
        <v>1334</v>
      </c>
      <c r="G9" s="91" t="s">
        <v>8968</v>
      </c>
      <c r="I9" s="61"/>
    </row>
    <row r="10" spans="1:9" x14ac:dyDescent="0.2">
      <c r="A10" s="91" t="s">
        <v>5309</v>
      </c>
      <c r="F10" s="92" t="s">
        <v>1335</v>
      </c>
      <c r="G10" s="94" t="s">
        <v>8945</v>
      </c>
      <c r="I10" s="113"/>
    </row>
    <row r="11" spans="1:9" x14ac:dyDescent="0.2">
      <c r="A11" s="91" t="s">
        <v>5310</v>
      </c>
      <c r="F11" s="92" t="s">
        <v>1333</v>
      </c>
      <c r="G11" s="91" t="s">
        <v>1220</v>
      </c>
      <c r="I11" s="113"/>
    </row>
    <row r="12" spans="1:9" x14ac:dyDescent="0.2">
      <c r="A12" s="91" t="s">
        <v>5311</v>
      </c>
      <c r="F12" s="92" t="s">
        <v>1331</v>
      </c>
      <c r="G12" s="91" t="s">
        <v>8969</v>
      </c>
      <c r="I12" s="113"/>
    </row>
    <row r="13" spans="1:9" x14ac:dyDescent="0.2">
      <c r="A13" s="91" t="s">
        <v>5312</v>
      </c>
      <c r="G13" s="91" t="s">
        <v>7762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8970</v>
      </c>
      <c r="E18" s="2"/>
    </row>
    <row r="20" spans="1:8" x14ac:dyDescent="0.2">
      <c r="A20" s="93" t="s">
        <v>8841</v>
      </c>
      <c r="B20" s="111" t="s">
        <v>8971</v>
      </c>
      <c r="C20" s="111"/>
      <c r="D20" s="91" t="s">
        <v>8972</v>
      </c>
      <c r="H20" s="91">
        <f>34.5*100</f>
        <v>3450</v>
      </c>
    </row>
    <row r="21" spans="1:8" x14ac:dyDescent="0.2">
      <c r="H21" s="110"/>
    </row>
    <row r="22" spans="1:8" x14ac:dyDescent="0.2">
      <c r="A22" s="93"/>
      <c r="B22" s="93"/>
      <c r="C22" s="93"/>
    </row>
    <row r="23" spans="1:8" x14ac:dyDescent="0.2">
      <c r="A23" s="111"/>
      <c r="B23" s="111"/>
      <c r="C23" s="111"/>
      <c r="F23" s="1"/>
      <c r="G23" s="1"/>
    </row>
    <row r="24" spans="1:8" x14ac:dyDescent="0.2">
      <c r="A24" s="93"/>
      <c r="B24" s="99"/>
      <c r="C24" s="516"/>
    </row>
    <row r="25" spans="1:8" x14ac:dyDescent="0.2">
      <c r="A25" s="111"/>
      <c r="B25" s="111"/>
      <c r="C25" s="111"/>
      <c r="F25" s="1"/>
      <c r="G25" s="1"/>
      <c r="H25" s="110"/>
    </row>
    <row r="26" spans="1:8" x14ac:dyDescent="0.2">
      <c r="A26" s="93"/>
      <c r="B26" s="93"/>
      <c r="C26" s="93"/>
    </row>
    <row r="27" spans="1:8" x14ac:dyDescent="0.2">
      <c r="H27" s="110"/>
    </row>
    <row r="28" spans="1:8" x14ac:dyDescent="0.2">
      <c r="A28" s="93"/>
      <c r="B28" s="99"/>
      <c r="C28" s="516"/>
    </row>
    <row r="29" spans="1:8" x14ac:dyDescent="0.2">
      <c r="A29" s="93"/>
      <c r="B29" s="99"/>
      <c r="C29" s="516"/>
    </row>
    <row r="30" spans="1:8" x14ac:dyDescent="0.2">
      <c r="A30" s="93"/>
      <c r="B30" s="99"/>
      <c r="C30" s="516"/>
    </row>
    <row r="31" spans="1:8" x14ac:dyDescent="0.2">
      <c r="A31" s="93"/>
      <c r="B31" s="99"/>
      <c r="C31" s="516"/>
    </row>
    <row r="32" spans="1:8" x14ac:dyDescent="0.2">
      <c r="A32" s="93"/>
      <c r="B32" s="99"/>
      <c r="C32" s="516"/>
    </row>
    <row r="33" spans="1:8" x14ac:dyDescent="0.2">
      <c r="A33" s="93"/>
      <c r="B33" s="99"/>
      <c r="C33" s="516"/>
    </row>
    <row r="35" spans="1:8" x14ac:dyDescent="0.2">
      <c r="A35" s="93"/>
      <c r="B35" s="99"/>
      <c r="C35" s="516"/>
      <c r="H35" s="110"/>
    </row>
    <row r="37" spans="1:8" x14ac:dyDescent="0.2">
      <c r="A37" s="93"/>
      <c r="B37" s="111"/>
      <c r="C37" s="111"/>
    </row>
    <row r="38" spans="1:8" ht="13.5" thickBot="1" x14ac:dyDescent="0.25">
      <c r="H38" s="95">
        <f>SUM(H18:H36)</f>
        <v>3450</v>
      </c>
    </row>
    <row r="39" spans="1:8" ht="13.5" thickTop="1" x14ac:dyDescent="0.2"/>
    <row r="40" spans="1:8" ht="20.100000000000001" customHeight="1" x14ac:dyDescent="0.2">
      <c r="A40" s="96" t="s">
        <v>336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Three Thousand Four Hundred Fifty and NO/100 -----------</v>
      </c>
      <c r="C40" s="185"/>
      <c r="D40" s="97"/>
      <c r="E40" s="97"/>
      <c r="F40" s="97"/>
      <c r="G40" s="97"/>
      <c r="H40" s="97"/>
    </row>
    <row r="41" spans="1:8" x14ac:dyDescent="0.2">
      <c r="A41" s="94" t="s">
        <v>11</v>
      </c>
    </row>
    <row r="42" spans="1:8" ht="25.5" x14ac:dyDescent="0.2">
      <c r="A42" s="91" t="s">
        <v>10</v>
      </c>
      <c r="F42" s="218" t="s">
        <v>3975</v>
      </c>
      <c r="G42" s="219"/>
      <c r="H42" s="220"/>
    </row>
    <row r="45" spans="1:8" x14ac:dyDescent="0.2">
      <c r="F45" s="227"/>
      <c r="G45" s="227"/>
      <c r="H45" s="227"/>
    </row>
    <row r="46" spans="1:8" x14ac:dyDescent="0.2">
      <c r="A46" s="101"/>
      <c r="B46" s="101"/>
      <c r="C46" s="386"/>
      <c r="F46" s="228"/>
      <c r="G46" s="229"/>
      <c r="H46" s="229"/>
    </row>
    <row r="47" spans="1:8" x14ac:dyDescent="0.2">
      <c r="A47" s="1"/>
      <c r="F47" s="98" t="s">
        <v>7</v>
      </c>
      <c r="H47" s="102"/>
    </row>
    <row r="48" spans="1:8" x14ac:dyDescent="0.2">
      <c r="A48" s="98" t="s">
        <v>8</v>
      </c>
      <c r="D48" s="98" t="s">
        <v>8</v>
      </c>
      <c r="F48" s="98"/>
      <c r="H48" s="102"/>
    </row>
    <row r="52" spans="1:8" x14ac:dyDescent="0.2">
      <c r="A52" s="101" t="s">
        <v>120</v>
      </c>
      <c r="B52" s="101"/>
      <c r="C52" s="386"/>
      <c r="D52" s="101" t="s">
        <v>120</v>
      </c>
      <c r="F52" s="101"/>
      <c r="G52" s="101"/>
      <c r="H52" s="101"/>
    </row>
    <row r="53" spans="1:8" s="3" customFormat="1" ht="17.100000000000001" customHeight="1" x14ac:dyDescent="0.2">
      <c r="A53" s="103" t="s">
        <v>4066</v>
      </c>
      <c r="B53" s="104"/>
      <c r="C53" s="104"/>
      <c r="D53" s="103" t="s">
        <v>50</v>
      </c>
      <c r="E53" s="61"/>
      <c r="F53" s="61" t="s">
        <v>3</v>
      </c>
      <c r="G53" s="61"/>
      <c r="H53" s="61"/>
    </row>
    <row r="54" spans="1:8" x14ac:dyDescent="0.2">
      <c r="F54" s="91" t="s">
        <v>2</v>
      </c>
    </row>
    <row r="56" spans="1:8" x14ac:dyDescent="0.2">
      <c r="F56" s="2" t="s">
        <v>1</v>
      </c>
    </row>
    <row r="57" spans="1:8" x14ac:dyDescent="0.2">
      <c r="F57" s="2" t="s">
        <v>0</v>
      </c>
    </row>
  </sheetData>
  <customSheetViews>
    <customSheetView guid="{6428A7A0-B31B-40C1-A13E-AD0DCC619E51}" fitToPage="1" topLeftCell="A8">
      <selection activeCell="F21" sqref="F21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557"/>
  <dimension ref="A1:T53"/>
  <sheetViews>
    <sheetView view="pageBreakPreview" topLeftCell="A10" zoomScaleNormal="100" zoomScaleSheetLayoutView="100" workbookViewId="0">
      <selection activeCell="H26" sqref="H26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0.85546875" style="91" customWidth="1"/>
    <col min="4" max="4" width="22.42578125" style="91" customWidth="1"/>
    <col min="5" max="5" width="1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2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2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2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20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20" x14ac:dyDescent="0.2">
      <c r="A8" s="91" t="s">
        <v>32</v>
      </c>
      <c r="F8" s="22" t="s">
        <v>31</v>
      </c>
      <c r="J8" s="91" t="s">
        <v>8274</v>
      </c>
      <c r="K8" s="91">
        <v>43817</v>
      </c>
      <c r="L8" s="91" t="s">
        <v>8275</v>
      </c>
    </row>
    <row r="9" spans="1:20" x14ac:dyDescent="0.2">
      <c r="F9" s="92" t="s">
        <v>1434</v>
      </c>
      <c r="G9" s="91" t="s">
        <v>8274</v>
      </c>
    </row>
    <row r="10" spans="1:20" x14ac:dyDescent="0.2">
      <c r="A10" s="91" t="s">
        <v>5474</v>
      </c>
      <c r="F10" s="92" t="s">
        <v>1433</v>
      </c>
      <c r="G10" s="98" t="s">
        <v>8265</v>
      </c>
    </row>
    <row r="11" spans="1:20" x14ac:dyDescent="0.2">
      <c r="A11" s="91" t="s">
        <v>5475</v>
      </c>
      <c r="F11" s="92" t="s">
        <v>1431</v>
      </c>
      <c r="G11" s="92" t="s">
        <v>1220</v>
      </c>
      <c r="L11" s="111"/>
      <c r="M11" s="99"/>
      <c r="N11" s="99"/>
      <c r="O11" s="2" t="s">
        <v>6594</v>
      </c>
      <c r="P11" s="2"/>
    </row>
    <row r="12" spans="1:20" x14ac:dyDescent="0.2">
      <c r="A12" s="91" t="s">
        <v>5476</v>
      </c>
      <c r="F12" s="92" t="s">
        <v>1268</v>
      </c>
      <c r="G12" s="92" t="s">
        <v>8275</v>
      </c>
    </row>
    <row r="13" spans="1:20" x14ac:dyDescent="0.2">
      <c r="A13" s="91" t="s">
        <v>5477</v>
      </c>
      <c r="G13" s="91" t="s">
        <v>7931</v>
      </c>
      <c r="L13" s="93" t="s">
        <v>6453</v>
      </c>
      <c r="M13" s="93" t="s">
        <v>6595</v>
      </c>
      <c r="N13" s="93"/>
      <c r="O13" s="91" t="s">
        <v>6596</v>
      </c>
      <c r="S13" s="91">
        <v>8000</v>
      </c>
    </row>
    <row r="14" spans="1:20" x14ac:dyDescent="0.2">
      <c r="A14" s="91" t="s">
        <v>5478</v>
      </c>
      <c r="L14" s="93"/>
      <c r="M14" s="93"/>
      <c r="N14" s="93"/>
      <c r="O14" s="91" t="s">
        <v>2147</v>
      </c>
      <c r="S14" s="91">
        <f>S13*6%</f>
        <v>480</v>
      </c>
    </row>
    <row r="15" spans="1:20" x14ac:dyDescent="0.2">
      <c r="A15" s="91" t="s">
        <v>5479</v>
      </c>
      <c r="L15" s="93"/>
      <c r="M15" s="99"/>
      <c r="N15" s="99"/>
      <c r="O15" s="91" t="s">
        <v>6597</v>
      </c>
    </row>
    <row r="16" spans="1:20" s="14" customFormat="1" ht="20.100000000000001" customHeight="1" x14ac:dyDescent="0.2">
      <c r="A16" s="17" t="s">
        <v>1429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L16" s="93"/>
      <c r="M16" s="99"/>
      <c r="N16" s="99"/>
      <c r="O16" s="91"/>
      <c r="P16" s="91"/>
      <c r="Q16" s="91"/>
      <c r="R16" s="91"/>
      <c r="S16" s="91"/>
      <c r="T16" s="91"/>
    </row>
    <row r="17" spans="1:14" x14ac:dyDescent="0.2">
      <c r="L17" s="93"/>
      <c r="M17" s="99"/>
      <c r="N17" s="99"/>
    </row>
    <row r="18" spans="1:14" x14ac:dyDescent="0.2">
      <c r="A18" s="111"/>
      <c r="B18" s="99"/>
      <c r="C18" s="99"/>
      <c r="D18" s="2" t="s">
        <v>8276</v>
      </c>
      <c r="E18" s="2"/>
    </row>
    <row r="20" spans="1:14" x14ac:dyDescent="0.2">
      <c r="A20" s="93" t="s">
        <v>8277</v>
      </c>
      <c r="B20" s="93" t="s">
        <v>8278</v>
      </c>
      <c r="C20" s="93"/>
      <c r="D20" s="91" t="s">
        <v>8279</v>
      </c>
      <c r="H20" s="91">
        <v>8000</v>
      </c>
    </row>
    <row r="21" spans="1:14" x14ac:dyDescent="0.2">
      <c r="A21" s="93"/>
      <c r="B21" s="93"/>
      <c r="C21" s="93"/>
      <c r="D21" s="91" t="s">
        <v>8280</v>
      </c>
    </row>
    <row r="22" spans="1:14" x14ac:dyDescent="0.2">
      <c r="A22" s="93"/>
      <c r="B22" s="93"/>
      <c r="C22" s="93"/>
      <c r="D22" s="91" t="s">
        <v>8281</v>
      </c>
    </row>
    <row r="23" spans="1:14" x14ac:dyDescent="0.2">
      <c r="A23" s="93"/>
      <c r="B23" s="99"/>
      <c r="C23" s="99"/>
      <c r="D23" s="91" t="s">
        <v>8282</v>
      </c>
    </row>
    <row r="24" spans="1:14" x14ac:dyDescent="0.2">
      <c r="A24" s="93"/>
      <c r="B24" s="99"/>
      <c r="C24" s="99"/>
    </row>
    <row r="25" spans="1:14" x14ac:dyDescent="0.2">
      <c r="A25" s="93"/>
      <c r="B25" s="99"/>
      <c r="C25" s="99"/>
      <c r="D25" s="91" t="s">
        <v>6886</v>
      </c>
      <c r="H25" s="91">
        <f>H20*6%</f>
        <v>480</v>
      </c>
    </row>
    <row r="27" spans="1:14" x14ac:dyDescent="0.2">
      <c r="A27" s="142"/>
      <c r="B27" s="99"/>
      <c r="C27" s="99"/>
    </row>
    <row r="28" spans="1:14" x14ac:dyDescent="0.2">
      <c r="A28" s="142"/>
      <c r="B28" s="99"/>
      <c r="C28" s="99"/>
    </row>
    <row r="29" spans="1:14" x14ac:dyDescent="0.2">
      <c r="A29" s="142"/>
      <c r="B29" s="99"/>
      <c r="C29" s="99"/>
    </row>
    <row r="30" spans="1:14" x14ac:dyDescent="0.2">
      <c r="A30" s="142"/>
      <c r="B30" s="99"/>
      <c r="C30" s="99"/>
    </row>
    <row r="31" spans="1:14" x14ac:dyDescent="0.2">
      <c r="A31" s="104"/>
      <c r="B31" s="99"/>
      <c r="C31" s="99"/>
    </row>
    <row r="32" spans="1:14" x14ac:dyDescent="0.2">
      <c r="A32" s="93"/>
      <c r="B32" s="99"/>
      <c r="C32" s="99"/>
    </row>
    <row r="33" spans="1:8" x14ac:dyDescent="0.2">
      <c r="A33" s="93"/>
      <c r="B33" s="99"/>
      <c r="C33" s="99"/>
      <c r="H33" s="101"/>
    </row>
    <row r="34" spans="1:8" ht="13.5" thickBot="1" x14ac:dyDescent="0.25">
      <c r="B34" s="99"/>
      <c r="C34" s="99"/>
      <c r="H34" s="95">
        <f>SUM(H18:H32)</f>
        <v>8480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Thousand Four Hundred Eighty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 t="s">
        <v>11</v>
      </c>
    </row>
    <row r="38" spans="1:8" ht="25.5" x14ac:dyDescent="0.2">
      <c r="A38" s="61" t="s">
        <v>10</v>
      </c>
      <c r="F38" s="218" t="s">
        <v>3975</v>
      </c>
      <c r="G38" s="219"/>
      <c r="H38" s="220"/>
    </row>
    <row r="41" spans="1:8" x14ac:dyDescent="0.2">
      <c r="A41" s="91" t="s">
        <v>121</v>
      </c>
      <c r="D41" s="99"/>
      <c r="E41" s="99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409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4652</v>
      </c>
    </row>
    <row r="10" spans="1:6" x14ac:dyDescent="0.2">
      <c r="A10" s="91" t="s">
        <v>4654</v>
      </c>
      <c r="D10" s="92" t="s">
        <v>1329</v>
      </c>
      <c r="E10" s="91" t="s">
        <v>4646</v>
      </c>
    </row>
    <row r="11" spans="1:6" x14ac:dyDescent="0.2">
      <c r="A11" s="91" t="s">
        <v>4655</v>
      </c>
      <c r="D11" s="92" t="s">
        <v>1330</v>
      </c>
      <c r="E11" s="91" t="s">
        <v>1220</v>
      </c>
    </row>
    <row r="12" spans="1:6" x14ac:dyDescent="0.2">
      <c r="A12" s="91" t="s">
        <v>4656</v>
      </c>
      <c r="D12" s="92" t="s">
        <v>1331</v>
      </c>
      <c r="E12" s="91" t="s">
        <v>4653</v>
      </c>
    </row>
    <row r="13" spans="1:6" x14ac:dyDescent="0.2">
      <c r="A13" s="91" t="s">
        <v>4657</v>
      </c>
    </row>
    <row r="14" spans="1:6" x14ac:dyDescent="0.2">
      <c r="A14" s="91" t="s">
        <v>4658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4580</v>
      </c>
    </row>
    <row r="19" spans="1:6" x14ac:dyDescent="0.2">
      <c r="A19" s="106"/>
      <c r="C19" s="2"/>
    </row>
    <row r="20" spans="1:6" x14ac:dyDescent="0.2">
      <c r="A20" s="93" t="s">
        <v>4659</v>
      </c>
      <c r="B20" s="99" t="s">
        <v>4660</v>
      </c>
      <c r="C20" s="91" t="s">
        <v>4661</v>
      </c>
      <c r="F20" s="91">
        <v>960</v>
      </c>
    </row>
    <row r="21" spans="1:6" x14ac:dyDescent="0.2">
      <c r="A21" s="93"/>
      <c r="B21" s="94"/>
      <c r="C21" s="91" t="s">
        <v>2147</v>
      </c>
      <c r="F21" s="91">
        <f>F20*6%</f>
        <v>57.599999999999994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1017.6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Seventeen and 60/100 -----------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78"/>
  <dimension ref="A1:G59"/>
  <sheetViews>
    <sheetView zoomScaleNormal="100" zoomScaleSheetLayoutView="100" workbookViewId="0">
      <selection activeCell="F34" sqref="F34"/>
    </sheetView>
  </sheetViews>
  <sheetFormatPr defaultRowHeight="16.5" x14ac:dyDescent="0.3"/>
  <cols>
    <col min="1" max="1" width="15.5703125" style="310" customWidth="1"/>
    <col min="2" max="2" width="13.85546875" style="310" customWidth="1"/>
    <col min="3" max="3" width="19.85546875" style="310" customWidth="1"/>
    <col min="4" max="4" width="16.42578125" style="310" customWidth="1"/>
    <col min="5" max="5" width="8.140625" style="310" customWidth="1"/>
    <col min="6" max="6" width="13.28515625" style="310" customWidth="1"/>
    <col min="7" max="7" width="16.140625" style="292" customWidth="1"/>
    <col min="8" max="16384" width="9.140625" style="292"/>
  </cols>
  <sheetData>
    <row r="1" spans="1:7" ht="15" customHeight="1" x14ac:dyDescent="0.3">
      <c r="A1" s="523" t="s">
        <v>34</v>
      </c>
      <c r="B1" s="523"/>
      <c r="C1" s="523"/>
      <c r="D1" s="523"/>
      <c r="E1" s="523"/>
      <c r="F1" s="523"/>
    </row>
    <row r="2" spans="1:7" ht="12.75" customHeight="1" x14ac:dyDescent="0.3">
      <c r="A2" s="524" t="s">
        <v>33</v>
      </c>
      <c r="B2" s="524"/>
      <c r="C2" s="524"/>
      <c r="D2" s="524"/>
      <c r="E2" s="524"/>
      <c r="F2" s="524"/>
    </row>
    <row r="3" spans="1:7" ht="12.75" customHeight="1" x14ac:dyDescent="0.3">
      <c r="A3" s="524" t="s">
        <v>1829</v>
      </c>
      <c r="B3" s="524"/>
      <c r="C3" s="524"/>
      <c r="D3" s="524"/>
      <c r="E3" s="524"/>
      <c r="F3" s="524"/>
    </row>
    <row r="4" spans="1:7" ht="12.75" customHeight="1" x14ac:dyDescent="0.3">
      <c r="A4" s="524" t="s">
        <v>1828</v>
      </c>
      <c r="B4" s="524"/>
      <c r="C4" s="524"/>
      <c r="D4" s="524"/>
      <c r="E4" s="524"/>
      <c r="F4" s="524"/>
    </row>
    <row r="5" spans="1:7" ht="12.75" customHeight="1" x14ac:dyDescent="0.3">
      <c r="A5" s="153"/>
      <c r="B5" s="153"/>
      <c r="C5" s="153"/>
      <c r="D5" s="153"/>
      <c r="E5" s="153"/>
      <c r="F5" s="153"/>
    </row>
    <row r="6" spans="1:7" ht="12.75" customHeight="1" x14ac:dyDescent="0.3">
      <c r="A6" s="153"/>
      <c r="B6" s="153"/>
      <c r="C6" s="153"/>
      <c r="D6" s="153"/>
      <c r="E6" s="153"/>
      <c r="F6" s="153"/>
    </row>
    <row r="7" spans="1:7" ht="12.75" customHeight="1" x14ac:dyDescent="0.3">
      <c r="A7" s="153"/>
      <c r="B7" s="153"/>
      <c r="C7" s="153"/>
      <c r="D7" s="153"/>
      <c r="E7" s="153"/>
      <c r="F7" s="153"/>
    </row>
    <row r="8" spans="1:7" s="294" customFormat="1" ht="12.75" customHeight="1" x14ac:dyDescent="0.2">
      <c r="A8" s="156" t="s">
        <v>32</v>
      </c>
      <c r="B8" s="156"/>
      <c r="C8" s="156"/>
      <c r="D8" s="293" t="s">
        <v>31</v>
      </c>
      <c r="E8" s="156"/>
      <c r="F8" s="156"/>
    </row>
    <row r="9" spans="1:7" s="294" customFormat="1" ht="12.75" customHeight="1" x14ac:dyDescent="0.2">
      <c r="A9" s="156"/>
      <c r="B9" s="156"/>
      <c r="C9" s="156"/>
      <c r="D9" s="197" t="s">
        <v>1353</v>
      </c>
      <c r="E9" s="91" t="s">
        <v>5859</v>
      </c>
      <c r="F9" s="91"/>
    </row>
    <row r="10" spans="1:7" s="294" customFormat="1" ht="12.75" customHeight="1" x14ac:dyDescent="0.2">
      <c r="A10" s="156" t="s">
        <v>5731</v>
      </c>
      <c r="B10" s="156"/>
      <c r="C10" s="156"/>
      <c r="D10" s="197" t="s">
        <v>1335</v>
      </c>
      <c r="E10" s="98" t="s">
        <v>5858</v>
      </c>
      <c r="F10" s="91"/>
    </row>
    <row r="11" spans="1:7" s="294" customFormat="1" ht="12.75" customHeight="1" x14ac:dyDescent="0.2">
      <c r="A11" s="156" t="s">
        <v>5732</v>
      </c>
      <c r="B11" s="156"/>
      <c r="C11" s="156"/>
      <c r="D11" s="197" t="s">
        <v>1354</v>
      </c>
      <c r="E11" s="92" t="s">
        <v>1220</v>
      </c>
      <c r="F11" s="91"/>
    </row>
    <row r="12" spans="1:7" s="294" customFormat="1" ht="12.75" customHeight="1" x14ac:dyDescent="0.2">
      <c r="A12" s="156"/>
      <c r="B12" s="156"/>
      <c r="C12" s="156"/>
      <c r="D12" s="197" t="s">
        <v>1355</v>
      </c>
      <c r="E12" s="94" t="s">
        <v>5860</v>
      </c>
      <c r="F12" s="91"/>
    </row>
    <row r="13" spans="1:7" s="294" customFormat="1" ht="12.75" customHeight="1" x14ac:dyDescent="0.2">
      <c r="A13" s="156"/>
      <c r="B13" s="156"/>
      <c r="C13" s="156"/>
      <c r="D13" s="156"/>
      <c r="E13" s="91"/>
      <c r="F13" s="156"/>
    </row>
    <row r="14" spans="1:7" s="294" customFormat="1" ht="12.75" customHeight="1" x14ac:dyDescent="0.2">
      <c r="A14" s="156"/>
      <c r="B14" s="156"/>
      <c r="C14" s="156"/>
      <c r="D14" s="156"/>
      <c r="E14" s="156"/>
      <c r="F14" s="156"/>
    </row>
    <row r="15" spans="1:7" s="295" customFormat="1" ht="12.75" customHeight="1" x14ac:dyDescent="0.2">
      <c r="A15" s="156"/>
      <c r="B15" s="156"/>
      <c r="C15" s="156"/>
      <c r="D15" s="156"/>
      <c r="E15" s="156"/>
      <c r="F15" s="156"/>
    </row>
    <row r="16" spans="1:7" s="295" customFormat="1" x14ac:dyDescent="0.2">
      <c r="A16" s="158" t="s">
        <v>129</v>
      </c>
      <c r="B16" s="158" t="s">
        <v>128</v>
      </c>
      <c r="C16" s="159" t="s">
        <v>19</v>
      </c>
      <c r="D16" s="157"/>
      <c r="E16" s="158"/>
      <c r="F16" s="161" t="s">
        <v>18</v>
      </c>
      <c r="G16" s="296"/>
    </row>
    <row r="17" spans="1:7" s="295" customFormat="1" ht="12.75" customHeight="1" x14ac:dyDescent="0.2">
      <c r="A17" s="297"/>
      <c r="B17" s="298"/>
      <c r="C17" s="299"/>
      <c r="D17" s="298"/>
      <c r="E17" s="300"/>
      <c r="F17" s="301"/>
      <c r="G17" s="296"/>
    </row>
    <row r="18" spans="1:7" s="294" customFormat="1" ht="12.75" customHeight="1" x14ac:dyDescent="0.2">
      <c r="A18" s="302"/>
      <c r="B18" s="177"/>
      <c r="C18" s="162" t="s">
        <v>5733</v>
      </c>
      <c r="D18" s="156"/>
      <c r="E18" s="156"/>
      <c r="F18" s="156"/>
      <c r="G18" s="303"/>
    </row>
    <row r="19" spans="1:7" s="294" customFormat="1" ht="12.75" customHeight="1" x14ac:dyDescent="0.2">
      <c r="A19" s="304"/>
      <c r="B19" s="225"/>
      <c r="C19" s="156"/>
      <c r="D19" s="156"/>
      <c r="E19" s="156"/>
      <c r="F19" s="156"/>
      <c r="G19" s="303"/>
    </row>
    <row r="20" spans="1:7" s="306" customFormat="1" ht="12.75" customHeight="1" x14ac:dyDescent="0.2">
      <c r="A20" s="305" t="s">
        <v>5788</v>
      </c>
      <c r="B20" s="305" t="s">
        <v>11</v>
      </c>
      <c r="C20" s="156" t="s">
        <v>5861</v>
      </c>
      <c r="D20" s="294"/>
      <c r="E20" s="294"/>
      <c r="F20" s="156">
        <v>58.8</v>
      </c>
    </row>
    <row r="21" spans="1:7" s="306" customFormat="1" ht="12.75" customHeight="1" x14ac:dyDescent="0.2">
      <c r="A21" s="304"/>
      <c r="B21" s="307"/>
      <c r="C21" s="156" t="s">
        <v>5862</v>
      </c>
      <c r="D21" s="156"/>
      <c r="E21" s="156"/>
      <c r="F21" s="156">
        <v>65.099999999999994</v>
      </c>
    </row>
    <row r="22" spans="1:7" s="294" customFormat="1" ht="12.75" customHeight="1" x14ac:dyDescent="0.2">
      <c r="A22" s="302"/>
      <c r="B22" s="177"/>
      <c r="C22" s="156" t="s">
        <v>5863</v>
      </c>
      <c r="D22" s="156"/>
      <c r="E22" s="156"/>
      <c r="F22" s="156"/>
      <c r="G22" s="303"/>
    </row>
    <row r="23" spans="1:7" s="294" customFormat="1" ht="12.75" customHeight="1" x14ac:dyDescent="0.2">
      <c r="A23" s="304"/>
      <c r="B23" s="225"/>
      <c r="C23" s="156"/>
      <c r="D23" s="156"/>
      <c r="E23" s="156"/>
      <c r="F23" s="156"/>
      <c r="G23" s="303"/>
    </row>
    <row r="24" spans="1:7" s="306" customFormat="1" ht="12.75" customHeight="1" x14ac:dyDescent="0.2">
      <c r="A24" s="305"/>
      <c r="B24" s="305"/>
      <c r="C24" s="156"/>
      <c r="D24" s="294"/>
      <c r="E24" s="294"/>
      <c r="F24" s="156"/>
    </row>
    <row r="25" spans="1:7" s="306" customFormat="1" ht="12.75" customHeight="1" x14ac:dyDescent="0.2">
      <c r="A25" s="302"/>
      <c r="B25" s="307"/>
      <c r="C25" s="162"/>
      <c r="F25" s="156"/>
    </row>
    <row r="26" spans="1:7" s="306" customFormat="1" ht="12.75" customHeight="1" x14ac:dyDescent="0.2">
      <c r="A26" s="302"/>
      <c r="B26" s="307"/>
      <c r="F26" s="156"/>
    </row>
    <row r="27" spans="1:7" s="306" customFormat="1" ht="12.75" customHeight="1" x14ac:dyDescent="0.2">
      <c r="A27" s="302"/>
      <c r="B27" s="308"/>
      <c r="C27" s="156"/>
      <c r="F27" s="156"/>
    </row>
    <row r="28" spans="1:7" s="310" customFormat="1" ht="12.75" customHeight="1" x14ac:dyDescent="0.2">
      <c r="A28" s="309"/>
      <c r="B28" s="307"/>
      <c r="C28" s="156"/>
      <c r="D28" s="294"/>
      <c r="E28" s="294"/>
      <c r="F28" s="156"/>
    </row>
    <row r="29" spans="1:7" s="310" customFormat="1" ht="12.75" customHeight="1" x14ac:dyDescent="0.2">
      <c r="A29" s="302"/>
      <c r="B29" s="307"/>
      <c r="C29" s="156"/>
      <c r="D29" s="306"/>
      <c r="E29" s="306"/>
      <c r="F29" s="156"/>
    </row>
    <row r="30" spans="1:7" ht="12.75" customHeight="1" x14ac:dyDescent="0.3">
      <c r="A30" s="302"/>
      <c r="B30" s="225"/>
      <c r="C30" s="156"/>
      <c r="D30" s="153"/>
      <c r="E30" s="153"/>
      <c r="F30" s="153"/>
    </row>
    <row r="31" spans="1:7" s="294" customFormat="1" ht="12.75" customHeight="1" x14ac:dyDescent="0.2">
      <c r="A31" s="311"/>
      <c r="B31" s="311"/>
      <c r="C31" s="156"/>
      <c r="D31" s="153"/>
      <c r="E31" s="153"/>
      <c r="F31" s="153"/>
      <c r="G31" s="303"/>
    </row>
    <row r="32" spans="1:7" s="294" customFormat="1" ht="12.75" customHeight="1" x14ac:dyDescent="0.2">
      <c r="A32" s="302"/>
      <c r="B32" s="225"/>
      <c r="C32" s="156"/>
      <c r="D32" s="156"/>
      <c r="E32" s="156"/>
      <c r="F32" s="156"/>
      <c r="G32" s="303"/>
    </row>
    <row r="33" spans="1:7" s="294" customFormat="1" ht="12.75" customHeight="1" x14ac:dyDescent="0.2">
      <c r="A33" s="309"/>
      <c r="B33" s="225"/>
      <c r="C33" s="156"/>
      <c r="D33" s="156"/>
      <c r="E33" s="156"/>
      <c r="F33" s="156"/>
      <c r="G33" s="303"/>
    </row>
    <row r="34" spans="1:7" s="294" customFormat="1" ht="15.75" customHeight="1" thickBot="1" x14ac:dyDescent="0.25">
      <c r="A34" s="312"/>
      <c r="B34" s="306"/>
      <c r="C34" s="306"/>
      <c r="D34" s="306"/>
      <c r="E34" s="306"/>
      <c r="F34" s="313">
        <f>SUM(F18:F33)</f>
        <v>123.89999999999999</v>
      </c>
      <c r="G34" s="303"/>
    </row>
    <row r="35" spans="1:7" s="294" customFormat="1" ht="12.75" customHeight="1" thickTop="1" x14ac:dyDescent="0.2">
      <c r="A35" s="312"/>
      <c r="B35" s="306"/>
      <c r="C35" s="306"/>
      <c r="D35" s="306"/>
      <c r="E35" s="306"/>
      <c r="F35" s="306"/>
      <c r="G35" s="303"/>
    </row>
    <row r="36" spans="1:7" ht="20.100000000000001" customHeight="1" x14ac:dyDescent="0.3">
      <c r="A36" s="171" t="s">
        <v>122</v>
      </c>
      <c r="B36" s="213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Hundred Twenty-Three and 90/100 -----------</v>
      </c>
      <c r="C36" s="314"/>
      <c r="D36" s="314"/>
      <c r="E36" s="314"/>
      <c r="F36" s="314"/>
    </row>
    <row r="37" spans="1:7" ht="12.75" customHeight="1" x14ac:dyDescent="0.3">
      <c r="A37" s="315"/>
    </row>
    <row r="38" spans="1:7" ht="27" customHeight="1" x14ac:dyDescent="0.3">
      <c r="A38" s="153" t="s">
        <v>10</v>
      </c>
      <c r="B38" s="153"/>
      <c r="C38" s="153"/>
      <c r="D38" s="242" t="s">
        <v>3975</v>
      </c>
      <c r="E38" s="243"/>
      <c r="F38" s="244"/>
    </row>
    <row r="39" spans="1:7" ht="12.75" customHeight="1" x14ac:dyDescent="0.3">
      <c r="A39" s="153"/>
      <c r="B39" s="153"/>
      <c r="C39" s="153"/>
      <c r="D39" s="153"/>
      <c r="E39" s="153"/>
      <c r="F39" s="153"/>
    </row>
    <row r="40" spans="1:7" ht="12.75" customHeight="1" x14ac:dyDescent="0.3">
      <c r="A40" s="153"/>
      <c r="B40" s="153"/>
      <c r="C40" s="153"/>
      <c r="D40" s="153"/>
      <c r="E40" s="153"/>
      <c r="F40" s="153"/>
    </row>
    <row r="41" spans="1:7" x14ac:dyDescent="0.3">
      <c r="A41" s="316"/>
      <c r="B41" s="153"/>
      <c r="C41" s="153"/>
      <c r="D41" s="258"/>
      <c r="E41" s="258"/>
      <c r="F41" s="258"/>
    </row>
    <row r="42" spans="1:7" x14ac:dyDescent="0.3">
      <c r="A42" s="317"/>
      <c r="B42" s="174"/>
      <c r="C42" s="153"/>
      <c r="D42" s="259"/>
      <c r="E42" s="260"/>
      <c r="F42" s="260"/>
    </row>
    <row r="43" spans="1:7" ht="12.75" customHeight="1" x14ac:dyDescent="0.3">
      <c r="A43" s="316"/>
      <c r="B43" s="316"/>
      <c r="C43" s="153"/>
      <c r="D43" s="153"/>
      <c r="E43" s="153"/>
      <c r="F43" s="176"/>
    </row>
    <row r="44" spans="1:7" ht="12.75" customHeight="1" x14ac:dyDescent="0.3">
      <c r="A44" s="316"/>
      <c r="B44" s="316"/>
      <c r="C44" s="153"/>
      <c r="D44" s="153"/>
      <c r="E44" s="153"/>
      <c r="F44" s="176"/>
    </row>
    <row r="45" spans="1:7" ht="12.75" customHeight="1" x14ac:dyDescent="0.3">
      <c r="A45" s="175" t="s">
        <v>8</v>
      </c>
      <c r="B45" s="153"/>
      <c r="C45" s="153"/>
      <c r="D45" s="153"/>
      <c r="E45" s="153"/>
      <c r="F45" s="153"/>
    </row>
    <row r="46" spans="1:7" ht="12.75" customHeight="1" x14ac:dyDescent="0.3">
      <c r="A46" s="316"/>
      <c r="B46" s="153"/>
      <c r="C46" s="153"/>
      <c r="D46" s="175" t="s">
        <v>7</v>
      </c>
      <c r="E46" s="153"/>
      <c r="F46" s="153"/>
    </row>
    <row r="47" spans="1:7" ht="12.75" customHeight="1" x14ac:dyDescent="0.3">
      <c r="A47" s="175"/>
      <c r="B47" s="153"/>
      <c r="C47" s="153"/>
      <c r="D47" s="153"/>
      <c r="E47" s="153"/>
      <c r="F47" s="153"/>
    </row>
    <row r="48" spans="1:7" ht="12.75" customHeight="1" x14ac:dyDescent="0.3">
      <c r="A48" s="175"/>
      <c r="B48" s="153"/>
      <c r="C48" s="153"/>
      <c r="D48" s="153"/>
      <c r="E48" s="153"/>
      <c r="F48" s="153"/>
    </row>
    <row r="49" spans="1:6" s="294" customFormat="1" ht="12.75" customHeight="1" x14ac:dyDescent="0.2">
      <c r="A49" s="175"/>
      <c r="B49" s="153"/>
      <c r="C49" s="153"/>
      <c r="D49" s="153"/>
      <c r="E49" s="156"/>
      <c r="F49" s="156"/>
    </row>
    <row r="50" spans="1:6" ht="12.75" customHeight="1" x14ac:dyDescent="0.3">
      <c r="A50" s="317"/>
      <c r="B50" s="174"/>
      <c r="C50" s="153"/>
      <c r="D50" s="174"/>
      <c r="E50" s="174"/>
      <c r="F50" s="174"/>
    </row>
    <row r="51" spans="1:6" ht="15" customHeight="1" x14ac:dyDescent="0.3">
      <c r="A51" s="175" t="s">
        <v>4066</v>
      </c>
      <c r="B51" s="177"/>
      <c r="C51" s="156"/>
      <c r="D51" s="156" t="s">
        <v>3</v>
      </c>
      <c r="E51" s="153"/>
      <c r="F51" s="153"/>
    </row>
    <row r="52" spans="1:6" ht="12.75" customHeight="1" x14ac:dyDescent="0.3">
      <c r="A52" s="175"/>
      <c r="B52" s="153"/>
      <c r="C52" s="153"/>
      <c r="D52" s="153" t="s">
        <v>2</v>
      </c>
      <c r="E52" s="153"/>
      <c r="F52" s="153"/>
    </row>
    <row r="53" spans="1:6" ht="12.75" customHeight="1" x14ac:dyDescent="0.3">
      <c r="A53" s="153"/>
      <c r="B53" s="153"/>
      <c r="C53" s="153"/>
      <c r="D53" s="153"/>
      <c r="E53" s="153"/>
      <c r="F53" s="153"/>
    </row>
    <row r="54" spans="1:6" ht="12.75" customHeight="1" x14ac:dyDescent="0.3">
      <c r="A54" s="153"/>
      <c r="B54" s="153"/>
      <c r="C54" s="153"/>
      <c r="D54" s="163" t="s">
        <v>1</v>
      </c>
      <c r="E54" s="153"/>
      <c r="F54" s="153"/>
    </row>
    <row r="55" spans="1:6" ht="12.75" customHeight="1" x14ac:dyDescent="0.3">
      <c r="A55" s="153"/>
      <c r="B55" s="153"/>
      <c r="C55" s="153"/>
      <c r="D55" s="163" t="s">
        <v>0</v>
      </c>
      <c r="E55" s="153"/>
      <c r="F55" s="153"/>
    </row>
    <row r="56" spans="1:6" ht="12.75" customHeight="1" x14ac:dyDescent="0.3">
      <c r="A56" s="153"/>
      <c r="B56" s="153"/>
      <c r="C56" s="153"/>
      <c r="D56" s="153"/>
      <c r="E56" s="153"/>
      <c r="F56" s="153"/>
    </row>
    <row r="57" spans="1:6" ht="12.75" customHeight="1" x14ac:dyDescent="0.3">
      <c r="A57" s="153"/>
      <c r="B57" s="153"/>
      <c r="C57" s="153"/>
      <c r="D57" s="153"/>
      <c r="E57" s="153"/>
      <c r="F57" s="153"/>
    </row>
    <row r="58" spans="1:6" x14ac:dyDescent="0.3">
      <c r="A58" s="153"/>
      <c r="B58" s="153"/>
      <c r="C58" s="153"/>
      <c r="D58" s="153"/>
      <c r="E58" s="153"/>
      <c r="F58" s="153"/>
    </row>
    <row r="59" spans="1:6" x14ac:dyDescent="0.3">
      <c r="A59" s="153"/>
      <c r="B59" s="153"/>
      <c r="C59" s="153"/>
      <c r="D59" s="153"/>
      <c r="E59" s="153"/>
      <c r="F59" s="15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30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3159</v>
      </c>
      <c r="D9" s="92" t="s">
        <v>1317</v>
      </c>
      <c r="E9" s="91" t="s">
        <v>3157</v>
      </c>
    </row>
    <row r="10" spans="1:6" x14ac:dyDescent="0.2">
      <c r="A10" s="91" t="s">
        <v>3160</v>
      </c>
      <c r="D10" s="92" t="s">
        <v>1329</v>
      </c>
      <c r="E10" s="92" t="s">
        <v>3155</v>
      </c>
    </row>
    <row r="11" spans="1:6" x14ac:dyDescent="0.2">
      <c r="A11" s="91" t="s">
        <v>3161</v>
      </c>
      <c r="D11" s="92" t="s">
        <v>1330</v>
      </c>
      <c r="E11" s="92" t="s">
        <v>1220</v>
      </c>
    </row>
    <row r="12" spans="1:6" x14ac:dyDescent="0.2">
      <c r="A12" s="91" t="s">
        <v>3162</v>
      </c>
      <c r="D12" s="92" t="s">
        <v>1331</v>
      </c>
      <c r="E12" s="92" t="s">
        <v>3158</v>
      </c>
    </row>
    <row r="13" spans="1:6" x14ac:dyDescent="0.2">
      <c r="A13" s="91" t="s">
        <v>3163</v>
      </c>
    </row>
    <row r="14" spans="1:6" x14ac:dyDescent="0.2">
      <c r="A14" s="91" t="s">
        <v>3164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2973</v>
      </c>
    </row>
    <row r="19" spans="1:6" x14ac:dyDescent="0.2">
      <c r="A19" s="106"/>
    </row>
    <row r="20" spans="1:6" x14ac:dyDescent="0.2">
      <c r="A20" s="93" t="s">
        <v>3165</v>
      </c>
      <c r="B20" s="93" t="s">
        <v>3166</v>
      </c>
      <c r="C20" s="91" t="s">
        <v>3167</v>
      </c>
      <c r="F20" s="91">
        <f>2.15*5000</f>
        <v>10750</v>
      </c>
    </row>
    <row r="21" spans="1:6" x14ac:dyDescent="0.2">
      <c r="A21" s="106"/>
    </row>
    <row r="22" spans="1:6" x14ac:dyDescent="0.2">
      <c r="A22" s="106"/>
      <c r="C22" s="91" t="s">
        <v>3169</v>
      </c>
      <c r="F22" s="91">
        <f>3000*0.75</f>
        <v>2250</v>
      </c>
    </row>
    <row r="23" spans="1:6" x14ac:dyDescent="0.2">
      <c r="A23" s="106"/>
    </row>
    <row r="24" spans="1:6" x14ac:dyDescent="0.2">
      <c r="C24" s="91" t="s">
        <v>3168</v>
      </c>
      <c r="F24" s="91">
        <v>258</v>
      </c>
    </row>
    <row r="25" spans="1:6" x14ac:dyDescent="0.2">
      <c r="A25" s="93"/>
      <c r="B25" s="93"/>
    </row>
    <row r="26" spans="1:6" x14ac:dyDescent="0.2">
      <c r="A26" s="1"/>
      <c r="B26" s="1"/>
      <c r="C26" s="91" t="s">
        <v>3170</v>
      </c>
      <c r="F26" s="91">
        <f>0.255*10000</f>
        <v>2550</v>
      </c>
    </row>
    <row r="27" spans="1:6" x14ac:dyDescent="0.2">
      <c r="A27" s="1"/>
      <c r="B27" s="1"/>
    </row>
    <row r="28" spans="1:6" x14ac:dyDescent="0.2">
      <c r="A28" s="1"/>
      <c r="B28" s="1"/>
      <c r="C28" s="91" t="s">
        <v>3171</v>
      </c>
      <c r="D28" s="1"/>
      <c r="E28" s="1"/>
      <c r="F28" s="91">
        <v>-150</v>
      </c>
    </row>
    <row r="29" spans="1:6" ht="13.5" thickBot="1" x14ac:dyDescent="0.25">
      <c r="A29" s="106"/>
      <c r="F29" s="107">
        <f>SUM(F19:F28)</f>
        <v>15658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3172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484">
    <pageSetUpPr fitToPage="1"/>
  </sheetPr>
  <dimension ref="A1:G57"/>
  <sheetViews>
    <sheetView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42578125" style="120" customWidth="1"/>
    <col min="3" max="3" width="19.85546875" style="120" customWidth="1"/>
    <col min="4" max="4" width="16.42578125" style="120" customWidth="1"/>
    <col min="5" max="5" width="8.140625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/>
      <c r="B9" s="61"/>
      <c r="C9" s="61"/>
      <c r="D9" s="113" t="s">
        <v>1353</v>
      </c>
      <c r="E9" s="61" t="s">
        <v>4721</v>
      </c>
      <c r="F9" s="91"/>
    </row>
    <row r="10" spans="1:7" s="38" customFormat="1" ht="12.75" customHeight="1" x14ac:dyDescent="0.2">
      <c r="A10" s="61" t="s">
        <v>4724</v>
      </c>
      <c r="B10" s="61"/>
      <c r="C10" s="61"/>
      <c r="D10" s="113" t="s">
        <v>1335</v>
      </c>
      <c r="E10" s="113" t="s">
        <v>4723</v>
      </c>
      <c r="F10" s="91"/>
    </row>
    <row r="11" spans="1:7" s="38" customFormat="1" ht="12.75" customHeight="1" x14ac:dyDescent="0.2">
      <c r="A11" s="61" t="s">
        <v>4725</v>
      </c>
      <c r="B11" s="61"/>
      <c r="C11" s="61"/>
      <c r="D11" s="113" t="s">
        <v>1354</v>
      </c>
      <c r="E11" s="113" t="s">
        <v>1220</v>
      </c>
      <c r="F11" s="91"/>
    </row>
    <row r="12" spans="1:7" s="38" customFormat="1" ht="12.75" customHeight="1" x14ac:dyDescent="0.2">
      <c r="A12" s="61" t="s">
        <v>4726</v>
      </c>
      <c r="B12" s="61"/>
      <c r="C12" s="61"/>
      <c r="D12" s="113" t="s">
        <v>1355</v>
      </c>
      <c r="E12" s="113" t="s">
        <v>4722</v>
      </c>
      <c r="F12" s="91"/>
    </row>
    <row r="13" spans="1:7" s="38" customFormat="1" ht="12.75" customHeight="1" x14ac:dyDescent="0.2">
      <c r="A13" s="61" t="s">
        <v>4727</v>
      </c>
      <c r="B13" s="61"/>
      <c r="C13" s="61"/>
      <c r="D13" s="61"/>
      <c r="E13" s="91"/>
      <c r="F13" s="61"/>
    </row>
    <row r="14" spans="1:7" s="38" customFormat="1" ht="12.75" customHeight="1" x14ac:dyDescent="0.2">
      <c r="A14" s="61" t="s">
        <v>1561</v>
      </c>
      <c r="B14" s="61"/>
      <c r="C14" s="61"/>
      <c r="D14" s="61"/>
      <c r="E14" s="61"/>
      <c r="F14" s="61"/>
    </row>
    <row r="15" spans="1:7" s="46" customFormat="1" ht="12.75" customHeight="1" x14ac:dyDescent="0.2">
      <c r="A15" s="61" t="s">
        <v>4728</v>
      </c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40" t="s">
        <v>4729</v>
      </c>
      <c r="B18" s="104" t="s">
        <v>4730</v>
      </c>
      <c r="C18" s="61" t="s">
        <v>4731</v>
      </c>
      <c r="D18" s="61"/>
      <c r="E18" s="61"/>
      <c r="F18" s="61">
        <v>940.57</v>
      </c>
      <c r="G18" s="55"/>
    </row>
    <row r="19" spans="1:7" s="38" customFormat="1" ht="12.75" customHeight="1" x14ac:dyDescent="0.2">
      <c r="A19" s="140"/>
      <c r="B19" s="190"/>
      <c r="C19" s="61" t="s">
        <v>2147</v>
      </c>
      <c r="D19" s="126"/>
      <c r="E19" s="126"/>
      <c r="F19" s="61">
        <f>F18*6%</f>
        <v>56.434200000000004</v>
      </c>
      <c r="G19" s="55"/>
    </row>
    <row r="20" spans="1:7" s="38" customFormat="1" ht="12.75" customHeight="1" x14ac:dyDescent="0.2">
      <c r="A20" s="118"/>
      <c r="B20" s="190"/>
      <c r="C20" s="61"/>
      <c r="F20" s="61"/>
      <c r="G20" s="55"/>
    </row>
    <row r="21" spans="1:7" s="126" customFormat="1" ht="12.75" customHeight="1" x14ac:dyDescent="0.2">
      <c r="A21" s="140"/>
      <c r="B21" s="190"/>
      <c r="C21" s="61"/>
      <c r="D21" s="61"/>
      <c r="E21" s="61"/>
      <c r="F21" s="61"/>
    </row>
    <row r="22" spans="1:7" s="126" customFormat="1" ht="12.75" customHeight="1" x14ac:dyDescent="0.2">
      <c r="A22" s="140"/>
      <c r="B22" s="190"/>
      <c r="C22" s="61"/>
      <c r="D22" s="61"/>
      <c r="E22" s="61"/>
      <c r="F22" s="61"/>
    </row>
    <row r="23" spans="1:7" s="126" customFormat="1" ht="12.75" customHeight="1" x14ac:dyDescent="0.2">
      <c r="A23" s="140"/>
      <c r="B23" s="190"/>
      <c r="C23" s="61"/>
      <c r="F23" s="61"/>
    </row>
    <row r="24" spans="1:7" s="126" customFormat="1" ht="12.75" customHeight="1" x14ac:dyDescent="0.2">
      <c r="A24" s="140"/>
      <c r="B24" s="190"/>
      <c r="C24" s="61"/>
      <c r="F24" s="61"/>
    </row>
    <row r="25" spans="1:7" s="126" customFormat="1" ht="12.75" customHeight="1" x14ac:dyDescent="0.2">
      <c r="A25" s="140"/>
      <c r="B25" s="190"/>
      <c r="C25" s="61"/>
      <c r="F25" s="61"/>
    </row>
    <row r="26" spans="1:7" s="126" customFormat="1" ht="12.75" customHeight="1" x14ac:dyDescent="0.2">
      <c r="A26" s="140"/>
      <c r="B26" s="190"/>
      <c r="C26" s="61"/>
      <c r="F26" s="61"/>
    </row>
    <row r="27" spans="1:7" s="120" customFormat="1" ht="12.75" customHeight="1" x14ac:dyDescent="0.2">
      <c r="A27" s="118"/>
      <c r="B27" s="190"/>
      <c r="C27" s="61"/>
      <c r="D27" s="126"/>
      <c r="E27" s="126"/>
      <c r="F27" s="61"/>
    </row>
    <row r="28" spans="1:7" s="120" customFormat="1" ht="12.75" customHeight="1" x14ac:dyDescent="0.2">
      <c r="A28" s="140"/>
      <c r="B28" s="190"/>
      <c r="C28" s="61"/>
      <c r="D28" s="61"/>
      <c r="E28" s="61"/>
      <c r="F28" s="61"/>
    </row>
    <row r="29" spans="1:7" ht="12.75" customHeight="1" x14ac:dyDescent="0.3">
      <c r="A29" s="140"/>
      <c r="B29" s="103"/>
      <c r="C29" s="61"/>
      <c r="D29" s="61"/>
      <c r="E29" s="61"/>
      <c r="F29" s="61"/>
    </row>
    <row r="30" spans="1:7" s="38" customFormat="1" ht="12.75" customHeight="1" x14ac:dyDescent="0.2">
      <c r="A30" s="52"/>
      <c r="B30" s="52"/>
      <c r="C30" s="61"/>
      <c r="D30" s="91"/>
      <c r="E30" s="91"/>
      <c r="F30" s="91"/>
      <c r="G30" s="55"/>
    </row>
    <row r="31" spans="1:7" s="38" customFormat="1" ht="12.75" customHeight="1" x14ac:dyDescent="0.2">
      <c r="A31" s="140"/>
      <c r="B31" s="103"/>
      <c r="C31" s="61"/>
      <c r="D31" s="61"/>
      <c r="E31" s="61"/>
      <c r="F31" s="61"/>
      <c r="G31" s="55"/>
    </row>
    <row r="32" spans="1:7" s="38" customFormat="1" ht="12.75" customHeight="1" x14ac:dyDescent="0.2">
      <c r="A32" s="118"/>
      <c r="B32" s="103"/>
      <c r="C32" s="61"/>
      <c r="D32" s="61"/>
      <c r="E32" s="61"/>
      <c r="F32" s="61"/>
      <c r="G32" s="55"/>
    </row>
    <row r="33" spans="1:7" s="38" customFormat="1" ht="15.75" customHeight="1" thickBot="1" x14ac:dyDescent="0.25">
      <c r="A33" s="131"/>
      <c r="B33" s="126"/>
      <c r="C33" s="126"/>
      <c r="D33" s="126"/>
      <c r="E33" s="126"/>
      <c r="F33" s="132">
        <f>SUM(F18:F32)</f>
        <v>997.00420000000008</v>
      </c>
      <c r="G33" s="55"/>
    </row>
    <row r="34" spans="1:7" s="38" customFormat="1" ht="12.75" customHeight="1" thickTop="1" x14ac:dyDescent="0.2">
      <c r="A34" s="131"/>
      <c r="B34" s="126"/>
      <c r="C34" s="126"/>
      <c r="D34" s="126"/>
      <c r="E34" s="126"/>
      <c r="F34" s="126"/>
      <c r="G34" s="55"/>
    </row>
    <row r="35" spans="1:7" ht="20.100000000000001" customHeight="1" x14ac:dyDescent="0.3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Nine Hundred Ninety-Seven and NO/100 -----------</v>
      </c>
      <c r="C35" s="121"/>
      <c r="D35" s="121"/>
      <c r="E35" s="121"/>
      <c r="F35" s="121"/>
    </row>
    <row r="36" spans="1:7" ht="12.75" customHeight="1" x14ac:dyDescent="0.3">
      <c r="A36" s="122"/>
    </row>
    <row r="37" spans="1:7" ht="27" customHeight="1" x14ac:dyDescent="0.3">
      <c r="A37" s="91" t="s">
        <v>10</v>
      </c>
      <c r="B37" s="91"/>
      <c r="C37" s="91"/>
      <c r="D37" s="218" t="s">
        <v>3975</v>
      </c>
      <c r="E37" s="219"/>
      <c r="F37" s="220"/>
    </row>
    <row r="38" spans="1:7" ht="12.75" customHeight="1" x14ac:dyDescent="0.3">
      <c r="A38" s="91"/>
      <c r="B38" s="91"/>
      <c r="C38" s="91"/>
      <c r="D38" s="91"/>
      <c r="E38" s="91"/>
      <c r="F38" s="91"/>
    </row>
    <row r="39" spans="1:7" ht="12.75" customHeight="1" x14ac:dyDescent="0.3">
      <c r="A39" s="91"/>
      <c r="B39" s="91"/>
      <c r="C39" s="91"/>
      <c r="D39" s="91"/>
      <c r="E39" s="91"/>
      <c r="F39" s="91"/>
    </row>
    <row r="40" spans="1:7" x14ac:dyDescent="0.3">
      <c r="A40" s="239"/>
      <c r="B40" s="91"/>
      <c r="C40" s="91"/>
      <c r="D40" s="227"/>
      <c r="E40" s="227"/>
      <c r="F40" s="227"/>
    </row>
    <row r="41" spans="1:7" ht="12.75" customHeight="1" x14ac:dyDescent="0.3">
      <c r="A41" s="100"/>
      <c r="B41" s="101"/>
      <c r="C41" s="91"/>
      <c r="D41" s="91"/>
      <c r="E41" s="91"/>
      <c r="F41" s="102"/>
    </row>
    <row r="42" spans="1:7" ht="12.75" customHeight="1" x14ac:dyDescent="0.3">
      <c r="A42" s="239"/>
      <c r="B42" s="239"/>
      <c r="C42" s="91"/>
      <c r="D42" s="91"/>
      <c r="E42" s="91"/>
      <c r="F42" s="102"/>
    </row>
    <row r="43" spans="1:7" ht="12.75" customHeight="1" x14ac:dyDescent="0.3">
      <c r="A43" s="98" t="s">
        <v>8</v>
      </c>
      <c r="B43" s="91"/>
      <c r="C43" s="91"/>
      <c r="D43" s="91"/>
      <c r="E43" s="91"/>
      <c r="F43" s="91"/>
    </row>
    <row r="44" spans="1:7" ht="12.75" customHeight="1" x14ac:dyDescent="0.3">
      <c r="A44" s="239"/>
      <c r="B44" s="91"/>
      <c r="C44" s="91"/>
      <c r="D44" s="98" t="s">
        <v>7</v>
      </c>
      <c r="E44" s="91"/>
      <c r="F44" s="91"/>
    </row>
    <row r="45" spans="1:7" ht="12.75" customHeight="1" x14ac:dyDescent="0.3">
      <c r="A45" s="98"/>
      <c r="B45" s="91"/>
      <c r="C45" s="91"/>
      <c r="D45" s="91"/>
      <c r="E45" s="91"/>
      <c r="F45" s="91"/>
    </row>
    <row r="46" spans="1:7" ht="12.75" customHeight="1" x14ac:dyDescent="0.3">
      <c r="A46" s="98"/>
      <c r="B46" s="91"/>
      <c r="C46" s="91"/>
      <c r="D46" s="91"/>
      <c r="E46" s="91"/>
      <c r="F46" s="91"/>
    </row>
    <row r="47" spans="1:7" s="38" customFormat="1" ht="12.75" customHeight="1" x14ac:dyDescent="0.2">
      <c r="A47" s="98"/>
      <c r="B47" s="91"/>
      <c r="C47" s="91"/>
      <c r="D47" s="91"/>
      <c r="E47" s="61"/>
      <c r="F47" s="61"/>
    </row>
    <row r="48" spans="1:7" ht="12.75" customHeight="1" x14ac:dyDescent="0.3">
      <c r="A48" s="100"/>
      <c r="B48" s="101"/>
      <c r="C48" s="91"/>
      <c r="D48" s="101"/>
      <c r="E48" s="101"/>
      <c r="F48" s="101"/>
    </row>
    <row r="49" spans="1:6" ht="15" customHeight="1" x14ac:dyDescent="0.3">
      <c r="A49" s="98" t="s">
        <v>4066</v>
      </c>
      <c r="B49" s="104"/>
      <c r="C49" s="61"/>
      <c r="D49" s="61" t="s">
        <v>3</v>
      </c>
      <c r="E49" s="91"/>
      <c r="F49" s="91"/>
    </row>
    <row r="50" spans="1:6" ht="12.75" customHeight="1" x14ac:dyDescent="0.3">
      <c r="A50" s="98"/>
      <c r="B50" s="91"/>
      <c r="C50" s="91"/>
      <c r="D50" s="91" t="s">
        <v>2</v>
      </c>
      <c r="E50" s="91"/>
      <c r="F50" s="91"/>
    </row>
    <row r="51" spans="1:6" ht="12.75" customHeight="1" x14ac:dyDescent="0.3">
      <c r="A51" s="91"/>
      <c r="B51" s="91"/>
      <c r="C51" s="91"/>
      <c r="D51" s="91"/>
      <c r="E51" s="91"/>
      <c r="F51" s="91"/>
    </row>
    <row r="52" spans="1:6" ht="12.75" customHeight="1" x14ac:dyDescent="0.3">
      <c r="A52" s="91"/>
      <c r="B52" s="91"/>
      <c r="C52" s="91"/>
      <c r="D52" s="2" t="s">
        <v>1</v>
      </c>
      <c r="E52" s="91"/>
      <c r="F52" s="91"/>
    </row>
    <row r="53" spans="1:6" ht="12.75" customHeight="1" x14ac:dyDescent="0.3">
      <c r="A53" s="91"/>
      <c r="B53" s="91"/>
      <c r="C53" s="91"/>
      <c r="D53" s="2" t="s">
        <v>0</v>
      </c>
      <c r="E53" s="91"/>
      <c r="F53" s="91"/>
    </row>
    <row r="54" spans="1:6" ht="12.75" customHeight="1" x14ac:dyDescent="0.3">
      <c r="A54" s="91"/>
      <c r="B54" s="91"/>
      <c r="C54" s="91"/>
      <c r="D54" s="91"/>
      <c r="E54" s="91"/>
      <c r="F54" s="91"/>
    </row>
    <row r="55" spans="1:6" ht="12.75" customHeight="1" x14ac:dyDescent="0.3">
      <c r="A55" s="91"/>
      <c r="B55" s="91"/>
      <c r="C55" s="91"/>
      <c r="D55" s="91"/>
      <c r="E55" s="91"/>
      <c r="F55" s="91"/>
    </row>
    <row r="56" spans="1:6" x14ac:dyDescent="0.3">
      <c r="A56" s="91"/>
      <c r="B56" s="91"/>
      <c r="C56" s="91"/>
      <c r="D56" s="91"/>
      <c r="E56" s="91"/>
      <c r="F56" s="91"/>
    </row>
    <row r="57" spans="1:6" x14ac:dyDescent="0.3">
      <c r="A57" s="91"/>
      <c r="B57" s="91"/>
      <c r="C57" s="91"/>
      <c r="D57" s="91"/>
      <c r="E57" s="91"/>
      <c r="F57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488"/>
  <dimension ref="A1:H66"/>
  <sheetViews>
    <sheetView view="pageBreakPreview" zoomScaleNormal="100" zoomScaleSheetLayoutView="100" workbookViewId="0">
      <selection activeCell="F19" sqref="F19"/>
    </sheetView>
  </sheetViews>
  <sheetFormatPr defaultRowHeight="12.75" x14ac:dyDescent="0.2"/>
  <cols>
    <col min="1" max="1" width="16" style="91" customWidth="1"/>
    <col min="2" max="2" width="14.42578125" style="91" customWidth="1"/>
    <col min="3" max="3" width="0.8554687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8181</v>
      </c>
    </row>
    <row r="10" spans="1:8" x14ac:dyDescent="0.2">
      <c r="A10" s="91" t="s">
        <v>1332</v>
      </c>
      <c r="F10" s="92" t="s">
        <v>1329</v>
      </c>
      <c r="G10" s="91" t="s">
        <v>8118</v>
      </c>
    </row>
    <row r="11" spans="1:8" x14ac:dyDescent="0.2">
      <c r="A11" s="91" t="s">
        <v>4803</v>
      </c>
      <c r="F11" s="92" t="s">
        <v>1330</v>
      </c>
      <c r="G11" s="91" t="s">
        <v>1220</v>
      </c>
    </row>
    <row r="12" spans="1:8" x14ac:dyDescent="0.2">
      <c r="A12" s="91" t="s">
        <v>1337</v>
      </c>
      <c r="F12" s="92" t="s">
        <v>1331</v>
      </c>
      <c r="G12" s="94" t="s">
        <v>8182</v>
      </c>
    </row>
    <row r="13" spans="1:8" x14ac:dyDescent="0.2">
      <c r="A13" s="91" t="s">
        <v>4804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476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8119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7802</v>
      </c>
      <c r="B20" s="93" t="s">
        <v>8120</v>
      </c>
      <c r="C20" s="93"/>
      <c r="D20" s="91" t="s">
        <v>8129</v>
      </c>
      <c r="H20" s="91">
        <v>10</v>
      </c>
    </row>
    <row r="21" spans="1:8" x14ac:dyDescent="0.2">
      <c r="A21" s="93"/>
      <c r="B21" s="94"/>
      <c r="C21" s="94"/>
      <c r="D21" s="91" t="s">
        <v>8121</v>
      </c>
      <c r="H21" s="91">
        <f>200*2</f>
        <v>400</v>
      </c>
    </row>
    <row r="22" spans="1:8" x14ac:dyDescent="0.2">
      <c r="A22" s="93"/>
      <c r="B22" s="99"/>
      <c r="C22" s="477"/>
    </row>
    <row r="23" spans="1:8" x14ac:dyDescent="0.2">
      <c r="A23" s="93" t="s">
        <v>7802</v>
      </c>
      <c r="B23" s="93" t="s">
        <v>8122</v>
      </c>
      <c r="D23" s="91" t="s">
        <v>8123</v>
      </c>
      <c r="H23" s="91">
        <v>400</v>
      </c>
    </row>
    <row r="25" spans="1:8" x14ac:dyDescent="0.2">
      <c r="A25" s="137" t="s">
        <v>7980</v>
      </c>
      <c r="B25" s="93" t="s">
        <v>8124</v>
      </c>
      <c r="C25" s="477"/>
      <c r="D25" s="91" t="s">
        <v>8126</v>
      </c>
      <c r="H25" s="91">
        <f>10*200</f>
        <v>2000</v>
      </c>
    </row>
    <row r="26" spans="1:8" x14ac:dyDescent="0.2">
      <c r="D26" s="91" t="s">
        <v>8125</v>
      </c>
      <c r="H26" s="91">
        <f>7*200</f>
        <v>1400</v>
      </c>
    </row>
    <row r="27" spans="1:8" x14ac:dyDescent="0.2">
      <c r="D27" s="2"/>
      <c r="E27" s="2"/>
    </row>
    <row r="28" spans="1:8" x14ac:dyDescent="0.2">
      <c r="D28" s="91" t="s">
        <v>8127</v>
      </c>
      <c r="E28" s="2"/>
      <c r="H28" s="91">
        <f>10*200</f>
        <v>2000</v>
      </c>
    </row>
    <row r="29" spans="1:8" x14ac:dyDescent="0.2">
      <c r="D29" s="91" t="s">
        <v>8125</v>
      </c>
      <c r="E29" s="2"/>
      <c r="H29" s="91">
        <f>8*200</f>
        <v>1600</v>
      </c>
    </row>
    <row r="30" spans="1:8" x14ac:dyDescent="0.2">
      <c r="D30" s="91" t="s">
        <v>8128</v>
      </c>
      <c r="E30" s="2"/>
      <c r="H30" s="91">
        <f>10</f>
        <v>10</v>
      </c>
    </row>
    <row r="31" spans="1:8" x14ac:dyDescent="0.2">
      <c r="D31" s="91" t="s">
        <v>8143</v>
      </c>
      <c r="E31" s="2"/>
      <c r="H31" s="91">
        <f>SUM(H25+H28)*10%</f>
        <v>400</v>
      </c>
    </row>
    <row r="32" spans="1:8" x14ac:dyDescent="0.2">
      <c r="D32" s="2"/>
      <c r="E32" s="2"/>
    </row>
    <row r="33" spans="1:8" x14ac:dyDescent="0.2">
      <c r="D33" s="2" t="s">
        <v>8130</v>
      </c>
      <c r="E33" s="2"/>
    </row>
    <row r="34" spans="1:8" x14ac:dyDescent="0.2">
      <c r="D34" s="2"/>
      <c r="E34" s="2"/>
    </row>
    <row r="35" spans="1:8" x14ac:dyDescent="0.2">
      <c r="A35" s="93" t="s">
        <v>7980</v>
      </c>
      <c r="B35" s="93" t="s">
        <v>8131</v>
      </c>
      <c r="C35" s="93"/>
      <c r="D35" s="91" t="s">
        <v>8132</v>
      </c>
      <c r="H35" s="91">
        <f>240*10</f>
        <v>2400</v>
      </c>
    </row>
    <row r="36" spans="1:8" x14ac:dyDescent="0.2">
      <c r="A36" s="93"/>
      <c r="B36" s="99"/>
      <c r="C36" s="477"/>
      <c r="D36" s="91" t="s">
        <v>8133</v>
      </c>
      <c r="H36" s="91">
        <f>240*7</f>
        <v>1680</v>
      </c>
    </row>
    <row r="37" spans="1:8" x14ac:dyDescent="0.2">
      <c r="A37" s="93"/>
      <c r="B37" s="477"/>
      <c r="C37" s="477"/>
    </row>
    <row r="38" spans="1:8" x14ac:dyDescent="0.2">
      <c r="A38" s="93"/>
      <c r="B38" s="477"/>
      <c r="C38" s="477"/>
      <c r="D38" s="91" t="s">
        <v>8134</v>
      </c>
      <c r="H38" s="91">
        <f>60*10</f>
        <v>600</v>
      </c>
    </row>
    <row r="39" spans="1:8" x14ac:dyDescent="0.2">
      <c r="A39" s="93"/>
      <c r="B39" s="99"/>
      <c r="C39" s="477"/>
      <c r="D39" s="91" t="s">
        <v>8135</v>
      </c>
      <c r="H39" s="91">
        <f>9*60</f>
        <v>540</v>
      </c>
    </row>
    <row r="40" spans="1:8" x14ac:dyDescent="0.2">
      <c r="A40" s="99"/>
      <c r="D40" s="91" t="s">
        <v>8141</v>
      </c>
      <c r="H40" s="91">
        <v>50</v>
      </c>
    </row>
    <row r="41" spans="1:8" x14ac:dyDescent="0.2">
      <c r="A41" s="477"/>
      <c r="D41" s="91" t="s">
        <v>8143</v>
      </c>
      <c r="H41" s="91">
        <f>SUM(H35+H38)*10%</f>
        <v>300</v>
      </c>
    </row>
    <row r="42" spans="1:8" x14ac:dyDescent="0.2">
      <c r="A42" s="477"/>
    </row>
    <row r="43" spans="1:8" x14ac:dyDescent="0.2">
      <c r="A43" s="93" t="s">
        <v>8136</v>
      </c>
      <c r="B43" s="93" t="s">
        <v>8137</v>
      </c>
      <c r="D43" s="91" t="s">
        <v>8138</v>
      </c>
      <c r="H43" s="91">
        <f>240*2</f>
        <v>480</v>
      </c>
    </row>
    <row r="44" spans="1:8" x14ac:dyDescent="0.2">
      <c r="A44" s="477"/>
    </row>
    <row r="45" spans="1:8" x14ac:dyDescent="0.2">
      <c r="A45" s="93" t="s">
        <v>8139</v>
      </c>
      <c r="B45" s="93" t="s">
        <v>8140</v>
      </c>
      <c r="D45" s="91" t="s">
        <v>8142</v>
      </c>
      <c r="H45" s="91">
        <f>60*2</f>
        <v>120</v>
      </c>
    </row>
    <row r="46" spans="1:8" x14ac:dyDescent="0.2">
      <c r="A46" s="7"/>
      <c r="B46" s="1"/>
      <c r="C46" s="1"/>
      <c r="D46" s="1"/>
      <c r="E46" s="1"/>
      <c r="F46" s="1"/>
      <c r="G46" s="1"/>
      <c r="H46" s="1"/>
    </row>
    <row r="47" spans="1:8" ht="13.5" thickBot="1" x14ac:dyDescent="0.25">
      <c r="A47" s="106"/>
      <c r="H47" s="107">
        <f>SUM(H19:H45)</f>
        <v>14390</v>
      </c>
    </row>
    <row r="48" spans="1:8" ht="13.5" thickTop="1" x14ac:dyDescent="0.2">
      <c r="A48" s="106"/>
    </row>
    <row r="49" spans="1:8" ht="20.100000000000001" customHeight="1" x14ac:dyDescent="0.2">
      <c r="A49" s="96" t="s">
        <v>1248</v>
      </c>
      <c r="B49" s="185" t="str">
        <f>IF(OR(H47&gt;1000000,H47&lt;=0),"",IF(H47&lt;1000,"",IF(MOD(H47,1000000)&gt;=100000,INDEX(numbers,TRUNC(MOD(H47,1000000)/100000,0)+1)&amp;" Hundred","")&amp;IF(MOD(H47,100000)&gt;=20000," "&amp;INDEX(tens,TRUNC(MOD(H47,100000)/10000,0)+1)&amp;IF(MOD(MOD(H47,100000),10000)&gt;=1000,"-"&amp;INDEX(numbers,TRUNC(MOD(MOD(H47,100000),10000)/1000,0)+1),""),IF(MOD(H47,100000)&gt;=1000," "&amp;INDEX(numbers,TRUNC(MOD(H47,100000)/1000,0)+1),""))&amp;" Thousand") &amp; IF(H47&lt;1,"Zero Dollars",IF(MOD(H47,1000)&gt;=100," "&amp;INDEX(numbers,TRUNC(MOD(H47,1000)/100,0)+1)&amp;" Hundred","")&amp;IF(MOD(H47,100)&gt;=20," "&amp;INDEX(tens,TRUNC(MOD(H47,100)/10,0)+1)&amp;IF(MOD(MOD(H47,100),10)&gt;=1,"-"&amp;INDEX(numbers,TRUNC(MOD(MOD(H47,100),10),0)+1),""),IF(MOD(H47,100)&gt;=1," "&amp;INDEX(numbers,TRUNC(MOD(H47,100),0)+1),""))&amp;"") &amp; " and " &amp; IF(MOD(H47,1)&lt;0.005,"NO",ROUND(MOD(H47,1)*100,0)) &amp; "/100 -----------")</f>
        <v xml:space="preserve"> Fourteen Thousand Three Hundred Ninety and NO/100 -----------</v>
      </c>
      <c r="C49" s="185"/>
      <c r="D49" s="97"/>
      <c r="E49" s="97"/>
      <c r="F49" s="206"/>
      <c r="G49" s="206"/>
      <c r="H49" s="206"/>
    </row>
    <row r="50" spans="1:8" x14ac:dyDescent="0.2">
      <c r="A50" s="94"/>
    </row>
    <row r="51" spans="1:8" ht="25.5" x14ac:dyDescent="0.2">
      <c r="A51" s="91" t="s">
        <v>10</v>
      </c>
      <c r="F51" s="218" t="s">
        <v>3975</v>
      </c>
      <c r="G51" s="219"/>
      <c r="H51" s="220"/>
    </row>
    <row r="52" spans="1:8" x14ac:dyDescent="0.2">
      <c r="F52" s="227"/>
      <c r="G52" s="227"/>
      <c r="H52" s="227"/>
    </row>
    <row r="53" spans="1:8" x14ac:dyDescent="0.2">
      <c r="F53" s="228"/>
      <c r="G53" s="229"/>
      <c r="H53" s="229"/>
    </row>
    <row r="54" spans="1:8" x14ac:dyDescent="0.2">
      <c r="A54" s="1"/>
    </row>
    <row r="55" spans="1:8" x14ac:dyDescent="0.2">
      <c r="A55" s="101"/>
      <c r="B55" s="101"/>
      <c r="C55" s="386"/>
    </row>
    <row r="57" spans="1:8" x14ac:dyDescent="0.2">
      <c r="A57" s="91" t="s">
        <v>8</v>
      </c>
      <c r="D57" s="91" t="s">
        <v>8</v>
      </c>
      <c r="F57" s="98" t="s">
        <v>7</v>
      </c>
      <c r="H57" s="102"/>
    </row>
    <row r="61" spans="1:8" x14ac:dyDescent="0.2">
      <c r="A61" s="101" t="s">
        <v>120</v>
      </c>
      <c r="B61" s="101"/>
      <c r="C61" s="386"/>
      <c r="D61" s="101" t="s">
        <v>120</v>
      </c>
      <c r="F61" s="101"/>
      <c r="G61" s="101"/>
      <c r="H61" s="101"/>
    </row>
    <row r="62" spans="1:8" s="3" customFormat="1" ht="17.100000000000001" customHeight="1" x14ac:dyDescent="0.2">
      <c r="A62" s="61" t="s">
        <v>4066</v>
      </c>
      <c r="B62" s="104"/>
      <c r="C62" s="104"/>
      <c r="D62" s="61" t="s">
        <v>50</v>
      </c>
      <c r="E62" s="61"/>
      <c r="F62" s="61" t="s">
        <v>3</v>
      </c>
      <c r="G62" s="61"/>
      <c r="H62" s="61"/>
    </row>
    <row r="63" spans="1:8" x14ac:dyDescent="0.2">
      <c r="F63" s="91" t="s">
        <v>2</v>
      </c>
    </row>
    <row r="65" spans="6:6" x14ac:dyDescent="0.2">
      <c r="F65" s="2" t="s">
        <v>1</v>
      </c>
    </row>
    <row r="66" spans="6:6" x14ac:dyDescent="0.2">
      <c r="F66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0" orientation="portrait" r:id="rId2"/>
  <headerFooter alignWithMargins="0"/>
  <rowBreaks count="1" manualBreakCount="1">
    <brk id="50" max="7" man="1"/>
  </row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566"/>
  <dimension ref="A1:S54"/>
  <sheetViews>
    <sheetView view="pageBreakPreview" topLeftCell="A16"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7109375" style="91" customWidth="1"/>
    <col min="4" max="4" width="21" style="91" customWidth="1"/>
    <col min="5" max="5" width="0.42578125" style="91" customWidth="1"/>
    <col min="6" max="6" width="16.42578125" style="91" customWidth="1"/>
    <col min="7" max="7" width="9" style="91" customWidth="1"/>
    <col min="8" max="8" width="13.28515625" style="91" customWidth="1"/>
    <col min="9" max="16" width="9.140625" style="1"/>
    <col min="17" max="17" width="10.42578125" style="1" customWidth="1"/>
    <col min="18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5597</v>
      </c>
    </row>
    <row r="10" spans="1:8" x14ac:dyDescent="0.2">
      <c r="A10" s="91" t="s">
        <v>5599</v>
      </c>
      <c r="F10" s="92" t="s">
        <v>1329</v>
      </c>
      <c r="G10" s="92" t="s">
        <v>5577</v>
      </c>
    </row>
    <row r="11" spans="1:8" x14ac:dyDescent="0.2">
      <c r="A11" s="91" t="s">
        <v>5600</v>
      </c>
      <c r="F11" s="92" t="s">
        <v>1330</v>
      </c>
      <c r="G11" s="92" t="s">
        <v>1220</v>
      </c>
    </row>
    <row r="12" spans="1:8" x14ac:dyDescent="0.2">
      <c r="A12" s="91" t="s">
        <v>5601</v>
      </c>
      <c r="F12" s="92" t="s">
        <v>1331</v>
      </c>
      <c r="G12" s="92" t="s">
        <v>5598</v>
      </c>
    </row>
    <row r="13" spans="1:8" x14ac:dyDescent="0.2">
      <c r="A13" s="91" t="s">
        <v>5602</v>
      </c>
    </row>
    <row r="14" spans="1:8" x14ac:dyDescent="0.2">
      <c r="A14" s="91" t="s">
        <v>5603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9" x14ac:dyDescent="0.2">
      <c r="A17" s="106"/>
      <c r="L17" s="93"/>
      <c r="M17" s="93"/>
      <c r="N17" s="91"/>
      <c r="O17" s="91"/>
      <c r="P17" s="91"/>
      <c r="Q17" s="91"/>
    </row>
    <row r="18" spans="1:19" x14ac:dyDescent="0.2">
      <c r="D18" s="2" t="s">
        <v>4580</v>
      </c>
      <c r="E18" s="2"/>
      <c r="L18" s="93"/>
      <c r="M18" s="93"/>
      <c r="N18" s="91"/>
      <c r="O18" s="91"/>
      <c r="P18" s="91"/>
      <c r="Q18" s="91"/>
    </row>
    <row r="19" spans="1:19" x14ac:dyDescent="0.2">
      <c r="A19" s="106"/>
      <c r="D19" s="2"/>
      <c r="E19" s="2"/>
      <c r="L19" s="93"/>
      <c r="M19" s="93"/>
      <c r="N19" s="91"/>
      <c r="O19" s="91"/>
      <c r="P19" s="91"/>
      <c r="Q19" s="91"/>
    </row>
    <row r="20" spans="1:19" x14ac:dyDescent="0.2">
      <c r="A20" s="93" t="s">
        <v>5604</v>
      </c>
      <c r="B20" s="93" t="s">
        <v>5605</v>
      </c>
      <c r="C20" s="93"/>
      <c r="D20" s="91" t="s">
        <v>5606</v>
      </c>
      <c r="H20" s="91">
        <v>21000</v>
      </c>
      <c r="L20" s="93"/>
      <c r="M20" s="93"/>
      <c r="N20" s="91"/>
      <c r="O20" s="91"/>
      <c r="P20" s="91"/>
      <c r="Q20" s="91"/>
    </row>
    <row r="21" spans="1:19" x14ac:dyDescent="0.2">
      <c r="A21" s="93"/>
      <c r="B21" s="93"/>
      <c r="C21" s="93"/>
      <c r="D21" s="91" t="s">
        <v>2147</v>
      </c>
      <c r="H21" s="91">
        <f>H20*6%</f>
        <v>1260</v>
      </c>
      <c r="L21" s="137"/>
      <c r="M21" s="93"/>
      <c r="N21" s="91"/>
      <c r="O21" s="91"/>
      <c r="P21" s="91"/>
      <c r="Q21" s="91"/>
    </row>
    <row r="22" spans="1:19" x14ac:dyDescent="0.2">
      <c r="A22" s="93"/>
      <c r="B22" s="93"/>
      <c r="C22" s="93"/>
      <c r="L22" s="137"/>
      <c r="M22" s="93"/>
      <c r="N22" s="91"/>
      <c r="O22" s="91"/>
      <c r="P22" s="91"/>
      <c r="Q22" s="91"/>
    </row>
    <row r="23" spans="1:19" x14ac:dyDescent="0.2">
      <c r="A23" s="92" t="s">
        <v>5607</v>
      </c>
      <c r="B23" s="93"/>
      <c r="C23" s="93"/>
      <c r="D23" s="91" t="s">
        <v>1571</v>
      </c>
      <c r="H23" s="91">
        <v>10500</v>
      </c>
      <c r="L23" s="137"/>
      <c r="M23" s="93"/>
      <c r="N23" s="91"/>
      <c r="O23" s="91"/>
      <c r="P23" s="91"/>
      <c r="Q23" s="91"/>
    </row>
    <row r="24" spans="1:19" x14ac:dyDescent="0.2">
      <c r="A24" s="93"/>
      <c r="B24" s="93"/>
      <c r="C24" s="93"/>
      <c r="L24" s="91"/>
    </row>
    <row r="25" spans="1:19" x14ac:dyDescent="0.2">
      <c r="A25" s="93"/>
      <c r="B25" s="93"/>
      <c r="C25" s="93"/>
      <c r="L25" s="91"/>
    </row>
    <row r="26" spans="1:19" x14ac:dyDescent="0.2">
      <c r="A26" s="93"/>
      <c r="B26" s="93"/>
      <c r="C26" s="93"/>
      <c r="L26" s="91"/>
    </row>
    <row r="27" spans="1:19" x14ac:dyDescent="0.2">
      <c r="A27" s="93"/>
      <c r="B27" s="93"/>
      <c r="C27" s="93"/>
      <c r="L27" s="93"/>
      <c r="M27" s="93"/>
      <c r="N27" s="93"/>
      <c r="O27" s="91"/>
      <c r="P27" s="91"/>
      <c r="Q27" s="91"/>
      <c r="R27" s="91"/>
      <c r="S27" s="91"/>
    </row>
    <row r="28" spans="1:19" x14ac:dyDescent="0.2">
      <c r="A28" s="93"/>
      <c r="B28" s="93"/>
    </row>
    <row r="29" spans="1:19" x14ac:dyDescent="0.2">
      <c r="A29" s="93"/>
      <c r="B29" s="93"/>
    </row>
    <row r="30" spans="1:19" x14ac:dyDescent="0.2">
      <c r="A30" s="93"/>
      <c r="B30" s="93"/>
      <c r="C30" s="93"/>
    </row>
    <row r="31" spans="1:19" x14ac:dyDescent="0.2">
      <c r="A31" s="93"/>
      <c r="B31" s="99"/>
    </row>
    <row r="32" spans="1:19" x14ac:dyDescent="0.2">
      <c r="A32" s="93"/>
      <c r="B32" s="99"/>
    </row>
    <row r="33" spans="1:8" x14ac:dyDescent="0.2">
      <c r="A33" s="93"/>
      <c r="B33" s="99"/>
    </row>
    <row r="34" spans="1:8" x14ac:dyDescent="0.2">
      <c r="A34" s="7"/>
      <c r="B34" s="1"/>
      <c r="C34" s="1"/>
      <c r="D34" s="1"/>
      <c r="E34" s="1"/>
      <c r="F34" s="1"/>
      <c r="G34" s="1"/>
      <c r="H34" s="1"/>
    </row>
    <row r="35" spans="1:8" ht="13.5" thickBot="1" x14ac:dyDescent="0.25">
      <c r="A35" s="106"/>
      <c r="H35" s="107">
        <f>SUM(H19:H34)</f>
        <v>32760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Thirty-Two Thousand Seven Hundred Sixty and NO/100 -----------</v>
      </c>
      <c r="C37" s="185"/>
      <c r="D37" s="97"/>
      <c r="E37" s="97"/>
      <c r="F37" s="206"/>
      <c r="G37" s="206"/>
      <c r="H37" s="206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F40" s="227"/>
      <c r="G40" s="227"/>
      <c r="H40" s="227"/>
    </row>
    <row r="41" spans="1:8" x14ac:dyDescent="0.2">
      <c r="F41" s="228"/>
      <c r="G41" s="229"/>
      <c r="H41" s="229"/>
    </row>
    <row r="42" spans="1:8" x14ac:dyDescent="0.2">
      <c r="A42" s="1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590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5815</v>
      </c>
      <c r="G9" s="61"/>
    </row>
    <row r="10" spans="1:7" x14ac:dyDescent="0.2">
      <c r="A10" s="91" t="s">
        <v>5817</v>
      </c>
      <c r="D10" s="92" t="s">
        <v>1335</v>
      </c>
      <c r="E10" s="92" t="s">
        <v>5812</v>
      </c>
      <c r="G10" s="113"/>
    </row>
    <row r="11" spans="1:7" x14ac:dyDescent="0.2">
      <c r="A11" s="91" t="s">
        <v>5613</v>
      </c>
      <c r="D11" s="92" t="s">
        <v>1333</v>
      </c>
      <c r="E11" s="92" t="s">
        <v>1220</v>
      </c>
      <c r="G11" s="113"/>
    </row>
    <row r="12" spans="1:7" x14ac:dyDescent="0.2">
      <c r="A12" s="91" t="s">
        <v>5818</v>
      </c>
      <c r="D12" s="92" t="s">
        <v>1331</v>
      </c>
      <c r="E12" s="94" t="s">
        <v>5816</v>
      </c>
      <c r="G12" s="113"/>
    </row>
    <row r="13" spans="1:7" x14ac:dyDescent="0.2">
      <c r="A13" s="91" t="s">
        <v>5819</v>
      </c>
    </row>
    <row r="14" spans="1:7" x14ac:dyDescent="0.2">
      <c r="A14" s="91" t="s">
        <v>5820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5821</v>
      </c>
    </row>
    <row r="19" spans="1:6" x14ac:dyDescent="0.2">
      <c r="C19" s="2" t="s">
        <v>5822</v>
      </c>
    </row>
    <row r="20" spans="1:6" x14ac:dyDescent="0.2">
      <c r="A20" s="93"/>
      <c r="B20" s="111"/>
    </row>
    <row r="21" spans="1:6" x14ac:dyDescent="0.2">
      <c r="A21" s="93" t="s">
        <v>5734</v>
      </c>
      <c r="B21" s="93" t="s">
        <v>5823</v>
      </c>
      <c r="C21" s="91" t="s">
        <v>5824</v>
      </c>
      <c r="F21" s="110">
        <v>1080</v>
      </c>
    </row>
    <row r="24" spans="1:6" x14ac:dyDescent="0.2">
      <c r="A24" s="80"/>
      <c r="B24" s="80"/>
    </row>
    <row r="25" spans="1:6" x14ac:dyDescent="0.2">
      <c r="F25" s="110"/>
    </row>
    <row r="29" spans="1:6" x14ac:dyDescent="0.2">
      <c r="A29" s="93"/>
      <c r="B29" s="111"/>
      <c r="C29" s="2"/>
    </row>
    <row r="31" spans="1:6" x14ac:dyDescent="0.2">
      <c r="F31" s="110"/>
    </row>
    <row r="34" spans="1:6" x14ac:dyDescent="0.2">
      <c r="A34" s="93"/>
      <c r="B34" s="111"/>
    </row>
    <row r="35" spans="1:6" ht="13.5" thickBot="1" x14ac:dyDescent="0.25">
      <c r="F35" s="95">
        <f>SUM(F18:F33)</f>
        <v>1080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Eighty and NO/100 -----------</v>
      </c>
      <c r="C37" s="97"/>
      <c r="D37" s="97"/>
      <c r="E37" s="97"/>
      <c r="F37" s="9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2" spans="1:6" x14ac:dyDescent="0.2">
      <c r="D42" s="227"/>
      <c r="E42" s="227"/>
      <c r="F42" s="227"/>
    </row>
    <row r="43" spans="1:6" x14ac:dyDescent="0.2">
      <c r="A43" s="101"/>
      <c r="B43" s="101"/>
      <c r="D43" s="228"/>
      <c r="E43" s="229"/>
      <c r="F43" s="229"/>
    </row>
    <row r="44" spans="1:6" x14ac:dyDescent="0.2">
      <c r="A44" s="1"/>
      <c r="D44" s="98" t="s">
        <v>7</v>
      </c>
      <c r="F44" s="102"/>
    </row>
    <row r="45" spans="1:6" x14ac:dyDescent="0.2">
      <c r="A45" s="98" t="s">
        <v>8</v>
      </c>
      <c r="D45" s="98"/>
      <c r="F45" s="102"/>
    </row>
    <row r="49" spans="1:6" x14ac:dyDescent="0.2">
      <c r="A49" s="101" t="s">
        <v>120</v>
      </c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654">
    <pageSetUpPr fitToPage="1"/>
  </sheetPr>
  <dimension ref="A1:M53"/>
  <sheetViews>
    <sheetView topLeftCell="A4"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9" width="9.140625" style="152"/>
    <col min="10" max="10" width="9.42578125" style="152" bestFit="1" customWidth="1"/>
    <col min="11" max="11" width="9.140625" style="152"/>
    <col min="12" max="12" width="10.42578125" style="152" bestFit="1" customWidth="1"/>
    <col min="13" max="16384" width="9.140625" style="152"/>
  </cols>
  <sheetData>
    <row r="1" spans="1:13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3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3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3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3" x14ac:dyDescent="0.2">
      <c r="A8" s="153" t="s">
        <v>32</v>
      </c>
      <c r="F8" s="154" t="s">
        <v>31</v>
      </c>
      <c r="J8" s="152" t="s">
        <v>6789</v>
      </c>
      <c r="K8" s="152">
        <v>43343</v>
      </c>
      <c r="M8" s="152" t="s">
        <v>6790</v>
      </c>
    </row>
    <row r="9" spans="1:13" x14ac:dyDescent="0.2">
      <c r="A9" s="153" t="s">
        <v>6442</v>
      </c>
      <c r="F9" s="155" t="s">
        <v>1317</v>
      </c>
      <c r="G9" s="91" t="s">
        <v>6789</v>
      </c>
    </row>
    <row r="10" spans="1:13" x14ac:dyDescent="0.2">
      <c r="A10" s="153" t="s">
        <v>6443</v>
      </c>
      <c r="F10" s="155" t="s">
        <v>1329</v>
      </c>
      <c r="G10" s="92" t="s">
        <v>6791</v>
      </c>
    </row>
    <row r="11" spans="1:13" x14ac:dyDescent="0.2">
      <c r="A11" s="153" t="s">
        <v>6444</v>
      </c>
      <c r="F11" s="155" t="s">
        <v>1330</v>
      </c>
      <c r="G11" s="92" t="s">
        <v>1220</v>
      </c>
    </row>
    <row r="12" spans="1:13" x14ac:dyDescent="0.2">
      <c r="A12" s="153" t="s">
        <v>6445</v>
      </c>
      <c r="F12" s="155" t="s">
        <v>1331</v>
      </c>
      <c r="G12" s="94" t="s">
        <v>6790</v>
      </c>
    </row>
    <row r="13" spans="1:13" x14ac:dyDescent="0.2">
      <c r="A13" s="153" t="s">
        <v>1570</v>
      </c>
    </row>
    <row r="14" spans="1:13" x14ac:dyDescent="0.2">
      <c r="A14" s="153" t="s">
        <v>6446</v>
      </c>
    </row>
    <row r="16" spans="1:13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291"/>
      <c r="B18" s="285"/>
      <c r="C18" s="168"/>
      <c r="D18" s="163" t="s">
        <v>6447</v>
      </c>
      <c r="E18" s="163"/>
    </row>
    <row r="19" spans="1:8" x14ac:dyDescent="0.2">
      <c r="A19" s="164"/>
      <c r="E19" s="163"/>
    </row>
    <row r="20" spans="1:8" x14ac:dyDescent="0.2">
      <c r="A20" s="168" t="s">
        <v>6792</v>
      </c>
      <c r="B20" s="168" t="s">
        <v>6793</v>
      </c>
      <c r="D20" s="153" t="s">
        <v>6795</v>
      </c>
      <c r="H20" s="153">
        <v>718.92</v>
      </c>
    </row>
    <row r="21" spans="1:8" x14ac:dyDescent="0.2">
      <c r="A21" s="164"/>
      <c r="B21" s="181" t="s">
        <v>6794</v>
      </c>
      <c r="D21" s="153" t="s">
        <v>6796</v>
      </c>
    </row>
    <row r="22" spans="1:8" x14ac:dyDescent="0.2">
      <c r="A22" s="164"/>
      <c r="D22" s="153" t="s">
        <v>2147</v>
      </c>
      <c r="H22" s="153">
        <v>1.55</v>
      </c>
    </row>
    <row r="23" spans="1:8" x14ac:dyDescent="0.2">
      <c r="A23" s="168"/>
      <c r="B23" s="173"/>
      <c r="E23" s="163"/>
    </row>
    <row r="24" spans="1:8" x14ac:dyDescent="0.2">
      <c r="A24" s="166"/>
      <c r="B24" s="168"/>
      <c r="C24" s="168"/>
    </row>
    <row r="25" spans="1:8" x14ac:dyDescent="0.2">
      <c r="A25" s="164"/>
    </row>
    <row r="26" spans="1:8" x14ac:dyDescent="0.2">
      <c r="A26" s="164"/>
    </row>
    <row r="27" spans="1:8" x14ac:dyDescent="0.2">
      <c r="A27" s="168"/>
      <c r="D27" s="163"/>
      <c r="E27" s="163"/>
    </row>
    <row r="29" spans="1:8" x14ac:dyDescent="0.2">
      <c r="A29" s="168"/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720.46999999999991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 Hundred Twenty and 47/100 -----------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6" t="s">
        <v>10</v>
      </c>
      <c r="D37" s="156"/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5DC7-EF20-4CF7-B3D2-98E55B1CC19E}">
  <sheetPr codeName="Sheet655">
    <pageSetUpPr fitToPage="1"/>
  </sheetPr>
  <dimension ref="A1:H53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9" width="9.140625" style="152"/>
    <col min="10" max="10" width="9.42578125" style="152" bestFit="1" customWidth="1"/>
    <col min="11" max="11" width="9.140625" style="152"/>
    <col min="12" max="12" width="10.42578125" style="152" bestFit="1" customWidth="1"/>
    <col min="13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F9" s="155" t="s">
        <v>1317</v>
      </c>
      <c r="G9" s="91" t="s">
        <v>6540</v>
      </c>
    </row>
    <row r="10" spans="1:8" x14ac:dyDescent="0.2">
      <c r="A10" s="153" t="s">
        <v>6483</v>
      </c>
      <c r="F10" s="155" t="s">
        <v>1329</v>
      </c>
      <c r="G10" s="92" t="s">
        <v>6541</v>
      </c>
    </row>
    <row r="11" spans="1:8" x14ac:dyDescent="0.2">
      <c r="A11" s="153" t="s">
        <v>6484</v>
      </c>
      <c r="F11" s="155" t="s">
        <v>1330</v>
      </c>
      <c r="G11" s="92" t="s">
        <v>1220</v>
      </c>
    </row>
    <row r="12" spans="1:8" x14ac:dyDescent="0.2">
      <c r="A12" s="153" t="s">
        <v>6485</v>
      </c>
      <c r="F12" s="155" t="s">
        <v>1331</v>
      </c>
      <c r="G12" s="94" t="s">
        <v>770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291"/>
      <c r="B18" s="285"/>
      <c r="C18" s="168"/>
      <c r="D18" s="163" t="s">
        <v>6486</v>
      </c>
      <c r="E18" s="163"/>
    </row>
    <row r="19" spans="1:8" x14ac:dyDescent="0.2">
      <c r="A19" s="164"/>
      <c r="E19" s="163"/>
    </row>
    <row r="20" spans="1:8" x14ac:dyDescent="0.2">
      <c r="A20" s="168" t="s">
        <v>6538</v>
      </c>
      <c r="B20" s="264" t="s">
        <v>6542</v>
      </c>
      <c r="D20" s="153" t="s">
        <v>6543</v>
      </c>
      <c r="H20" s="153">
        <f>19258*4.0133</f>
        <v>77288.131399999998</v>
      </c>
    </row>
    <row r="21" spans="1:8" x14ac:dyDescent="0.2">
      <c r="A21" s="164"/>
      <c r="D21" s="153" t="s">
        <v>6487</v>
      </c>
    </row>
    <row r="22" spans="1:8" x14ac:dyDescent="0.2">
      <c r="A22" s="164"/>
      <c r="D22" s="153" t="s">
        <v>6488</v>
      </c>
    </row>
    <row r="23" spans="1:8" x14ac:dyDescent="0.2">
      <c r="A23" s="168"/>
      <c r="B23" s="173"/>
      <c r="D23" s="153" t="s">
        <v>6489</v>
      </c>
      <c r="E23" s="163"/>
    </row>
    <row r="24" spans="1:8" x14ac:dyDescent="0.2">
      <c r="A24" s="166"/>
      <c r="B24" s="168"/>
      <c r="C24" s="168"/>
    </row>
    <row r="25" spans="1:8" x14ac:dyDescent="0.2">
      <c r="A25" s="164"/>
      <c r="D25" s="153" t="s">
        <v>6544</v>
      </c>
    </row>
    <row r="26" spans="1:8" x14ac:dyDescent="0.2">
      <c r="A26" s="164"/>
    </row>
    <row r="27" spans="1:8" x14ac:dyDescent="0.2">
      <c r="A27" s="168"/>
      <c r="D27" s="153" t="s">
        <v>52</v>
      </c>
      <c r="E27" s="163"/>
      <c r="H27" s="153">
        <v>30</v>
      </c>
    </row>
    <row r="29" spans="1:8" x14ac:dyDescent="0.2">
      <c r="A29" s="168"/>
      <c r="D29" s="153" t="s">
        <v>2147</v>
      </c>
      <c r="H29" s="153">
        <v>1.8</v>
      </c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77319.931400000001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Seventy-Seven Thousand Three Hundred Nineteen and 93/100 -----------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6" t="s">
        <v>10</v>
      </c>
      <c r="D37" s="156"/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26E1-21B9-4235-9607-68E6DA5006DF}">
  <sheetPr codeName="Sheet656"/>
  <dimension ref="A1:S119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1.28515625" style="91" customWidth="1"/>
    <col min="4" max="4" width="22.42578125" style="91" customWidth="1"/>
    <col min="5" max="5" width="1.7109375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6" spans="1:19" x14ac:dyDescent="0.2">
      <c r="J6" s="91" t="s">
        <v>8537</v>
      </c>
      <c r="K6" s="91">
        <v>43860</v>
      </c>
      <c r="L6" s="91" t="s">
        <v>8538</v>
      </c>
    </row>
    <row r="7" spans="1:19" x14ac:dyDescent="0.2">
      <c r="J7" s="91" t="s">
        <v>7978</v>
      </c>
      <c r="K7" s="91">
        <v>43769</v>
      </c>
      <c r="M7" s="91" t="s">
        <v>7979</v>
      </c>
    </row>
    <row r="8" spans="1:19" x14ac:dyDescent="0.2">
      <c r="A8" s="91" t="s">
        <v>32</v>
      </c>
      <c r="F8" s="22" t="s">
        <v>31</v>
      </c>
      <c r="J8" s="91" t="s">
        <v>6811</v>
      </c>
      <c r="K8" s="91">
        <v>43343</v>
      </c>
      <c r="M8" s="91" t="s">
        <v>6812</v>
      </c>
    </row>
    <row r="9" spans="1:19" x14ac:dyDescent="0.2">
      <c r="A9" s="91" t="s">
        <v>6490</v>
      </c>
      <c r="F9" s="92" t="s">
        <v>1434</v>
      </c>
      <c r="G9" s="91" t="s">
        <v>8720</v>
      </c>
      <c r="J9" s="1" t="s">
        <v>6875</v>
      </c>
      <c r="K9" s="1">
        <v>43373</v>
      </c>
      <c r="L9" s="1"/>
      <c r="M9" s="1" t="s">
        <v>6876</v>
      </c>
      <c r="N9" s="1"/>
    </row>
    <row r="10" spans="1:19" x14ac:dyDescent="0.2">
      <c r="A10" s="91" t="s">
        <v>6491</v>
      </c>
      <c r="F10" s="92" t="s">
        <v>1433</v>
      </c>
      <c r="G10" s="92" t="s">
        <v>8686</v>
      </c>
      <c r="J10" s="91" t="s">
        <v>7003</v>
      </c>
      <c r="K10" s="91">
        <v>43409</v>
      </c>
      <c r="M10" s="91" t="s">
        <v>7004</v>
      </c>
    </row>
    <row r="11" spans="1:19" x14ac:dyDescent="0.2">
      <c r="A11" s="91" t="s">
        <v>6492</v>
      </c>
      <c r="F11" s="92" t="s">
        <v>1431</v>
      </c>
      <c r="G11" s="92" t="s">
        <v>1220</v>
      </c>
    </row>
    <row r="12" spans="1:19" x14ac:dyDescent="0.2">
      <c r="A12" s="91" t="s">
        <v>1314</v>
      </c>
      <c r="F12" s="92" t="s">
        <v>1316</v>
      </c>
      <c r="G12" s="92" t="s">
        <v>8721</v>
      </c>
      <c r="J12" s="91" t="s">
        <v>7289</v>
      </c>
      <c r="K12" s="91">
        <v>43524</v>
      </c>
      <c r="M12" s="91" t="s">
        <v>7288</v>
      </c>
    </row>
    <row r="13" spans="1:19" x14ac:dyDescent="0.2">
      <c r="A13" s="91" t="s">
        <v>6493</v>
      </c>
      <c r="G13" s="91" t="s">
        <v>7762</v>
      </c>
      <c r="J13" s="91" t="s">
        <v>7212</v>
      </c>
      <c r="K13" s="93">
        <v>43495</v>
      </c>
      <c r="L13" s="99"/>
      <c r="M13" s="99" t="s">
        <v>7213</v>
      </c>
      <c r="N13" s="2"/>
      <c r="O13" s="2"/>
    </row>
    <row r="14" spans="1:19" x14ac:dyDescent="0.2">
      <c r="J14" s="91" t="s">
        <v>7932</v>
      </c>
      <c r="K14" s="91">
        <v>43746</v>
      </c>
      <c r="M14" s="2" t="s">
        <v>7933</v>
      </c>
    </row>
    <row r="15" spans="1:19" x14ac:dyDescent="0.2">
      <c r="J15" s="91" t="s">
        <v>8334</v>
      </c>
      <c r="K15" s="91">
        <v>43830</v>
      </c>
      <c r="L15" s="91" t="s">
        <v>8335</v>
      </c>
    </row>
    <row r="16" spans="1:19" s="14" customFormat="1" ht="20.100000000000001" customHeight="1" x14ac:dyDescent="0.2">
      <c r="A16" s="17" t="s">
        <v>1429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  <c r="Q16" s="91"/>
      <c r="R16" s="91"/>
      <c r="S16" s="91"/>
    </row>
    <row r="18" spans="1:15" x14ac:dyDescent="0.2">
      <c r="D18" s="288" t="s">
        <v>6494</v>
      </c>
    </row>
    <row r="19" spans="1:15" x14ac:dyDescent="0.2">
      <c r="A19" s="93"/>
      <c r="D19" s="99"/>
      <c r="J19" s="91" t="s">
        <v>8720</v>
      </c>
      <c r="K19" s="91">
        <v>43890</v>
      </c>
      <c r="L19" s="91" t="s">
        <v>8721</v>
      </c>
    </row>
    <row r="20" spans="1:15" x14ac:dyDescent="0.2">
      <c r="A20" s="93" t="s">
        <v>8722</v>
      </c>
      <c r="B20" s="93" t="s">
        <v>8723</v>
      </c>
      <c r="D20" s="98" t="s">
        <v>8724</v>
      </c>
    </row>
    <row r="21" spans="1:15" x14ac:dyDescent="0.2">
      <c r="A21" s="93"/>
      <c r="D21" s="98" t="s">
        <v>8725</v>
      </c>
      <c r="H21" s="91">
        <v>2800</v>
      </c>
    </row>
    <row r="22" spans="1:15" x14ac:dyDescent="0.2">
      <c r="A22" s="93"/>
      <c r="D22" s="98"/>
    </row>
    <row r="25" spans="1:15" x14ac:dyDescent="0.2">
      <c r="A25" s="93"/>
      <c r="B25" s="93"/>
      <c r="C25" s="99"/>
    </row>
    <row r="26" spans="1:15" x14ac:dyDescent="0.2">
      <c r="A26" s="93"/>
      <c r="B26" s="99"/>
      <c r="C26" s="99"/>
      <c r="M26" s="93"/>
    </row>
    <row r="28" spans="1:15" x14ac:dyDescent="0.2">
      <c r="A28" s="93"/>
      <c r="B28" s="93"/>
      <c r="D28" s="94"/>
      <c r="N28" s="99"/>
      <c r="O28" s="2"/>
    </row>
    <row r="29" spans="1:15" x14ac:dyDescent="0.2">
      <c r="C29" s="99"/>
      <c r="L29" s="93"/>
      <c r="M29" s="99"/>
      <c r="N29" s="99"/>
    </row>
    <row r="30" spans="1:15" x14ac:dyDescent="0.2">
      <c r="A30" s="93"/>
      <c r="B30" s="99"/>
      <c r="C30" s="99"/>
      <c r="L30" s="93"/>
      <c r="M30" s="99"/>
      <c r="N30" s="99"/>
    </row>
    <row r="31" spans="1:15" x14ac:dyDescent="0.2">
      <c r="A31" s="93"/>
      <c r="B31" s="93"/>
      <c r="C31" s="99"/>
      <c r="L31" s="93"/>
      <c r="M31" s="99"/>
      <c r="N31" s="99"/>
    </row>
    <row r="32" spans="1:15" x14ac:dyDescent="0.2">
      <c r="A32" s="93"/>
      <c r="B32" s="99"/>
      <c r="C32" s="99"/>
      <c r="L32" s="93"/>
      <c r="M32" s="99"/>
      <c r="N32" s="99"/>
    </row>
    <row r="33" spans="1:15" x14ac:dyDescent="0.2">
      <c r="A33" s="93"/>
      <c r="B33" s="99"/>
      <c r="C33" s="99"/>
      <c r="O33" s="143"/>
    </row>
    <row r="34" spans="1:15" hidden="1" x14ac:dyDescent="0.2">
      <c r="A34" s="93"/>
      <c r="B34" s="99"/>
      <c r="C34" s="99"/>
      <c r="D34" s="2"/>
    </row>
    <row r="35" spans="1:15" hidden="1" x14ac:dyDescent="0.2">
      <c r="E35" s="2"/>
      <c r="K35" s="93"/>
    </row>
    <row r="36" spans="1:15" hidden="1" x14ac:dyDescent="0.2">
      <c r="A36" s="93"/>
      <c r="B36" s="99"/>
      <c r="C36" s="99"/>
    </row>
    <row r="37" spans="1:15" hidden="1" x14ac:dyDescent="0.2">
      <c r="A37" s="93"/>
      <c r="B37" s="99"/>
      <c r="C37" s="99"/>
    </row>
    <row r="38" spans="1:15" hidden="1" x14ac:dyDescent="0.2">
      <c r="A38" s="93"/>
      <c r="B38" s="99"/>
      <c r="C38" s="99"/>
    </row>
    <row r="39" spans="1:15" hidden="1" x14ac:dyDescent="0.2">
      <c r="A39" s="93"/>
      <c r="B39" s="99"/>
      <c r="C39" s="99"/>
    </row>
    <row r="40" spans="1:15" hidden="1" x14ac:dyDescent="0.2">
      <c r="A40" s="93"/>
      <c r="B40" s="99"/>
      <c r="C40" s="99"/>
    </row>
    <row r="41" spans="1:15" hidden="1" x14ac:dyDescent="0.2">
      <c r="A41" s="93"/>
      <c r="B41" s="99"/>
      <c r="C41" s="99"/>
    </row>
    <row r="42" spans="1:15" hidden="1" x14ac:dyDescent="0.2">
      <c r="A42" s="93"/>
      <c r="B42" s="99"/>
      <c r="C42" s="99"/>
    </row>
    <row r="43" spans="1:15" hidden="1" x14ac:dyDescent="0.2">
      <c r="A43" s="93"/>
      <c r="B43" s="99"/>
      <c r="C43" s="99"/>
      <c r="K43" s="93"/>
      <c r="L43" s="99"/>
      <c r="M43" s="99"/>
    </row>
    <row r="44" spans="1:15" hidden="1" x14ac:dyDescent="0.2">
      <c r="A44" s="93"/>
      <c r="B44" s="99"/>
      <c r="C44" s="99"/>
      <c r="K44" s="93"/>
      <c r="L44" s="99"/>
      <c r="M44" s="99"/>
    </row>
    <row r="46" spans="1:15" ht="13.5" thickBot="1" x14ac:dyDescent="0.25">
      <c r="H46" s="95">
        <f>SUM(H19:H45)</f>
        <v>2800</v>
      </c>
    </row>
    <row r="47" spans="1:15" ht="13.5" thickTop="1" x14ac:dyDescent="0.2">
      <c r="K47" s="93"/>
      <c r="L47" s="99"/>
      <c r="M47" s="99"/>
    </row>
    <row r="48" spans="1:15" ht="20.100000000000001" customHeight="1" x14ac:dyDescent="0.2">
      <c r="A48" s="96" t="s">
        <v>336</v>
      </c>
      <c r="B48" s="185" t="str">
        <f>IF(OR(H46&gt;1000000,H46&lt;=0),"",IF(H46&lt;1000,"",IF(MOD(H46,1000000)&gt;=100000,INDEX(numbers,TRUNC(MOD(H46,1000000)/100000,0)+1)&amp;" Hundred","")&amp;IF(MOD(H46,100000)&gt;=20000," "&amp;INDEX(tens,TRUNC(MOD(H46,100000)/10000,0)+1)&amp;IF(MOD(MOD(H46,100000),10000)&gt;=1000,"-"&amp;INDEX(numbers,TRUNC(MOD(MOD(H46,100000),10000)/1000,0)+1),""),IF(MOD(H46,100000)&gt;=1000," "&amp;INDEX(numbers,TRUNC(MOD(H46,100000)/1000,0)+1),""))&amp;" Thousand") &amp; IF(H46&lt;1,"Zero Dollars",IF(MOD(H46,1000)&gt;=100," "&amp;INDEX(numbers,TRUNC(MOD(H46,1000)/100,0)+1)&amp;" Hundred","")&amp;IF(MOD(H46,100)&gt;=20," "&amp;INDEX(tens,TRUNC(MOD(H46,100)/10,0)+1)&amp;IF(MOD(MOD(H46,100),10)&gt;=1,"-"&amp;INDEX(numbers,TRUNC(MOD(MOD(H46,100),10),0)+1),""),IF(MOD(H46,100)&gt;=1," "&amp;INDEX(numbers,TRUNC(MOD(H46,100),0)+1),""))&amp;"") &amp; " and " &amp; IF(MOD(H46,1)&lt;0.005,"NO",ROUND(MOD(H46,1)*100,0)) &amp; "/100 -----------")</f>
        <v xml:space="preserve"> Two Thousand Eight Hundred and NO/100 -----------</v>
      </c>
      <c r="C48" s="185"/>
      <c r="D48" s="97"/>
      <c r="E48" s="97"/>
      <c r="F48" s="97"/>
      <c r="G48" s="97"/>
      <c r="H48" s="97"/>
      <c r="K48" s="93"/>
      <c r="L48" s="99"/>
      <c r="M48" s="99"/>
      <c r="N48" s="2"/>
      <c r="O48" s="2"/>
    </row>
    <row r="49" spans="1:18" x14ac:dyDescent="0.2">
      <c r="A49" s="94" t="s">
        <v>11</v>
      </c>
    </row>
    <row r="50" spans="1:18" ht="25.5" x14ac:dyDescent="0.2">
      <c r="A50" s="61" t="s">
        <v>10</v>
      </c>
      <c r="D50" s="98"/>
      <c r="F50" s="218" t="s">
        <v>3975</v>
      </c>
      <c r="G50" s="219"/>
      <c r="H50" s="220"/>
      <c r="K50" s="93"/>
      <c r="L50" s="99"/>
      <c r="M50" s="99"/>
    </row>
    <row r="53" spans="1:18" x14ac:dyDescent="0.2">
      <c r="A53" s="91" t="s">
        <v>121</v>
      </c>
      <c r="E53" s="99"/>
      <c r="K53" s="93"/>
      <c r="L53" s="99"/>
      <c r="M53" s="99"/>
    </row>
    <row r="54" spans="1:18" x14ac:dyDescent="0.2">
      <c r="A54" s="101"/>
      <c r="B54" s="101"/>
    </row>
    <row r="55" spans="1:18" x14ac:dyDescent="0.2">
      <c r="D55" s="103"/>
      <c r="K55" s="93"/>
      <c r="L55" s="93"/>
      <c r="M55" s="99"/>
    </row>
    <row r="56" spans="1:18" x14ac:dyDescent="0.2">
      <c r="K56" s="93"/>
      <c r="L56" s="99"/>
      <c r="M56" s="99"/>
    </row>
    <row r="57" spans="1:18" x14ac:dyDescent="0.2">
      <c r="A57" s="98" t="s">
        <v>8</v>
      </c>
      <c r="D57" s="98" t="s">
        <v>8</v>
      </c>
      <c r="F57" s="98" t="s">
        <v>7</v>
      </c>
      <c r="H57" s="102"/>
      <c r="K57" s="93"/>
      <c r="L57" s="99"/>
      <c r="M57" s="99"/>
    </row>
    <row r="58" spans="1:18" x14ac:dyDescent="0.2">
      <c r="K58" s="93"/>
      <c r="L58" s="99"/>
      <c r="M58" s="99"/>
    </row>
    <row r="59" spans="1:18" x14ac:dyDescent="0.2">
      <c r="K59" s="93"/>
      <c r="L59" s="93"/>
      <c r="M59" s="99"/>
    </row>
    <row r="60" spans="1:18" x14ac:dyDescent="0.2">
      <c r="K60" s="93"/>
      <c r="L60" s="99"/>
      <c r="M60" s="99"/>
    </row>
    <row r="61" spans="1:18" x14ac:dyDescent="0.2">
      <c r="A61" s="101" t="s">
        <v>120</v>
      </c>
      <c r="B61" s="101"/>
      <c r="D61" s="101" t="s">
        <v>120</v>
      </c>
      <c r="F61" s="101"/>
      <c r="G61" s="101"/>
      <c r="H61" s="101"/>
      <c r="K61" s="93"/>
      <c r="L61" s="99"/>
      <c r="M61" s="99"/>
    </row>
    <row r="62" spans="1:18" s="61" customFormat="1" ht="17.100000000000001" customHeight="1" x14ac:dyDescent="0.2">
      <c r="A62" s="103" t="s">
        <v>4066</v>
      </c>
      <c r="B62" s="104"/>
      <c r="C62" s="104"/>
      <c r="D62" s="103" t="s">
        <v>50</v>
      </c>
      <c r="F62" s="61" t="s">
        <v>3</v>
      </c>
      <c r="K62" s="93"/>
      <c r="L62" s="99"/>
      <c r="M62" s="99"/>
      <c r="N62" s="91"/>
      <c r="O62" s="91"/>
      <c r="P62" s="91"/>
      <c r="Q62" s="91"/>
      <c r="R62" s="91"/>
    </row>
    <row r="63" spans="1:18" x14ac:dyDescent="0.2">
      <c r="F63" s="91" t="s">
        <v>2</v>
      </c>
      <c r="K63" s="93"/>
      <c r="L63" s="99"/>
      <c r="M63" s="99"/>
    </row>
    <row r="65" spans="6:14" x14ac:dyDescent="0.2">
      <c r="F65" s="2" t="s">
        <v>1</v>
      </c>
      <c r="M65" s="99"/>
      <c r="N65" s="2"/>
    </row>
    <row r="66" spans="6:14" x14ac:dyDescent="0.2">
      <c r="F66" s="2" t="s">
        <v>0</v>
      </c>
      <c r="K66" s="93"/>
      <c r="L66" s="99"/>
      <c r="M66" s="99"/>
    </row>
    <row r="67" spans="6:14" x14ac:dyDescent="0.2">
      <c r="K67" s="93"/>
      <c r="L67" s="99"/>
      <c r="M67" s="99"/>
    </row>
    <row r="68" spans="6:14" x14ac:dyDescent="0.2">
      <c r="K68" s="93"/>
      <c r="L68" s="99"/>
      <c r="M68" s="99"/>
    </row>
    <row r="69" spans="6:14" x14ac:dyDescent="0.2">
      <c r="K69" s="93"/>
      <c r="L69" s="99"/>
      <c r="M69" s="99"/>
    </row>
    <row r="70" spans="6:14" x14ac:dyDescent="0.2">
      <c r="N70" s="143"/>
    </row>
    <row r="71" spans="6:14" x14ac:dyDescent="0.2">
      <c r="K71" s="93"/>
      <c r="L71" s="99"/>
      <c r="M71" s="99"/>
    </row>
    <row r="72" spans="6:14" x14ac:dyDescent="0.2">
      <c r="K72" s="93"/>
      <c r="L72" s="99"/>
      <c r="M72" s="99"/>
    </row>
    <row r="73" spans="6:14" x14ac:dyDescent="0.2">
      <c r="K73" s="93"/>
      <c r="L73" s="99"/>
      <c r="M73" s="99"/>
    </row>
    <row r="76" spans="6:14" x14ac:dyDescent="0.2">
      <c r="K76" s="93"/>
      <c r="L76" s="99"/>
      <c r="M76" s="99"/>
    </row>
    <row r="77" spans="6:14" x14ac:dyDescent="0.2">
      <c r="K77" s="93"/>
      <c r="L77" s="99"/>
      <c r="M77" s="99"/>
    </row>
    <row r="78" spans="6:14" x14ac:dyDescent="0.2">
      <c r="N78" s="2"/>
    </row>
    <row r="92" spans="14:14" x14ac:dyDescent="0.2">
      <c r="N92" s="94"/>
    </row>
    <row r="97" spans="11:14" x14ac:dyDescent="0.2">
      <c r="N97" s="94"/>
    </row>
    <row r="100" spans="11:14" x14ac:dyDescent="0.2">
      <c r="N100" s="2"/>
    </row>
    <row r="102" spans="11:14" x14ac:dyDescent="0.2">
      <c r="M102" s="99"/>
      <c r="N102" s="2"/>
    </row>
    <row r="103" spans="11:14" x14ac:dyDescent="0.2">
      <c r="K103" s="93"/>
      <c r="L103" s="93"/>
      <c r="M103" s="99"/>
    </row>
    <row r="104" spans="11:14" x14ac:dyDescent="0.2">
      <c r="K104" s="93"/>
      <c r="L104" s="93"/>
      <c r="M104" s="99"/>
    </row>
    <row r="105" spans="11:14" x14ac:dyDescent="0.2">
      <c r="K105" s="93"/>
      <c r="L105" s="99"/>
      <c r="M105" s="99"/>
      <c r="N105" s="94"/>
    </row>
    <row r="106" spans="11:14" x14ac:dyDescent="0.2">
      <c r="K106" s="93"/>
      <c r="L106" s="99"/>
      <c r="M106" s="99"/>
    </row>
    <row r="109" spans="11:14" x14ac:dyDescent="0.2">
      <c r="K109" s="93"/>
      <c r="L109" s="93"/>
      <c r="M109" s="99"/>
      <c r="N109" s="2"/>
    </row>
    <row r="112" spans="11:14" x14ac:dyDescent="0.2">
      <c r="N112" s="94"/>
    </row>
    <row r="119" spans="14:14" x14ac:dyDescent="0.2">
      <c r="N119" s="94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EEF9-B556-46E9-AE9F-921B70085FB4}">
  <sheetPr codeName="Sheet690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155" t="s">
        <v>7030</v>
      </c>
    </row>
    <row r="10" spans="1:6" x14ac:dyDescent="0.2">
      <c r="A10" s="91" t="s">
        <v>7031</v>
      </c>
      <c r="D10" s="92" t="s">
        <v>1329</v>
      </c>
      <c r="E10" s="155" t="s">
        <v>7007</v>
      </c>
    </row>
    <row r="11" spans="1:6" x14ac:dyDescent="0.2">
      <c r="A11" s="91" t="s">
        <v>7032</v>
      </c>
      <c r="D11" s="92" t="s">
        <v>1330</v>
      </c>
      <c r="E11" s="155" t="s">
        <v>1220</v>
      </c>
    </row>
    <row r="12" spans="1:6" x14ac:dyDescent="0.2">
      <c r="A12" s="91" t="s">
        <v>7033</v>
      </c>
      <c r="D12" s="92" t="s">
        <v>1331</v>
      </c>
      <c r="E12" s="94" t="s">
        <v>7012</v>
      </c>
    </row>
    <row r="13" spans="1:6" x14ac:dyDescent="0.2">
      <c r="A13" s="91" t="s">
        <v>1943</v>
      </c>
    </row>
    <row r="14" spans="1:6" x14ac:dyDescent="0.2">
      <c r="A14" s="91" t="s">
        <v>123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7034</v>
      </c>
      <c r="B18" s="93" t="s">
        <v>7035</v>
      </c>
      <c r="C18" s="91" t="s">
        <v>7036</v>
      </c>
      <c r="F18" s="91">
        <f>24.5*100</f>
        <v>2450</v>
      </c>
    </row>
    <row r="19" spans="1:6" x14ac:dyDescent="0.2">
      <c r="A19" s="106"/>
      <c r="C19" s="91" t="s">
        <v>7037</v>
      </c>
    </row>
    <row r="20" spans="1:6" x14ac:dyDescent="0.2">
      <c r="A20" s="92"/>
      <c r="B20" s="99"/>
    </row>
    <row r="21" spans="1:6" x14ac:dyDescent="0.2">
      <c r="B21" s="94"/>
    </row>
    <row r="22" spans="1:6" x14ac:dyDescent="0.2">
      <c r="B22" s="99"/>
      <c r="C22" s="2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SUM(F18:F33)</f>
        <v>2450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Four Hundred Fifty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86FC-36D8-48A7-A5D4-F4BDC380FF41}">
  <sheetPr codeName="Sheet692">
    <pageSetUpPr fitToPage="1"/>
  </sheetPr>
  <dimension ref="A1:M53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12.5703125" style="91" customWidth="1"/>
    <col min="8" max="8" width="13.28515625" style="91" customWidth="1"/>
    <col min="9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1358</v>
      </c>
      <c r="G9" s="91" t="s">
        <v>7113</v>
      </c>
      <c r="J9" s="280"/>
      <c r="K9" s="281"/>
      <c r="L9" s="282"/>
      <c r="M9" s="283"/>
    </row>
    <row r="10" spans="1:13" x14ac:dyDescent="0.2">
      <c r="A10" s="91" t="s">
        <v>7115</v>
      </c>
      <c r="F10" s="92" t="s">
        <v>1357</v>
      </c>
      <c r="G10" s="98" t="s">
        <v>7107</v>
      </c>
    </row>
    <row r="11" spans="1:13" x14ac:dyDescent="0.2">
      <c r="A11" s="91" t="s">
        <v>7116</v>
      </c>
      <c r="F11" s="92" t="s">
        <v>1330</v>
      </c>
      <c r="G11" s="92" t="s">
        <v>1220</v>
      </c>
    </row>
    <row r="12" spans="1:13" x14ac:dyDescent="0.2">
      <c r="A12" s="91" t="s">
        <v>7117</v>
      </c>
      <c r="F12" s="92" t="s">
        <v>1224</v>
      </c>
      <c r="G12" s="92" t="s">
        <v>7114</v>
      </c>
    </row>
    <row r="13" spans="1:13" x14ac:dyDescent="0.2">
      <c r="A13" s="91" t="s">
        <v>2788</v>
      </c>
    </row>
    <row r="16" spans="1:13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2" t="s">
        <v>7118</v>
      </c>
      <c r="E18" s="2"/>
    </row>
    <row r="19" spans="1:8" x14ac:dyDescent="0.2">
      <c r="B19" s="93"/>
      <c r="C19" s="93"/>
    </row>
    <row r="20" spans="1:8" x14ac:dyDescent="0.2">
      <c r="A20" s="93" t="s">
        <v>7119</v>
      </c>
      <c r="B20" s="93" t="s">
        <v>7120</v>
      </c>
      <c r="C20" s="93"/>
      <c r="D20" s="91" t="s">
        <v>7121</v>
      </c>
      <c r="H20" s="91">
        <v>2750</v>
      </c>
    </row>
    <row r="21" spans="1:8" x14ac:dyDescent="0.2">
      <c r="B21" s="99"/>
      <c r="C21" s="99"/>
    </row>
    <row r="22" spans="1:8" x14ac:dyDescent="0.2">
      <c r="B22" s="93"/>
      <c r="C22" s="93"/>
    </row>
    <row r="23" spans="1:8" x14ac:dyDescent="0.2">
      <c r="B23" s="99"/>
      <c r="C23" s="99"/>
    </row>
    <row r="24" spans="1:8" x14ac:dyDescent="0.2">
      <c r="B24" s="99"/>
      <c r="C24" s="99"/>
    </row>
    <row r="25" spans="1:8" x14ac:dyDescent="0.2">
      <c r="B25" s="93"/>
      <c r="C25" s="93"/>
    </row>
    <row r="26" spans="1:8" x14ac:dyDescent="0.2">
      <c r="B26" s="99"/>
      <c r="C26" s="99"/>
    </row>
    <row r="27" spans="1:8" x14ac:dyDescent="0.2">
      <c r="B27" s="99"/>
      <c r="C27" s="99"/>
    </row>
    <row r="28" spans="1:8" x14ac:dyDescent="0.2">
      <c r="B28" s="99"/>
      <c r="C28" s="99"/>
    </row>
    <row r="29" spans="1:8" x14ac:dyDescent="0.2">
      <c r="B29" s="99"/>
      <c r="C29" s="99"/>
    </row>
    <row r="30" spans="1:8" x14ac:dyDescent="0.2">
      <c r="B30" s="99"/>
      <c r="C30" s="99"/>
      <c r="H30" s="2"/>
    </row>
    <row r="31" spans="1:8" x14ac:dyDescent="0.2">
      <c r="B31" s="93"/>
      <c r="C31" s="93"/>
    </row>
    <row r="32" spans="1:8" x14ac:dyDescent="0.2">
      <c r="B32" s="94"/>
      <c r="C32" s="94"/>
    </row>
    <row r="34" spans="1:8" ht="13.5" thickBot="1" x14ac:dyDescent="0.25">
      <c r="H34" s="95">
        <f>SUM(H18:H33)</f>
        <v>2750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Seven Hundred Fifty and NO/100 -----------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8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A40" s="98"/>
      <c r="F40" s="228"/>
      <c r="G40" s="229"/>
      <c r="H40" s="229"/>
    </row>
    <row r="42" spans="1:8" x14ac:dyDescent="0.2">
      <c r="A42" s="100"/>
      <c r="B42" s="101"/>
    </row>
    <row r="43" spans="1:8" x14ac:dyDescent="0.2">
      <c r="A43" s="98"/>
    </row>
    <row r="44" spans="1:8" x14ac:dyDescent="0.2">
      <c r="A44" s="98" t="s">
        <v>8</v>
      </c>
      <c r="D44" s="98"/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D48" s="98"/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/>
      <c r="F49" s="61" t="s">
        <v>3</v>
      </c>
    </row>
    <row r="50" spans="1:6" x14ac:dyDescent="0.2">
      <c r="A50" s="98"/>
      <c r="D50" s="98"/>
      <c r="F50" s="91" t="s">
        <v>2</v>
      </c>
    </row>
    <row r="51" spans="1:6" x14ac:dyDescent="0.2">
      <c r="A51" s="98"/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32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6279</v>
      </c>
      <c r="D9" s="92" t="s">
        <v>1317</v>
      </c>
      <c r="E9" s="91" t="s">
        <v>6565</v>
      </c>
    </row>
    <row r="10" spans="1:6" x14ac:dyDescent="0.2">
      <c r="D10" s="92" t="s">
        <v>1329</v>
      </c>
      <c r="E10" s="92" t="s">
        <v>6539</v>
      </c>
    </row>
    <row r="11" spans="1:6" x14ac:dyDescent="0.2">
      <c r="D11" s="92" t="s">
        <v>1330</v>
      </c>
      <c r="E11" s="325" t="s">
        <v>1220</v>
      </c>
    </row>
    <row r="12" spans="1:6" x14ac:dyDescent="0.2">
      <c r="D12" s="92" t="s">
        <v>1377</v>
      </c>
      <c r="E12" s="92" t="s">
        <v>6566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3" x14ac:dyDescent="0.2">
      <c r="A17" s="106"/>
    </row>
    <row r="19" spans="1:3" x14ac:dyDescent="0.2">
      <c r="A19" s="106"/>
      <c r="C19" s="2"/>
    </row>
    <row r="20" spans="1:3" x14ac:dyDescent="0.2">
      <c r="A20" s="92"/>
      <c r="B20" s="93"/>
      <c r="C20" s="2"/>
    </row>
    <row r="21" spans="1:3" x14ac:dyDescent="0.2">
      <c r="A21" s="106"/>
      <c r="C21" s="94"/>
    </row>
    <row r="22" spans="1:3" x14ac:dyDescent="0.2">
      <c r="A22" s="286"/>
      <c r="C22" s="94"/>
    </row>
    <row r="23" spans="1:3" x14ac:dyDescent="0.2">
      <c r="A23" s="287"/>
    </row>
    <row r="24" spans="1:3" x14ac:dyDescent="0.2">
      <c r="A24" s="287"/>
    </row>
    <row r="25" spans="1:3" x14ac:dyDescent="0.2">
      <c r="A25" s="286"/>
      <c r="C25" s="94"/>
    </row>
    <row r="26" spans="1:3" x14ac:dyDescent="0.2">
      <c r="A26" s="287"/>
    </row>
    <row r="27" spans="1:3" x14ac:dyDescent="0.2">
      <c r="A27" s="106"/>
    </row>
    <row r="28" spans="1:3" x14ac:dyDescent="0.2">
      <c r="A28" s="106"/>
    </row>
    <row r="30" spans="1:3" x14ac:dyDescent="0.2">
      <c r="A30" s="93"/>
      <c r="B30" s="93"/>
      <c r="C30" s="94"/>
    </row>
    <row r="31" spans="1:3" x14ac:dyDescent="0.2">
      <c r="A31" s="1"/>
      <c r="B31" s="1"/>
      <c r="C31" s="94"/>
    </row>
    <row r="32" spans="1:3" x14ac:dyDescent="0.2">
      <c r="A32" s="1"/>
      <c r="B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06"/>
      <c r="F34" s="1"/>
    </row>
    <row r="35" spans="1:6" ht="13.5" thickBot="1" x14ac:dyDescent="0.25">
      <c r="A35" s="106"/>
      <c r="F35" s="107">
        <f>SUM(F19:F33)</f>
        <v>0</v>
      </c>
    </row>
    <row r="36" spans="1:6" ht="13.5" thickTop="1" x14ac:dyDescent="0.2">
      <c r="A36" s="106"/>
    </row>
    <row r="37" spans="1:6" ht="20.100000000000001" customHeight="1" x14ac:dyDescent="0.2">
      <c r="A37" s="96" t="s">
        <v>1248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/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4CEF-0478-439D-A571-B38987CA095C}">
  <sheetPr codeName="Sheet723"/>
  <dimension ref="A1:G57"/>
  <sheetViews>
    <sheetView topLeftCell="A7" workbookViewId="0">
      <selection activeCell="F34" sqref="F34"/>
    </sheetView>
  </sheetViews>
  <sheetFormatPr defaultRowHeight="12.75" x14ac:dyDescent="0.2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5.140625" style="1" customWidth="1"/>
    <col min="8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7" x14ac:dyDescent="0.2">
      <c r="A2" s="522" t="s">
        <v>33</v>
      </c>
      <c r="B2" s="522"/>
      <c r="C2" s="522"/>
      <c r="D2" s="522"/>
      <c r="E2" s="522"/>
      <c r="F2" s="522"/>
      <c r="G2" s="522"/>
    </row>
    <row r="3" spans="1:7" x14ac:dyDescent="0.2">
      <c r="A3" s="522" t="s">
        <v>1829</v>
      </c>
      <c r="B3" s="522"/>
      <c r="C3" s="522"/>
      <c r="D3" s="522"/>
      <c r="E3" s="522"/>
      <c r="F3" s="522"/>
      <c r="G3" s="522"/>
    </row>
    <row r="4" spans="1:7" x14ac:dyDescent="0.2">
      <c r="A4" s="522" t="s">
        <v>1828</v>
      </c>
      <c r="B4" s="522"/>
      <c r="C4" s="522"/>
      <c r="D4" s="522"/>
      <c r="E4" s="522"/>
      <c r="F4" s="522"/>
      <c r="G4" s="522"/>
    </row>
    <row r="7" spans="1:7" s="91" customFormat="1" x14ac:dyDescent="0.2"/>
    <row r="8" spans="1:7" s="91" customFormat="1" x14ac:dyDescent="0.2">
      <c r="A8" s="91" t="s">
        <v>32</v>
      </c>
      <c r="F8" s="22" t="s">
        <v>31</v>
      </c>
    </row>
    <row r="9" spans="1:7" s="91" customFormat="1" x14ac:dyDescent="0.2">
      <c r="F9" s="92" t="s">
        <v>1705</v>
      </c>
      <c r="G9" s="91" t="s">
        <v>7424</v>
      </c>
    </row>
    <row r="10" spans="1:7" s="91" customFormat="1" x14ac:dyDescent="0.2">
      <c r="A10" s="91" t="s">
        <v>7425</v>
      </c>
      <c r="F10" s="92" t="s">
        <v>1706</v>
      </c>
      <c r="G10" s="91" t="s">
        <v>7408</v>
      </c>
    </row>
    <row r="11" spans="1:7" s="91" customFormat="1" x14ac:dyDescent="0.2">
      <c r="A11" s="91" t="s">
        <v>7426</v>
      </c>
      <c r="F11" s="92" t="s">
        <v>1707</v>
      </c>
      <c r="G11" s="91" t="s">
        <v>1220</v>
      </c>
    </row>
    <row r="12" spans="1:7" s="91" customFormat="1" x14ac:dyDescent="0.2">
      <c r="A12" s="91" t="s">
        <v>7427</v>
      </c>
      <c r="F12" s="92" t="s">
        <v>1355</v>
      </c>
      <c r="G12" s="91" t="s">
        <v>770</v>
      </c>
    </row>
    <row r="13" spans="1:7" s="91" customFormat="1" x14ac:dyDescent="0.2">
      <c r="A13" s="91" t="s">
        <v>7428</v>
      </c>
    </row>
    <row r="14" spans="1:7" s="91" customFormat="1" x14ac:dyDescent="0.2"/>
    <row r="15" spans="1:7" s="91" customFormat="1" x14ac:dyDescent="0.2"/>
    <row r="16" spans="1:7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5" t="s">
        <v>18</v>
      </c>
    </row>
    <row r="17" spans="1:7" s="91" customFormat="1" x14ac:dyDescent="0.2"/>
    <row r="18" spans="1:7" s="91" customFormat="1" x14ac:dyDescent="0.2">
      <c r="A18" s="93"/>
      <c r="B18" s="99"/>
      <c r="C18" s="99"/>
      <c r="D18" s="2" t="s">
        <v>7413</v>
      </c>
    </row>
    <row r="19" spans="1:7" s="91" customFormat="1" x14ac:dyDescent="0.2"/>
    <row r="20" spans="1:7" s="91" customFormat="1" x14ac:dyDescent="0.2">
      <c r="A20" s="93" t="s">
        <v>7429</v>
      </c>
      <c r="B20" s="93" t="s">
        <v>7430</v>
      </c>
      <c r="C20" s="93"/>
      <c r="D20" s="91" t="s">
        <v>7431</v>
      </c>
      <c r="G20" s="91">
        <f>8071*4.1213</f>
        <v>33263.012299999995</v>
      </c>
    </row>
    <row r="21" spans="1:7" s="91" customFormat="1" x14ac:dyDescent="0.2">
      <c r="D21" s="91" t="s">
        <v>7432</v>
      </c>
    </row>
    <row r="22" spans="1:7" s="91" customFormat="1" x14ac:dyDescent="0.2">
      <c r="A22" s="93"/>
      <c r="B22" s="93"/>
      <c r="C22" s="93"/>
    </row>
    <row r="23" spans="1:7" s="91" customFormat="1" x14ac:dyDescent="0.2">
      <c r="D23" s="91" t="s">
        <v>52</v>
      </c>
      <c r="G23" s="91">
        <v>30</v>
      </c>
    </row>
    <row r="24" spans="1:7" s="91" customFormat="1" x14ac:dyDescent="0.2">
      <c r="A24" s="93"/>
      <c r="B24" s="93"/>
      <c r="C24" s="93"/>
    </row>
    <row r="25" spans="1:7" s="91" customFormat="1" x14ac:dyDescent="0.2"/>
    <row r="26" spans="1:7" s="91" customFormat="1" x14ac:dyDescent="0.2"/>
    <row r="27" spans="1:7" s="91" customFormat="1" x14ac:dyDescent="0.2"/>
    <row r="28" spans="1:7" s="91" customFormat="1" x14ac:dyDescent="0.2"/>
    <row r="29" spans="1:7" s="91" customFormat="1" x14ac:dyDescent="0.2">
      <c r="B29" s="94"/>
      <c r="C29" s="94"/>
    </row>
    <row r="30" spans="1:7" s="91" customFormat="1" x14ac:dyDescent="0.2">
      <c r="B30" s="94"/>
      <c r="C30" s="94"/>
    </row>
    <row r="31" spans="1:7" s="91" customFormat="1" x14ac:dyDescent="0.2">
      <c r="B31" s="94"/>
      <c r="C31" s="94"/>
    </row>
    <row r="32" spans="1:7" s="91" customFormat="1" x14ac:dyDescent="0.2"/>
    <row r="33" spans="1:7" s="91" customFormat="1" x14ac:dyDescent="0.2"/>
    <row r="34" spans="1:7" s="91" customFormat="1" x14ac:dyDescent="0.2"/>
    <row r="35" spans="1:7" s="91" customFormat="1" ht="13.5" thickBot="1" x14ac:dyDescent="0.25">
      <c r="G35" s="95">
        <f>SUM(G18:G33)</f>
        <v>33293.012299999995</v>
      </c>
    </row>
    <row r="36" spans="1:7" s="91" customFormat="1" ht="13.5" thickTop="1" x14ac:dyDescent="0.2">
      <c r="G36" s="101"/>
    </row>
    <row r="37" spans="1:7" s="91" customFormat="1" ht="20.100000000000001" customHeight="1" x14ac:dyDescent="0.2">
      <c r="A37" s="96" t="s">
        <v>336</v>
      </c>
      <c r="B37" s="185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Thirty-Three Thousand Two Hundred Ninety-Three and 1/100 -----------</v>
      </c>
      <c r="C37" s="185"/>
      <c r="D37" s="97"/>
      <c r="E37" s="97"/>
      <c r="F37" s="97"/>
      <c r="G37" s="207"/>
    </row>
    <row r="38" spans="1:7" s="91" customFormat="1" x14ac:dyDescent="0.2">
      <c r="A38" s="94" t="s">
        <v>11</v>
      </c>
    </row>
    <row r="39" spans="1:7" s="91" customFormat="1" ht="25.5" x14ac:dyDescent="0.2">
      <c r="A39" s="91" t="s">
        <v>10</v>
      </c>
      <c r="F39" s="218" t="s">
        <v>3975</v>
      </c>
      <c r="G39" s="220"/>
    </row>
    <row r="40" spans="1:7" s="91" customFormat="1" x14ac:dyDescent="0.2">
      <c r="B40" s="386"/>
      <c r="C40" s="386"/>
    </row>
    <row r="41" spans="1:7" s="91" customFormat="1" x14ac:dyDescent="0.2">
      <c r="B41" s="386"/>
      <c r="C41" s="386"/>
      <c r="F41" s="227"/>
      <c r="G41" s="227"/>
    </row>
    <row r="42" spans="1:7" s="91" customFormat="1" x14ac:dyDescent="0.2">
      <c r="B42" s="386"/>
      <c r="C42" s="386"/>
      <c r="F42" s="228"/>
      <c r="G42" s="229"/>
    </row>
    <row r="43" spans="1:7" s="91" customFormat="1" x14ac:dyDescent="0.2">
      <c r="A43" s="101"/>
      <c r="B43" s="101"/>
      <c r="C43" s="386"/>
    </row>
    <row r="44" spans="1:7" s="91" customFormat="1" x14ac:dyDescent="0.2">
      <c r="B44" s="386"/>
      <c r="C44" s="386"/>
    </row>
    <row r="45" spans="1:7" s="91" customFormat="1" x14ac:dyDescent="0.2">
      <c r="A45" s="98" t="s">
        <v>8</v>
      </c>
      <c r="B45" s="98"/>
      <c r="C45" s="386"/>
      <c r="D45" s="98" t="s">
        <v>8</v>
      </c>
      <c r="F45" s="98" t="s">
        <v>7</v>
      </c>
      <c r="G45" s="102"/>
    </row>
    <row r="46" spans="1:7" s="91" customFormat="1" x14ac:dyDescent="0.2">
      <c r="C46" s="386"/>
    </row>
    <row r="47" spans="1:7" s="91" customFormat="1" x14ac:dyDescent="0.2">
      <c r="C47" s="386"/>
    </row>
    <row r="48" spans="1:7" s="91" customFormat="1" x14ac:dyDescent="0.2">
      <c r="C48" s="386"/>
    </row>
    <row r="49" spans="1:7" s="91" customFormat="1" x14ac:dyDescent="0.2">
      <c r="A49" s="101"/>
      <c r="B49" s="101"/>
      <c r="C49" s="386"/>
      <c r="D49" s="101"/>
      <c r="F49" s="101"/>
      <c r="G49" s="101"/>
    </row>
    <row r="50" spans="1:7" s="61" customFormat="1" ht="17.100000000000001" customHeight="1" x14ac:dyDescent="0.2">
      <c r="A50" s="103" t="s">
        <v>4047</v>
      </c>
      <c r="B50" s="103"/>
      <c r="C50" s="387"/>
      <c r="D50" s="103" t="s">
        <v>50</v>
      </c>
      <c r="F50" s="61" t="s">
        <v>3</v>
      </c>
    </row>
    <row r="51" spans="1:7" s="91" customFormat="1" x14ac:dyDescent="0.2">
      <c r="B51" s="386"/>
      <c r="C51" s="386"/>
      <c r="F51" s="91" t="s">
        <v>2</v>
      </c>
    </row>
    <row r="52" spans="1:7" s="91" customFormat="1" x14ac:dyDescent="0.2">
      <c r="B52" s="386"/>
      <c r="C52" s="386"/>
    </row>
    <row r="53" spans="1:7" s="91" customFormat="1" x14ac:dyDescent="0.2">
      <c r="B53" s="386"/>
      <c r="C53" s="386"/>
      <c r="F53" s="2" t="s">
        <v>1</v>
      </c>
    </row>
    <row r="54" spans="1:7" s="91" customFormat="1" x14ac:dyDescent="0.2">
      <c r="F54" s="2" t="s">
        <v>0</v>
      </c>
    </row>
    <row r="55" spans="1:7" s="91" customFormat="1" x14ac:dyDescent="0.2"/>
    <row r="56" spans="1:7" s="91" customFormat="1" x14ac:dyDescent="0.2"/>
    <row r="57" spans="1:7" s="91" customFormat="1" x14ac:dyDescent="0.2"/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FFA7-DBA9-4D09-810B-EA3AC02F9751}">
  <sheetPr codeName="Sheet756">
    <pageSetUpPr fitToPage="1"/>
  </sheetPr>
  <dimension ref="A1:R66"/>
  <sheetViews>
    <sheetView topLeftCell="A4" zoomScaleNormal="100" workbookViewId="0">
      <selection activeCell="H27" sqref="H27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  <c r="K3" s="91"/>
      <c r="L3" s="91"/>
      <c r="M3" s="91"/>
      <c r="N3" s="91"/>
      <c r="O3" s="91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K4" s="91"/>
      <c r="O4" s="91"/>
    </row>
    <row r="5" spans="1:15" x14ac:dyDescent="0.2">
      <c r="K5" s="143"/>
      <c r="O5" s="91"/>
    </row>
    <row r="7" spans="1:15" x14ac:dyDescent="0.2">
      <c r="K7" s="91"/>
      <c r="O7" s="91"/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  <c r="K8" s="91"/>
      <c r="L8" s="91"/>
      <c r="M8" s="91"/>
      <c r="N8" s="91"/>
      <c r="O8" s="91"/>
    </row>
    <row r="9" spans="1:15" x14ac:dyDescent="0.2">
      <c r="A9" s="91"/>
      <c r="B9" s="91"/>
      <c r="C9" s="91"/>
      <c r="D9" s="91"/>
      <c r="E9" s="91"/>
      <c r="F9" s="92" t="s">
        <v>30</v>
      </c>
      <c r="G9" s="61" t="s">
        <v>8007</v>
      </c>
      <c r="H9" s="91"/>
      <c r="K9" s="91"/>
      <c r="L9" s="91"/>
      <c r="M9" s="91"/>
      <c r="N9" s="91"/>
      <c r="O9" s="91"/>
    </row>
    <row r="10" spans="1:15" x14ac:dyDescent="0.2">
      <c r="A10" s="91" t="s">
        <v>8009</v>
      </c>
      <c r="B10" s="91"/>
      <c r="C10" s="91"/>
      <c r="D10" s="91"/>
      <c r="E10" s="91"/>
      <c r="F10" s="92" t="s">
        <v>27</v>
      </c>
      <c r="G10" s="113" t="s">
        <v>8008</v>
      </c>
      <c r="H10" s="91"/>
      <c r="J10" s="20"/>
      <c r="K10" s="91"/>
      <c r="L10" s="91"/>
      <c r="M10" s="91"/>
    </row>
    <row r="11" spans="1:15" x14ac:dyDescent="0.2">
      <c r="A11" s="91" t="s">
        <v>8010</v>
      </c>
      <c r="B11" s="91"/>
      <c r="C11" s="91"/>
      <c r="D11" s="91"/>
      <c r="E11" s="91"/>
      <c r="F11" s="92" t="s">
        <v>24</v>
      </c>
      <c r="G11" s="113" t="s">
        <v>1220</v>
      </c>
      <c r="H11" s="91"/>
      <c r="J11" s="81"/>
      <c r="K11" s="91"/>
    </row>
    <row r="12" spans="1:15" x14ac:dyDescent="0.2">
      <c r="A12" s="91"/>
      <c r="B12" s="91"/>
      <c r="C12" s="91"/>
      <c r="D12" s="91"/>
      <c r="E12" s="91"/>
      <c r="F12" s="92" t="s">
        <v>22</v>
      </c>
      <c r="G12" s="113" t="s">
        <v>770</v>
      </c>
      <c r="H12" s="91"/>
      <c r="K12" s="91"/>
    </row>
    <row r="13" spans="1:15" x14ac:dyDescent="0.2">
      <c r="A13" s="91"/>
      <c r="B13" s="91"/>
      <c r="C13" s="91"/>
      <c r="D13" s="91"/>
      <c r="E13" s="91"/>
      <c r="F13" s="91"/>
      <c r="G13" s="153"/>
      <c r="H13" s="91"/>
      <c r="K13" s="91"/>
    </row>
    <row r="14" spans="1:15" x14ac:dyDescent="0.2">
      <c r="A14" s="91"/>
      <c r="B14" s="91"/>
      <c r="C14" s="91"/>
      <c r="D14" s="91"/>
      <c r="E14" s="91"/>
      <c r="F14" s="91"/>
      <c r="G14" s="153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/>
      <c r="L15" s="91"/>
      <c r="M15" s="91"/>
      <c r="N15" s="91"/>
      <c r="O15" s="91"/>
    </row>
    <row r="16" spans="1:15" s="14" customFormat="1" ht="20.100000000000001" customHeight="1" x14ac:dyDescent="0.2">
      <c r="A16" s="17" t="s">
        <v>1247</v>
      </c>
      <c r="B16" s="465" t="s">
        <v>128</v>
      </c>
      <c r="C16" s="465"/>
      <c r="D16" s="18" t="s">
        <v>19</v>
      </c>
      <c r="E16" s="18"/>
      <c r="F16" s="17"/>
      <c r="G16" s="16"/>
      <c r="H16" s="15" t="s">
        <v>18</v>
      </c>
      <c r="K16" s="91"/>
      <c r="L16" s="1"/>
      <c r="M16" s="1"/>
      <c r="N16" s="1"/>
      <c r="O16" s="91"/>
    </row>
    <row r="17" spans="1:18" x14ac:dyDescent="0.2">
      <c r="A17" s="91"/>
      <c r="B17" s="91"/>
      <c r="C17" s="91"/>
      <c r="D17" s="91"/>
      <c r="E17" s="91"/>
      <c r="F17" s="91"/>
      <c r="G17" s="91"/>
      <c r="H17" s="91"/>
      <c r="K17" s="91"/>
      <c r="O17" s="91"/>
    </row>
    <row r="18" spans="1:18" x14ac:dyDescent="0.2">
      <c r="A18" s="91"/>
      <c r="B18" s="91"/>
      <c r="C18" s="91"/>
      <c r="D18" s="2" t="s">
        <v>8011</v>
      </c>
      <c r="E18" s="2"/>
      <c r="F18" s="91"/>
      <c r="G18" s="91"/>
      <c r="H18" s="91"/>
    </row>
    <row r="19" spans="1:18" x14ac:dyDescent="0.2">
      <c r="A19" s="91"/>
      <c r="B19" s="91"/>
      <c r="C19" s="91"/>
      <c r="D19" s="2" t="s">
        <v>8012</v>
      </c>
      <c r="E19" s="2"/>
      <c r="F19" s="91"/>
      <c r="G19" s="91"/>
      <c r="H19" s="91"/>
      <c r="K19" s="91"/>
      <c r="L19" s="91"/>
      <c r="M19" s="91"/>
      <c r="N19" s="91"/>
      <c r="O19" s="91"/>
    </row>
    <row r="20" spans="1:18" x14ac:dyDescent="0.2">
      <c r="A20" s="93"/>
      <c r="B20" s="93"/>
      <c r="C20" s="93"/>
      <c r="D20" s="91"/>
      <c r="E20" s="91"/>
      <c r="F20" s="91"/>
      <c r="G20" s="91"/>
      <c r="H20" s="91"/>
      <c r="K20" s="91"/>
      <c r="L20" s="91"/>
      <c r="M20" s="91"/>
      <c r="N20" s="91"/>
      <c r="O20" s="91"/>
    </row>
    <row r="21" spans="1:18" x14ac:dyDescent="0.2">
      <c r="A21" s="93" t="s">
        <v>8013</v>
      </c>
      <c r="B21" s="93" t="s">
        <v>8014</v>
      </c>
      <c r="C21" s="94"/>
      <c r="D21" s="91" t="s">
        <v>8015</v>
      </c>
      <c r="H21" s="91">
        <f>11000*4.7261</f>
        <v>51987.1</v>
      </c>
      <c r="K21" s="91"/>
      <c r="L21" s="91"/>
      <c r="O21" s="91"/>
    </row>
    <row r="22" spans="1:18" x14ac:dyDescent="0.2">
      <c r="A22" s="93"/>
      <c r="B22" s="93"/>
      <c r="C22" s="93"/>
      <c r="D22" s="91" t="s">
        <v>8016</v>
      </c>
      <c r="H22" s="91"/>
    </row>
    <row r="23" spans="1:18" x14ac:dyDescent="0.2">
      <c r="D23" s="91"/>
      <c r="H23" s="91"/>
      <c r="K23" s="91"/>
      <c r="O23" s="91"/>
    </row>
    <row r="24" spans="1:18" x14ac:dyDescent="0.2">
      <c r="A24" s="93"/>
      <c r="B24" s="93"/>
      <c r="C24" s="94"/>
      <c r="D24" s="91" t="s">
        <v>8017</v>
      </c>
      <c r="H24" s="466"/>
      <c r="K24" s="91"/>
      <c r="L24" s="91"/>
    </row>
    <row r="25" spans="1:18" x14ac:dyDescent="0.2">
      <c r="A25" s="93"/>
      <c r="B25" s="93"/>
      <c r="C25" s="93"/>
      <c r="D25" s="91"/>
      <c r="E25" s="91"/>
      <c r="F25" s="91"/>
      <c r="G25" s="91"/>
      <c r="H25" s="91"/>
      <c r="K25" s="91"/>
      <c r="L25" s="91"/>
      <c r="M25" s="91"/>
      <c r="N25" s="91"/>
      <c r="O25" s="91"/>
    </row>
    <row r="26" spans="1:18" x14ac:dyDescent="0.2">
      <c r="A26" s="91"/>
      <c r="B26" s="91"/>
      <c r="C26" s="91"/>
      <c r="D26" s="91" t="s">
        <v>52</v>
      </c>
      <c r="E26" s="91"/>
      <c r="F26" s="91"/>
      <c r="G26" s="91"/>
      <c r="H26" s="91">
        <v>30</v>
      </c>
      <c r="K26" s="91"/>
      <c r="O26" s="91"/>
    </row>
    <row r="27" spans="1:18" x14ac:dyDescent="0.2">
      <c r="A27" s="93"/>
      <c r="B27" s="93"/>
      <c r="C27" s="94"/>
      <c r="D27" s="91"/>
      <c r="E27" s="91"/>
      <c r="H27" s="91"/>
      <c r="K27" s="91"/>
      <c r="O27" s="91"/>
    </row>
    <row r="28" spans="1:18" x14ac:dyDescent="0.2">
      <c r="A28" s="91"/>
      <c r="B28" s="91"/>
      <c r="C28" s="91"/>
      <c r="D28" s="91"/>
      <c r="K28" s="91"/>
      <c r="O28" s="91"/>
    </row>
    <row r="29" spans="1:18" x14ac:dyDescent="0.2">
      <c r="A29" s="91"/>
      <c r="B29" s="91"/>
      <c r="C29" s="91"/>
      <c r="D29" s="91"/>
      <c r="H29" s="91"/>
      <c r="K29" s="91"/>
      <c r="L29" s="91"/>
      <c r="M29" s="91"/>
      <c r="N29" s="91"/>
      <c r="O29" s="91"/>
    </row>
    <row r="30" spans="1:18" x14ac:dyDescent="0.2">
      <c r="A30" s="91"/>
      <c r="B30" s="94"/>
      <c r="C30" s="94"/>
      <c r="K30" s="91"/>
      <c r="L30" s="91"/>
      <c r="M30" s="91"/>
      <c r="N30" s="91"/>
      <c r="O30" s="91"/>
    </row>
    <row r="31" spans="1:18" x14ac:dyDescent="0.2">
      <c r="A31" s="91"/>
      <c r="B31" s="91"/>
      <c r="C31" s="91"/>
    </row>
    <row r="32" spans="1:18" x14ac:dyDescent="0.2">
      <c r="A32" s="91"/>
      <c r="B32" s="91"/>
      <c r="C32" s="91"/>
      <c r="K32" s="93"/>
      <c r="L32" s="93"/>
      <c r="M32" s="94"/>
      <c r="N32" s="91"/>
      <c r="R32" s="91">
        <f>18200*3.0647</f>
        <v>55777.54</v>
      </c>
    </row>
    <row r="33" spans="1:18" x14ac:dyDescent="0.2">
      <c r="A33" s="91"/>
      <c r="B33" s="91"/>
      <c r="C33" s="91"/>
      <c r="K33" s="93"/>
      <c r="L33" s="93"/>
      <c r="M33" s="93"/>
      <c r="N33" s="91"/>
      <c r="O33" s="91"/>
      <c r="P33" s="91"/>
      <c r="Q33" s="91"/>
      <c r="R33" s="91"/>
    </row>
    <row r="34" spans="1:18" x14ac:dyDescent="0.2">
      <c r="A34" s="91"/>
      <c r="B34" s="91"/>
      <c r="C34" s="91"/>
      <c r="K34" s="91"/>
      <c r="L34" s="91"/>
      <c r="M34" s="91"/>
      <c r="N34" s="91"/>
      <c r="O34" s="91"/>
      <c r="P34" s="91"/>
      <c r="Q34" s="91"/>
      <c r="R34" s="91"/>
    </row>
    <row r="35" spans="1:18" x14ac:dyDescent="0.2">
      <c r="A35" s="91"/>
      <c r="B35" s="91"/>
      <c r="C35" s="91"/>
      <c r="K35" s="93"/>
      <c r="L35" s="93"/>
      <c r="M35" s="94"/>
      <c r="N35" s="91"/>
      <c r="O35" s="91"/>
      <c r="R35" s="91">
        <f>3000*3.0647</f>
        <v>9194.1</v>
      </c>
    </row>
    <row r="36" spans="1:18" x14ac:dyDescent="0.2">
      <c r="A36" s="91"/>
      <c r="B36" s="91"/>
      <c r="C36" s="91"/>
      <c r="D36" s="91"/>
      <c r="E36" s="91"/>
      <c r="F36" s="91"/>
      <c r="G36" s="91"/>
      <c r="H36" s="91"/>
    </row>
    <row r="37" spans="1:18" ht="13.5" thickBot="1" x14ac:dyDescent="0.25">
      <c r="A37" s="91"/>
      <c r="B37" s="91"/>
      <c r="C37" s="91"/>
      <c r="D37" s="91"/>
      <c r="E37" s="91"/>
      <c r="F37" s="91"/>
      <c r="G37" s="91"/>
      <c r="H37" s="107">
        <f>SUM(H18:H36)</f>
        <v>52017.1</v>
      </c>
    </row>
    <row r="38" spans="1:18" ht="13.5" thickTop="1" x14ac:dyDescent="0.2">
      <c r="A38" s="91"/>
      <c r="B38" s="91"/>
      <c r="C38" s="91"/>
      <c r="D38" s="91"/>
      <c r="E38" s="91"/>
    </row>
    <row r="39" spans="1:18" ht="20.100000000000001" customHeight="1" x14ac:dyDescent="0.2">
      <c r="A39" s="96" t="s">
        <v>336</v>
      </c>
      <c r="B39" s="213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Fifty-Two Thousand Seventeen and 10/100 -----------</v>
      </c>
      <c r="C39" s="213"/>
      <c r="D39" s="97"/>
      <c r="E39" s="97"/>
      <c r="F39" s="97"/>
      <c r="G39" s="97"/>
      <c r="H39" s="97"/>
    </row>
    <row r="40" spans="1:18" ht="20.100000000000001" customHeight="1" x14ac:dyDescent="0.2">
      <c r="A40" s="113"/>
      <c r="B40" s="225"/>
      <c r="C40" s="225"/>
      <c r="D40" s="61"/>
      <c r="E40" s="61"/>
      <c r="F40" s="61"/>
      <c r="G40" s="61"/>
      <c r="H40" s="61"/>
    </row>
    <row r="41" spans="1:18" ht="25.5" x14ac:dyDescent="0.2">
      <c r="A41" s="94" t="s">
        <v>3973</v>
      </c>
      <c r="B41" s="91"/>
      <c r="C41" s="91"/>
      <c r="D41" s="91"/>
      <c r="E41" s="91"/>
      <c r="F41" s="218" t="s">
        <v>3975</v>
      </c>
      <c r="G41" s="219"/>
      <c r="H41" s="220"/>
    </row>
    <row r="42" spans="1:18" x14ac:dyDescent="0.2">
      <c r="A42" s="91"/>
      <c r="B42" s="91"/>
      <c r="C42" s="91"/>
      <c r="D42" s="91"/>
      <c r="E42" s="91"/>
      <c r="F42" s="228"/>
      <c r="G42" s="229"/>
      <c r="H42" s="229"/>
    </row>
    <row r="43" spans="1:18" x14ac:dyDescent="0.2">
      <c r="B43" s="91"/>
      <c r="C43" s="91"/>
      <c r="D43" s="91"/>
      <c r="E43" s="91"/>
      <c r="F43" s="91"/>
      <c r="G43" s="91"/>
      <c r="H43" s="91"/>
    </row>
    <row r="44" spans="1:18" x14ac:dyDescent="0.2">
      <c r="A44" s="91"/>
      <c r="B44" s="91"/>
      <c r="C44" s="91"/>
      <c r="D44" s="91"/>
      <c r="E44" s="91"/>
      <c r="F44" s="91"/>
      <c r="G44" s="91"/>
      <c r="H44" s="91"/>
    </row>
    <row r="45" spans="1:18" x14ac:dyDescent="0.2">
      <c r="A45" s="101"/>
      <c r="B45" s="101"/>
      <c r="C45" s="91"/>
      <c r="D45" s="91"/>
      <c r="E45" s="91"/>
      <c r="F45" s="91"/>
      <c r="G45" s="91"/>
      <c r="H45" s="91"/>
    </row>
    <row r="46" spans="1:18" x14ac:dyDescent="0.2">
      <c r="A46" s="91"/>
      <c r="B46" s="91"/>
      <c r="C46" s="91"/>
      <c r="D46" s="91"/>
      <c r="E46" s="91"/>
      <c r="F46" s="91"/>
      <c r="G46" s="91"/>
      <c r="H46" s="91"/>
    </row>
    <row r="47" spans="1:18" x14ac:dyDescent="0.2">
      <c r="A47" s="98" t="s">
        <v>8</v>
      </c>
      <c r="B47" s="91"/>
      <c r="C47" s="91"/>
      <c r="D47" s="98" t="s">
        <v>8</v>
      </c>
      <c r="E47" s="91"/>
      <c r="F47" s="98" t="s">
        <v>7</v>
      </c>
      <c r="G47" s="91"/>
      <c r="H47" s="102"/>
    </row>
    <row r="48" spans="1:1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91"/>
      <c r="B50" s="91"/>
      <c r="C50" s="91"/>
      <c r="D50" s="91"/>
      <c r="E50" s="91"/>
      <c r="F50" s="91"/>
      <c r="G50" s="91"/>
      <c r="H50" s="91"/>
    </row>
    <row r="51" spans="1:8" x14ac:dyDescent="0.2">
      <c r="A51" s="101"/>
      <c r="B51" s="101"/>
      <c r="C51" s="91"/>
      <c r="D51" s="101"/>
      <c r="E51" s="91"/>
      <c r="F51" s="101"/>
      <c r="G51" s="101"/>
      <c r="H51" s="101"/>
    </row>
    <row r="52" spans="1:8" s="3" customFormat="1" ht="17.100000000000001" customHeight="1" x14ac:dyDescent="0.2">
      <c r="A52" s="103" t="s">
        <v>4066</v>
      </c>
      <c r="B52" s="104"/>
      <c r="C52" s="104"/>
      <c r="D52" s="103" t="s">
        <v>50</v>
      </c>
      <c r="E52" s="61"/>
      <c r="F52" s="61" t="s">
        <v>3</v>
      </c>
      <c r="G52" s="61"/>
      <c r="H52" s="61"/>
    </row>
    <row r="53" spans="1:8" x14ac:dyDescent="0.2">
      <c r="A53" s="91"/>
      <c r="B53" s="91"/>
      <c r="C53" s="91"/>
      <c r="D53" s="91"/>
      <c r="E53" s="91"/>
      <c r="F53" s="91" t="s">
        <v>2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1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2" t="s">
        <v>0</v>
      </c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  <row r="66" spans="1:8" x14ac:dyDescent="0.2">
      <c r="A66" s="91"/>
      <c r="B66" s="91"/>
      <c r="C66" s="91"/>
      <c r="D66" s="91"/>
      <c r="E66" s="91"/>
      <c r="F66" s="91"/>
      <c r="G66" s="91"/>
      <c r="H6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619C-02FC-480A-BD1C-6383D8A69049}">
  <sheetPr codeName="Sheet761"/>
  <dimension ref="A1:T5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0.85546875" style="91" customWidth="1"/>
    <col min="4" max="4" width="22.42578125" style="91" customWidth="1"/>
    <col min="5" max="5" width="1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2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2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2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20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20" x14ac:dyDescent="0.2">
      <c r="A8" s="91" t="s">
        <v>32</v>
      </c>
      <c r="F8" s="22" t="s">
        <v>31</v>
      </c>
      <c r="J8" s="91" t="s">
        <v>8274</v>
      </c>
      <c r="K8" s="91">
        <v>43817</v>
      </c>
      <c r="L8" s="91" t="s">
        <v>8275</v>
      </c>
    </row>
    <row r="9" spans="1:20" x14ac:dyDescent="0.2">
      <c r="F9" s="92" t="s">
        <v>1434</v>
      </c>
      <c r="G9" s="91" t="s">
        <v>8283</v>
      </c>
    </row>
    <row r="10" spans="1:20" x14ac:dyDescent="0.2">
      <c r="A10" s="91" t="s">
        <v>8285</v>
      </c>
      <c r="F10" s="92" t="s">
        <v>1433</v>
      </c>
      <c r="G10" s="98" t="s">
        <v>8265</v>
      </c>
    </row>
    <row r="11" spans="1:20" x14ac:dyDescent="0.2">
      <c r="A11" s="91" t="s">
        <v>8286</v>
      </c>
      <c r="F11" s="92" t="s">
        <v>1431</v>
      </c>
      <c r="G11" s="92" t="s">
        <v>1220</v>
      </c>
      <c r="L11" s="111"/>
      <c r="M11" s="484"/>
      <c r="N11" s="484"/>
      <c r="O11" s="2" t="s">
        <v>6594</v>
      </c>
      <c r="P11" s="2"/>
    </row>
    <row r="12" spans="1:20" x14ac:dyDescent="0.2">
      <c r="A12" s="91" t="s">
        <v>8287</v>
      </c>
      <c r="F12" s="92" t="s">
        <v>1268</v>
      </c>
      <c r="G12" s="92" t="s">
        <v>8284</v>
      </c>
    </row>
    <row r="13" spans="1:20" x14ac:dyDescent="0.2">
      <c r="A13" s="91" t="s">
        <v>1683</v>
      </c>
      <c r="G13" s="91" t="s">
        <v>7931</v>
      </c>
      <c r="L13" s="93" t="s">
        <v>6453</v>
      </c>
      <c r="M13" s="93" t="s">
        <v>6595</v>
      </c>
      <c r="N13" s="93"/>
      <c r="O13" s="91" t="s">
        <v>6596</v>
      </c>
      <c r="S13" s="91">
        <v>8000</v>
      </c>
    </row>
    <row r="14" spans="1:20" x14ac:dyDescent="0.2">
      <c r="A14" s="91" t="s">
        <v>1862</v>
      </c>
      <c r="L14" s="93"/>
      <c r="M14" s="93"/>
      <c r="N14" s="93"/>
      <c r="O14" s="91" t="s">
        <v>2147</v>
      </c>
      <c r="S14" s="91">
        <f>S13*6%</f>
        <v>480</v>
      </c>
    </row>
    <row r="15" spans="1:20" x14ac:dyDescent="0.2">
      <c r="A15" s="91" t="s">
        <v>8288</v>
      </c>
      <c r="L15" s="93"/>
      <c r="M15" s="484"/>
      <c r="N15" s="484"/>
      <c r="O15" s="91" t="s">
        <v>6597</v>
      </c>
    </row>
    <row r="16" spans="1:20" s="14" customFormat="1" ht="20.100000000000001" customHeight="1" x14ac:dyDescent="0.2">
      <c r="A16" s="17" t="s">
        <v>1429</v>
      </c>
      <c r="B16" s="483" t="s">
        <v>128</v>
      </c>
      <c r="C16" s="483"/>
      <c r="D16" s="18" t="s">
        <v>19</v>
      </c>
      <c r="E16" s="18"/>
      <c r="F16" s="17"/>
      <c r="G16" s="16"/>
      <c r="H16" s="15" t="s">
        <v>18</v>
      </c>
      <c r="L16" s="93"/>
      <c r="M16" s="484"/>
      <c r="N16" s="484"/>
      <c r="O16" s="91"/>
      <c r="P16" s="91"/>
      <c r="Q16" s="91"/>
      <c r="R16" s="91"/>
      <c r="S16" s="91"/>
      <c r="T16" s="91"/>
    </row>
    <row r="17" spans="1:14" x14ac:dyDescent="0.2">
      <c r="L17" s="93"/>
      <c r="M17" s="484"/>
      <c r="N17" s="484"/>
    </row>
    <row r="18" spans="1:14" x14ac:dyDescent="0.2">
      <c r="A18" s="111"/>
      <c r="B18" s="484"/>
      <c r="C18" s="484"/>
      <c r="D18" s="2" t="s">
        <v>4243</v>
      </c>
      <c r="E18" s="2"/>
    </row>
    <row r="20" spans="1:14" x14ac:dyDescent="0.2">
      <c r="A20" s="93" t="s">
        <v>8289</v>
      </c>
      <c r="B20" s="195" t="s">
        <v>8290</v>
      </c>
      <c r="C20" s="93"/>
      <c r="D20" s="91" t="s">
        <v>8291</v>
      </c>
      <c r="H20" s="91">
        <f>300</f>
        <v>300</v>
      </c>
    </row>
    <row r="21" spans="1:14" x14ac:dyDescent="0.2">
      <c r="A21" s="93"/>
      <c r="B21" s="93"/>
      <c r="C21" s="93"/>
      <c r="D21" s="91" t="s">
        <v>8292</v>
      </c>
    </row>
    <row r="22" spans="1:14" x14ac:dyDescent="0.2">
      <c r="A22" s="93"/>
      <c r="B22" s="93"/>
      <c r="C22" s="93"/>
    </row>
    <row r="23" spans="1:14" x14ac:dyDescent="0.2">
      <c r="A23" s="93"/>
      <c r="B23" s="484"/>
      <c r="C23" s="484"/>
    </row>
    <row r="24" spans="1:14" x14ac:dyDescent="0.2">
      <c r="A24" s="93"/>
      <c r="B24" s="484"/>
      <c r="C24" s="484"/>
    </row>
    <row r="25" spans="1:14" x14ac:dyDescent="0.2">
      <c r="A25" s="93"/>
      <c r="B25" s="484"/>
      <c r="C25" s="484"/>
    </row>
    <row r="27" spans="1:14" x14ac:dyDescent="0.2">
      <c r="A27" s="142"/>
      <c r="B27" s="484"/>
      <c r="C27" s="484"/>
    </row>
    <row r="28" spans="1:14" x14ac:dyDescent="0.2">
      <c r="A28" s="142"/>
      <c r="B28" s="484"/>
      <c r="C28" s="484"/>
    </row>
    <row r="29" spans="1:14" x14ac:dyDescent="0.2">
      <c r="A29" s="142"/>
      <c r="B29" s="484"/>
      <c r="C29" s="484"/>
    </row>
    <row r="30" spans="1:14" x14ac:dyDescent="0.2">
      <c r="A30" s="142"/>
      <c r="B30" s="484"/>
      <c r="C30" s="484"/>
    </row>
    <row r="31" spans="1:14" x14ac:dyDescent="0.2">
      <c r="A31" s="104"/>
      <c r="B31" s="484"/>
      <c r="C31" s="484"/>
    </row>
    <row r="32" spans="1:14" x14ac:dyDescent="0.2">
      <c r="A32" s="93"/>
      <c r="B32" s="484"/>
      <c r="C32" s="484"/>
    </row>
    <row r="33" spans="1:8" x14ac:dyDescent="0.2">
      <c r="A33" s="93"/>
      <c r="B33" s="484"/>
      <c r="C33" s="484"/>
      <c r="H33" s="101"/>
    </row>
    <row r="34" spans="1:8" ht="13.5" thickBot="1" x14ac:dyDescent="0.25">
      <c r="B34" s="484"/>
      <c r="C34" s="484"/>
      <c r="H34" s="95">
        <f>SUM(H18:H32)</f>
        <v>300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Hundred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 t="s">
        <v>11</v>
      </c>
    </row>
    <row r="38" spans="1:8" ht="25.5" x14ac:dyDescent="0.2">
      <c r="A38" s="61" t="s">
        <v>10</v>
      </c>
      <c r="F38" s="218" t="s">
        <v>3975</v>
      </c>
      <c r="G38" s="219"/>
      <c r="H38" s="220"/>
    </row>
    <row r="41" spans="1:8" x14ac:dyDescent="0.2">
      <c r="A41" s="91" t="s">
        <v>121</v>
      </c>
      <c r="D41" s="484"/>
      <c r="E41" s="484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D111-8FB8-44D5-BA7E-47C094E7785A}">
  <sheetPr codeName="Sheet762"/>
  <dimension ref="A1:J54"/>
  <sheetViews>
    <sheetView zoomScaleNormal="100"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.140625" style="91" customWidth="1"/>
    <col min="4" max="4" width="21" style="91" customWidth="1"/>
    <col min="5" max="5" width="0.7109375" style="91" customWidth="1"/>
    <col min="6" max="6" width="14.42578125" style="91" customWidth="1"/>
    <col min="7" max="7" width="11.28515625" style="91" customWidth="1"/>
    <col min="8" max="8" width="13.28515625" style="91" customWidth="1"/>
    <col min="9" max="9" width="9.140625" style="91"/>
    <col min="10" max="10" width="10.140625" style="91" bestFit="1" customWidth="1"/>
    <col min="11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5" t="s">
        <v>8313</v>
      </c>
    </row>
    <row r="10" spans="1:8" x14ac:dyDescent="0.2">
      <c r="A10" s="91" t="s">
        <v>6990</v>
      </c>
      <c r="F10" s="92" t="s">
        <v>1357</v>
      </c>
      <c r="G10" s="155" t="s">
        <v>8315</v>
      </c>
    </row>
    <row r="11" spans="1:8" x14ac:dyDescent="0.2">
      <c r="A11" s="91" t="s">
        <v>8316</v>
      </c>
      <c r="F11" s="92" t="s">
        <v>1330</v>
      </c>
      <c r="G11" s="155" t="s">
        <v>1220</v>
      </c>
    </row>
    <row r="12" spans="1:8" x14ac:dyDescent="0.2">
      <c r="A12" s="91" t="s">
        <v>8317</v>
      </c>
      <c r="F12" s="92" t="s">
        <v>1224</v>
      </c>
      <c r="G12" s="94" t="s">
        <v>8314</v>
      </c>
    </row>
    <row r="13" spans="1:8" x14ac:dyDescent="0.2">
      <c r="A13" s="91" t="s">
        <v>3969</v>
      </c>
      <c r="G13" s="153" t="s">
        <v>7931</v>
      </c>
    </row>
    <row r="14" spans="1:8" x14ac:dyDescent="0.2">
      <c r="A14" s="91" t="s">
        <v>8318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10" x14ac:dyDescent="0.2">
      <c r="D18" s="2" t="s">
        <v>8319</v>
      </c>
      <c r="E18" s="2"/>
    </row>
    <row r="19" spans="1:10" x14ac:dyDescent="0.2">
      <c r="D19" s="2"/>
      <c r="E19" s="2"/>
    </row>
    <row r="20" spans="1:10" x14ac:dyDescent="0.2">
      <c r="A20" s="93" t="s">
        <v>8242</v>
      </c>
      <c r="B20" s="278" t="s">
        <v>8320</v>
      </c>
      <c r="C20" s="93"/>
      <c r="D20" s="91" t="s">
        <v>8321</v>
      </c>
      <c r="H20" s="91">
        <v>9200</v>
      </c>
    </row>
    <row r="21" spans="1:10" x14ac:dyDescent="0.2">
      <c r="A21" s="93"/>
      <c r="B21" s="272"/>
      <c r="C21" s="272"/>
      <c r="D21" s="191" t="s">
        <v>8322</v>
      </c>
      <c r="E21" s="191"/>
      <c r="J21" s="193"/>
    </row>
    <row r="22" spans="1:10" x14ac:dyDescent="0.2">
      <c r="A22" s="93"/>
      <c r="B22" s="485"/>
      <c r="C22" s="485"/>
    </row>
    <row r="23" spans="1:10" x14ac:dyDescent="0.2">
      <c r="A23" s="93"/>
      <c r="B23" s="272"/>
      <c r="C23" s="272"/>
      <c r="D23" s="91" t="s">
        <v>6886</v>
      </c>
      <c r="E23" s="191"/>
      <c r="H23" s="91">
        <f>H20*6%</f>
        <v>552</v>
      </c>
    </row>
    <row r="24" spans="1:10" x14ac:dyDescent="0.2">
      <c r="A24" s="93"/>
      <c r="B24" s="272"/>
      <c r="C24" s="272"/>
      <c r="D24" s="191"/>
      <c r="E24" s="191"/>
    </row>
    <row r="25" spans="1:10" x14ac:dyDescent="0.2">
      <c r="A25" s="93"/>
      <c r="B25" s="272"/>
      <c r="C25" s="272"/>
      <c r="D25" s="191"/>
      <c r="E25" s="191"/>
    </row>
    <row r="26" spans="1:10" x14ac:dyDescent="0.2">
      <c r="A26" s="93"/>
      <c r="B26" s="272"/>
      <c r="C26" s="272"/>
      <c r="D26" s="191"/>
      <c r="E26" s="191"/>
    </row>
    <row r="27" spans="1:10" x14ac:dyDescent="0.2">
      <c r="A27" s="93"/>
      <c r="B27" s="93"/>
      <c r="C27" s="93"/>
    </row>
    <row r="28" spans="1:10" x14ac:dyDescent="0.2">
      <c r="A28" s="93"/>
      <c r="B28" s="272"/>
      <c r="C28" s="272"/>
      <c r="D28" s="191"/>
      <c r="E28" s="191"/>
    </row>
    <row r="29" spans="1:10" x14ac:dyDescent="0.2">
      <c r="A29" s="93"/>
      <c r="B29" s="93"/>
      <c r="C29" s="93"/>
    </row>
    <row r="30" spans="1:10" x14ac:dyDescent="0.2">
      <c r="A30" s="93"/>
      <c r="B30" s="93"/>
      <c r="C30" s="93"/>
    </row>
    <row r="31" spans="1:10" x14ac:dyDescent="0.2">
      <c r="A31" s="93"/>
      <c r="B31" s="272"/>
      <c r="C31" s="272"/>
      <c r="D31" s="191"/>
      <c r="E31" s="191"/>
    </row>
    <row r="33" spans="1:8" x14ac:dyDescent="0.2">
      <c r="A33" s="93"/>
      <c r="B33" s="485"/>
      <c r="C33" s="485"/>
    </row>
    <row r="35" spans="1:8" ht="13.5" thickBot="1" x14ac:dyDescent="0.25">
      <c r="H35" s="95">
        <f>SUM(H18:H34)</f>
        <v>9752</v>
      </c>
    </row>
    <row r="36" spans="1:8" ht="13.5" thickTop="1" x14ac:dyDescent="0.2"/>
    <row r="37" spans="1:8" ht="20.100000000000001" customHeight="1" x14ac:dyDescent="0.2">
      <c r="A37" s="96" t="s">
        <v>1075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 Thousand Seven Hundred Fifty-Two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235" t="s">
        <v>3973</v>
      </c>
      <c r="F39" s="218" t="s">
        <v>3975</v>
      </c>
      <c r="G39" s="219"/>
      <c r="H39" s="220"/>
    </row>
    <row r="40" spans="1:8" x14ac:dyDescent="0.2">
      <c r="A40" s="98"/>
      <c r="F40" s="228"/>
      <c r="G40" s="229"/>
      <c r="H40" s="229"/>
    </row>
    <row r="41" spans="1:8" x14ac:dyDescent="0.2">
      <c r="D41" s="485"/>
      <c r="E41" s="485"/>
    </row>
    <row r="42" spans="1:8" x14ac:dyDescent="0.2">
      <c r="A42" s="98"/>
      <c r="D42" s="485"/>
      <c r="E42" s="485"/>
    </row>
    <row r="43" spans="1:8" x14ac:dyDescent="0.2">
      <c r="A43" s="100"/>
      <c r="B43" s="101"/>
      <c r="C43" s="386"/>
    </row>
    <row r="44" spans="1:8" x14ac:dyDescent="0.2">
      <c r="A44" s="98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C49" s="386"/>
      <c r="D49" s="100"/>
      <c r="F49" s="101"/>
      <c r="G49" s="101"/>
      <c r="H49" s="101"/>
    </row>
    <row r="50" spans="1:8" s="61" customFormat="1" ht="17.100000000000001" customHeight="1" x14ac:dyDescent="0.2">
      <c r="A50" s="98" t="s">
        <v>4047</v>
      </c>
      <c r="B50" s="104"/>
      <c r="C50" s="104"/>
      <c r="D50" s="98" t="s">
        <v>50</v>
      </c>
      <c r="F50" s="61" t="s">
        <v>3</v>
      </c>
    </row>
    <row r="51" spans="1:8" x14ac:dyDescent="0.2">
      <c r="A51" s="98"/>
      <c r="F51" s="91" t="s">
        <v>2</v>
      </c>
    </row>
    <row r="52" spans="1:8" x14ac:dyDescent="0.2">
      <c r="A52" s="98"/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412"/>
  <dimension ref="A1:R56"/>
  <sheetViews>
    <sheetView view="pageBreakPreview" zoomScaleNormal="100" zoomScaleSheetLayoutView="100" workbookViewId="0">
      <selection activeCell="G9" sqref="G9:G12"/>
    </sheetView>
  </sheetViews>
  <sheetFormatPr defaultRowHeight="12.75" x14ac:dyDescent="0.2"/>
  <cols>
    <col min="1" max="1" width="16" style="323" customWidth="1"/>
    <col min="2" max="2" width="13.42578125" style="323" customWidth="1"/>
    <col min="3" max="3" width="0.85546875" style="323" customWidth="1"/>
    <col min="4" max="4" width="21" style="323" customWidth="1"/>
    <col min="5" max="5" width="0.85546875" style="323" customWidth="1"/>
    <col min="6" max="6" width="16.42578125" style="323" customWidth="1"/>
    <col min="7" max="7" width="9" style="323" customWidth="1"/>
    <col min="8" max="8" width="13.28515625" style="323" customWidth="1"/>
    <col min="9" max="17" width="9.140625" style="322"/>
    <col min="18" max="18" width="10.85546875" style="322" bestFit="1" customWidth="1"/>
    <col min="19" max="16384" width="9.140625" style="322"/>
  </cols>
  <sheetData>
    <row r="1" spans="1:18" ht="15" x14ac:dyDescent="0.25">
      <c r="A1" s="526" t="s">
        <v>34</v>
      </c>
      <c r="B1" s="526"/>
      <c r="C1" s="526"/>
      <c r="D1" s="526"/>
      <c r="E1" s="526"/>
      <c r="F1" s="526"/>
      <c r="G1" s="526"/>
      <c r="H1" s="526"/>
    </row>
    <row r="2" spans="1:18" x14ac:dyDescent="0.2">
      <c r="A2" s="527" t="s">
        <v>33</v>
      </c>
      <c r="B2" s="527"/>
      <c r="C2" s="527"/>
      <c r="D2" s="527"/>
      <c r="E2" s="527"/>
      <c r="F2" s="527"/>
      <c r="G2" s="527"/>
      <c r="H2" s="527"/>
    </row>
    <row r="3" spans="1:18" x14ac:dyDescent="0.2">
      <c r="A3" s="527" t="s">
        <v>1829</v>
      </c>
      <c r="B3" s="527"/>
      <c r="C3" s="527"/>
      <c r="D3" s="527"/>
      <c r="E3" s="527"/>
      <c r="F3" s="527"/>
      <c r="G3" s="527"/>
      <c r="H3" s="527"/>
    </row>
    <row r="4" spans="1:18" x14ac:dyDescent="0.2">
      <c r="A4" s="527" t="s">
        <v>1828</v>
      </c>
      <c r="B4" s="527"/>
      <c r="C4" s="527"/>
      <c r="D4" s="527"/>
      <c r="E4" s="527"/>
      <c r="F4" s="527"/>
      <c r="G4" s="527"/>
      <c r="H4" s="527"/>
    </row>
    <row r="6" spans="1:18" x14ac:dyDescent="0.2">
      <c r="J6" s="322" t="s">
        <v>6952</v>
      </c>
      <c r="K6" s="322">
        <v>43402</v>
      </c>
      <c r="M6" s="322" t="s">
        <v>6953</v>
      </c>
    </row>
    <row r="8" spans="1:18" x14ac:dyDescent="0.2">
      <c r="A8" s="323" t="s">
        <v>32</v>
      </c>
      <c r="F8" s="324" t="s">
        <v>31</v>
      </c>
    </row>
    <row r="9" spans="1:18" x14ac:dyDescent="0.2">
      <c r="F9" s="325" t="s">
        <v>1317</v>
      </c>
      <c r="G9" s="155" t="s">
        <v>7600</v>
      </c>
    </row>
    <row r="10" spans="1:18" x14ac:dyDescent="0.2">
      <c r="A10" s="323" t="s">
        <v>4651</v>
      </c>
      <c r="F10" s="325" t="s">
        <v>1329</v>
      </c>
      <c r="G10" s="155" t="s">
        <v>7599</v>
      </c>
    </row>
    <row r="11" spans="1:18" x14ac:dyDescent="0.2">
      <c r="A11" s="323" t="s">
        <v>4647</v>
      </c>
      <c r="F11" s="325" t="s">
        <v>1330</v>
      </c>
      <c r="G11" s="155" t="s">
        <v>1220</v>
      </c>
    </row>
    <row r="12" spans="1:18" x14ac:dyDescent="0.2">
      <c r="A12" s="323" t="s">
        <v>4648</v>
      </c>
      <c r="F12" s="325" t="s">
        <v>1331</v>
      </c>
      <c r="G12" s="94" t="s">
        <v>7603</v>
      </c>
    </row>
    <row r="13" spans="1:18" x14ac:dyDescent="0.2">
      <c r="A13" s="323" t="s">
        <v>4649</v>
      </c>
      <c r="G13" s="91"/>
    </row>
    <row r="14" spans="1:18" x14ac:dyDescent="0.2">
      <c r="A14" s="323" t="s">
        <v>4650</v>
      </c>
      <c r="K14" s="323"/>
      <c r="L14" s="323"/>
      <c r="M14" s="323"/>
      <c r="N14" s="333"/>
      <c r="O14" s="333"/>
      <c r="P14" s="323"/>
      <c r="Q14" s="323"/>
      <c r="R14" s="323"/>
    </row>
    <row r="15" spans="1:18" x14ac:dyDescent="0.2">
      <c r="K15" s="332"/>
      <c r="L15" s="323"/>
      <c r="M15" s="323"/>
      <c r="N15" s="333"/>
      <c r="O15" s="333"/>
      <c r="P15" s="323"/>
      <c r="Q15" s="323"/>
      <c r="R15" s="323"/>
    </row>
    <row r="16" spans="1:18" s="331" customFormat="1" ht="20.100000000000001" customHeight="1" x14ac:dyDescent="0.2">
      <c r="A16" s="326" t="s">
        <v>1226</v>
      </c>
      <c r="B16" s="326" t="s">
        <v>128</v>
      </c>
      <c r="C16" s="326"/>
      <c r="D16" s="327" t="s">
        <v>19</v>
      </c>
      <c r="E16" s="327"/>
      <c r="F16" s="328"/>
      <c r="G16" s="329"/>
      <c r="H16" s="330" t="s">
        <v>18</v>
      </c>
      <c r="K16" s="334"/>
      <c r="L16" s="335"/>
      <c r="M16" s="335"/>
      <c r="N16" s="323"/>
      <c r="O16" s="323"/>
      <c r="P16" s="323"/>
      <c r="Q16" s="323"/>
      <c r="R16" s="323"/>
    </row>
    <row r="17" spans="1:18" x14ac:dyDescent="0.2">
      <c r="A17" s="332"/>
      <c r="K17" s="334"/>
      <c r="L17" s="336"/>
      <c r="M17" s="336"/>
      <c r="N17" s="323"/>
      <c r="O17" s="323"/>
      <c r="P17" s="323"/>
      <c r="Q17" s="323"/>
      <c r="R17" s="323"/>
    </row>
    <row r="18" spans="1:18" x14ac:dyDescent="0.2">
      <c r="D18" s="333" t="s">
        <v>6029</v>
      </c>
      <c r="E18" s="333"/>
      <c r="K18" s="334"/>
      <c r="L18" s="335"/>
      <c r="M18" s="335"/>
      <c r="N18" s="333"/>
      <c r="O18" s="323"/>
      <c r="P18" s="323"/>
      <c r="Q18" s="323"/>
      <c r="R18" s="323"/>
    </row>
    <row r="19" spans="1:18" x14ac:dyDescent="0.2">
      <c r="A19" s="332"/>
      <c r="D19" s="333"/>
      <c r="E19" s="333"/>
      <c r="M19" s="91" t="s">
        <v>6956</v>
      </c>
      <c r="N19" s="323"/>
      <c r="O19" s="323"/>
      <c r="P19" s="323"/>
      <c r="Q19" s="323">
        <v>200</v>
      </c>
    </row>
    <row r="20" spans="1:18" x14ac:dyDescent="0.2">
      <c r="A20" s="93" t="s">
        <v>7594</v>
      </c>
      <c r="B20" s="93" t="s">
        <v>7601</v>
      </c>
      <c r="C20" s="335"/>
      <c r="D20" s="91" t="s">
        <v>6956</v>
      </c>
      <c r="H20" s="323">
        <v>120</v>
      </c>
      <c r="M20" s="91" t="s">
        <v>6955</v>
      </c>
      <c r="N20" s="323"/>
      <c r="O20" s="323"/>
      <c r="P20" s="323"/>
      <c r="Q20" s="323"/>
    </row>
    <row r="21" spans="1:18" x14ac:dyDescent="0.2">
      <c r="A21" s="334"/>
      <c r="B21" s="336"/>
      <c r="C21" s="336"/>
      <c r="D21" s="91" t="s">
        <v>6959</v>
      </c>
      <c r="M21" s="91" t="s">
        <v>6959</v>
      </c>
      <c r="N21" s="323"/>
      <c r="O21" s="323"/>
      <c r="P21" s="323"/>
      <c r="Q21" s="323"/>
    </row>
    <row r="22" spans="1:18" x14ac:dyDescent="0.2">
      <c r="A22" s="334"/>
      <c r="B22" s="335"/>
      <c r="C22" s="335"/>
      <c r="D22" s="91" t="s">
        <v>7602</v>
      </c>
      <c r="M22" s="91" t="s">
        <v>6957</v>
      </c>
      <c r="N22" s="337"/>
      <c r="O22" s="323"/>
      <c r="P22" s="323"/>
      <c r="Q22" s="323"/>
    </row>
    <row r="23" spans="1:18" x14ac:dyDescent="0.2">
      <c r="D23" s="91"/>
      <c r="E23" s="337"/>
      <c r="M23" s="91"/>
      <c r="N23" s="323"/>
      <c r="O23" s="323"/>
      <c r="P23" s="323"/>
      <c r="Q23" s="323"/>
    </row>
    <row r="24" spans="1:18" x14ac:dyDescent="0.2">
      <c r="A24" s="334"/>
      <c r="B24" s="335"/>
      <c r="D24" s="91"/>
      <c r="M24" s="91" t="s">
        <v>6958</v>
      </c>
      <c r="N24" s="323"/>
      <c r="O24" s="323"/>
      <c r="P24" s="323"/>
      <c r="Q24" s="323">
        <v>650</v>
      </c>
    </row>
    <row r="25" spans="1:18" x14ac:dyDescent="0.2">
      <c r="A25" s="338"/>
      <c r="B25" s="335"/>
      <c r="C25" s="335"/>
      <c r="D25" s="91"/>
      <c r="M25" s="91" t="s">
        <v>6955</v>
      </c>
      <c r="N25" s="337"/>
      <c r="O25" s="323"/>
      <c r="P25" s="323"/>
      <c r="Q25" s="323"/>
    </row>
    <row r="26" spans="1:18" x14ac:dyDescent="0.2">
      <c r="D26" s="91"/>
      <c r="E26" s="337"/>
      <c r="M26" s="91" t="s">
        <v>6959</v>
      </c>
      <c r="N26" s="339"/>
      <c r="O26" s="323"/>
      <c r="P26" s="323"/>
      <c r="Q26" s="323"/>
    </row>
    <row r="27" spans="1:18" x14ac:dyDescent="0.2">
      <c r="D27" s="91"/>
      <c r="E27" s="339"/>
      <c r="M27" s="91" t="s">
        <v>6957</v>
      </c>
      <c r="N27" s="333"/>
      <c r="O27" s="323"/>
      <c r="P27" s="323"/>
      <c r="Q27" s="323"/>
    </row>
    <row r="28" spans="1:18" x14ac:dyDescent="0.2">
      <c r="A28" s="334"/>
      <c r="B28" s="335"/>
      <c r="D28" s="91"/>
      <c r="E28" s="333"/>
      <c r="M28" s="323"/>
      <c r="N28" s="333"/>
      <c r="O28" s="323"/>
      <c r="P28" s="323"/>
      <c r="Q28" s="323"/>
    </row>
    <row r="29" spans="1:18" x14ac:dyDescent="0.2">
      <c r="A29" s="334"/>
      <c r="B29" s="335"/>
      <c r="E29" s="333"/>
      <c r="M29" s="91"/>
      <c r="N29" s="333"/>
      <c r="O29" s="323"/>
      <c r="P29" s="323"/>
      <c r="Q29" s="323"/>
    </row>
    <row r="30" spans="1:18" x14ac:dyDescent="0.2">
      <c r="A30" s="334"/>
      <c r="B30" s="335"/>
      <c r="D30" s="91"/>
      <c r="E30" s="333"/>
      <c r="M30" s="91"/>
      <c r="N30" s="333"/>
      <c r="O30" s="323"/>
      <c r="P30" s="323"/>
      <c r="Q30" s="323"/>
    </row>
    <row r="31" spans="1:18" x14ac:dyDescent="0.2">
      <c r="A31" s="334"/>
      <c r="B31" s="335"/>
      <c r="D31" s="91"/>
      <c r="E31" s="333"/>
      <c r="M31" s="323"/>
      <c r="N31" s="323"/>
      <c r="O31" s="323"/>
      <c r="P31" s="323"/>
      <c r="Q31" s="323"/>
    </row>
    <row r="32" spans="1:18" x14ac:dyDescent="0.2">
      <c r="A32" s="334"/>
      <c r="B32" s="335"/>
      <c r="C32" s="335"/>
      <c r="M32" s="91"/>
      <c r="N32" s="323"/>
      <c r="O32" s="323"/>
      <c r="P32" s="323"/>
      <c r="Q32" s="323"/>
    </row>
    <row r="33" spans="1:17" x14ac:dyDescent="0.2">
      <c r="A33" s="334"/>
      <c r="B33" s="335"/>
      <c r="C33" s="335"/>
      <c r="D33" s="91"/>
      <c r="M33" s="91"/>
      <c r="N33" s="323"/>
      <c r="O33" s="323"/>
      <c r="P33" s="323"/>
      <c r="Q33" s="323"/>
    </row>
    <row r="34" spans="1:17" x14ac:dyDescent="0.2">
      <c r="A34" s="335"/>
      <c r="D34" s="91"/>
      <c r="M34" s="91"/>
      <c r="N34" s="323"/>
      <c r="O34" s="323"/>
      <c r="P34" s="323"/>
      <c r="Q34" s="323"/>
    </row>
    <row r="35" spans="1:17" x14ac:dyDescent="0.2">
      <c r="A35" s="338"/>
      <c r="B35" s="336"/>
      <c r="C35" s="336"/>
      <c r="D35" s="91"/>
    </row>
    <row r="36" spans="1:17" x14ac:dyDescent="0.2">
      <c r="A36" s="340"/>
      <c r="B36" s="322"/>
      <c r="C36" s="322"/>
      <c r="D36" s="322"/>
      <c r="E36" s="322"/>
      <c r="F36" s="322"/>
      <c r="G36" s="322"/>
      <c r="H36" s="322"/>
    </row>
    <row r="37" spans="1:17" ht="13.5" thickBot="1" x14ac:dyDescent="0.25">
      <c r="A37" s="332"/>
      <c r="H37" s="341">
        <f>SUM(H19:H36)</f>
        <v>120</v>
      </c>
    </row>
    <row r="38" spans="1:17" ht="13.5" thickTop="1" x14ac:dyDescent="0.2">
      <c r="A38" s="332"/>
    </row>
    <row r="39" spans="1:17" ht="20.100000000000001" customHeight="1" x14ac:dyDescent="0.2">
      <c r="A39" s="342" t="s">
        <v>1248</v>
      </c>
      <c r="B39" s="343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Hundred Twenty and NO/100 -----------</v>
      </c>
      <c r="C39" s="343"/>
      <c r="D39" s="344"/>
      <c r="E39" s="344"/>
      <c r="F39" s="345"/>
      <c r="G39" s="345"/>
      <c r="H39" s="345"/>
    </row>
    <row r="40" spans="1:17" x14ac:dyDescent="0.2">
      <c r="A40" s="336"/>
    </row>
    <row r="41" spans="1:17" ht="25.5" x14ac:dyDescent="0.2">
      <c r="A41" s="323" t="s">
        <v>10</v>
      </c>
      <c r="F41" s="346" t="s">
        <v>3975</v>
      </c>
      <c r="G41" s="347"/>
      <c r="H41" s="348"/>
    </row>
    <row r="42" spans="1:17" x14ac:dyDescent="0.2">
      <c r="F42" s="349"/>
      <c r="G42" s="349"/>
      <c r="H42" s="349"/>
    </row>
    <row r="43" spans="1:17" x14ac:dyDescent="0.2">
      <c r="F43" s="350"/>
      <c r="G43" s="351"/>
      <c r="H43" s="351"/>
    </row>
    <row r="44" spans="1:17" x14ac:dyDescent="0.2">
      <c r="A44" s="322"/>
    </row>
    <row r="45" spans="1:17" x14ac:dyDescent="0.2">
      <c r="A45" s="352"/>
      <c r="B45" s="352"/>
    </row>
    <row r="47" spans="1:17" x14ac:dyDescent="0.2">
      <c r="A47" s="323" t="s">
        <v>8</v>
      </c>
      <c r="D47" s="323" t="s">
        <v>8</v>
      </c>
      <c r="F47" s="353" t="s">
        <v>7</v>
      </c>
      <c r="H47" s="354"/>
    </row>
    <row r="51" spans="1:8" x14ac:dyDescent="0.2">
      <c r="A51" s="352" t="s">
        <v>120</v>
      </c>
      <c r="B51" s="352"/>
      <c r="D51" s="352" t="s">
        <v>120</v>
      </c>
      <c r="F51" s="352"/>
      <c r="G51" s="352"/>
      <c r="H51" s="352"/>
    </row>
    <row r="52" spans="1:8" s="357" customFormat="1" ht="17.100000000000001" customHeight="1" x14ac:dyDescent="0.2">
      <c r="A52" s="355" t="s">
        <v>4066</v>
      </c>
      <c r="B52" s="356"/>
      <c r="C52" s="356"/>
      <c r="D52" s="61" t="s">
        <v>50</v>
      </c>
      <c r="E52" s="355"/>
      <c r="F52" s="355" t="s">
        <v>3</v>
      </c>
      <c r="G52" s="355"/>
      <c r="H52" s="355"/>
    </row>
    <row r="53" spans="1:8" x14ac:dyDescent="0.2">
      <c r="F53" s="323" t="s">
        <v>2</v>
      </c>
    </row>
    <row r="55" spans="1:8" x14ac:dyDescent="0.2">
      <c r="F55" s="333" t="s">
        <v>1</v>
      </c>
    </row>
    <row r="56" spans="1:8" x14ac:dyDescent="0.2">
      <c r="F56" s="333" t="s">
        <v>0</v>
      </c>
    </row>
  </sheetData>
  <customSheetViews>
    <customSheetView guid="{6428A7A0-B31B-40C1-A13E-AD0DCC619E51}" topLeftCell="A25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413"/>
  <dimension ref="A1:L55"/>
  <sheetViews>
    <sheetView zoomScaleNormal="100" workbookViewId="0">
      <selection activeCell="F34" sqref="F34"/>
    </sheetView>
  </sheetViews>
  <sheetFormatPr defaultRowHeight="12.75" x14ac:dyDescent="0.2"/>
  <cols>
    <col min="1" max="1" width="14" style="91" customWidth="1"/>
    <col min="2" max="2" width="17.5703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D9" s="92" t="s">
        <v>1317</v>
      </c>
      <c r="E9" s="91" t="s">
        <v>5021</v>
      </c>
    </row>
    <row r="10" spans="1:12" x14ac:dyDescent="0.2">
      <c r="A10" s="91" t="s">
        <v>3952</v>
      </c>
      <c r="D10" s="92" t="s">
        <v>1329</v>
      </c>
      <c r="E10" s="92" t="s">
        <v>5022</v>
      </c>
    </row>
    <row r="11" spans="1:12" x14ac:dyDescent="0.2">
      <c r="A11" s="91" t="s">
        <v>4532</v>
      </c>
      <c r="D11" s="92" t="s">
        <v>1330</v>
      </c>
      <c r="E11" s="92" t="s">
        <v>1220</v>
      </c>
    </row>
    <row r="12" spans="1:12" x14ac:dyDescent="0.2">
      <c r="A12" s="91" t="s">
        <v>4533</v>
      </c>
      <c r="D12" s="92" t="s">
        <v>1331</v>
      </c>
      <c r="E12" s="92" t="s">
        <v>5027</v>
      </c>
    </row>
    <row r="13" spans="1:12" x14ac:dyDescent="0.2">
      <c r="A13" s="91" t="s">
        <v>628</v>
      </c>
    </row>
    <row r="14" spans="1:12" x14ac:dyDescent="0.2">
      <c r="A14" s="91" t="s">
        <v>4534</v>
      </c>
    </row>
    <row r="15" spans="1:12" x14ac:dyDescent="0.2">
      <c r="L15" s="80" t="s">
        <v>658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5023</v>
      </c>
    </row>
    <row r="19" spans="1:6" x14ac:dyDescent="0.2">
      <c r="A19" s="106"/>
      <c r="C19" s="2"/>
    </row>
    <row r="20" spans="1:6" x14ac:dyDescent="0.2">
      <c r="A20" s="92" t="s">
        <v>5024</v>
      </c>
      <c r="B20" s="261"/>
      <c r="C20" s="91" t="s">
        <v>5025</v>
      </c>
      <c r="F20" s="91">
        <v>492287.83</v>
      </c>
    </row>
    <row r="21" spans="1:6" x14ac:dyDescent="0.2">
      <c r="A21" s="93"/>
      <c r="B21" s="94"/>
      <c r="C21" s="91" t="s">
        <v>5026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492287.83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>Four Hundred Ninety-Two Thousand Two Hundred Eighty-Seven and 83/100 -----------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  <row r="55" spans="1:6" x14ac:dyDescent="0.2">
      <c r="D55" s="2"/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414">
    <pageSetUpPr fitToPage="1"/>
  </sheetPr>
  <dimension ref="A1:G57"/>
  <sheetViews>
    <sheetView topLeftCell="A5"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6.42578125" style="152" customWidth="1"/>
    <col min="5" max="5" width="9.140625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4258</v>
      </c>
      <c r="F9" s="153"/>
    </row>
    <row r="10" spans="1:6" x14ac:dyDescent="0.2">
      <c r="A10" s="153" t="s">
        <v>3966</v>
      </c>
      <c r="B10" s="153"/>
      <c r="C10" s="153"/>
      <c r="D10" s="155" t="s">
        <v>1357</v>
      </c>
      <c r="E10" s="92" t="s">
        <v>4242</v>
      </c>
      <c r="F10" s="153"/>
    </row>
    <row r="11" spans="1:6" x14ac:dyDescent="0.2">
      <c r="A11" s="153" t="s">
        <v>3967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3968</v>
      </c>
      <c r="B12" s="153"/>
      <c r="C12" s="153"/>
      <c r="D12" s="155" t="s">
        <v>1377</v>
      </c>
      <c r="E12" s="92" t="s">
        <v>4259</v>
      </c>
      <c r="F12" s="153"/>
    </row>
    <row r="13" spans="1:6" x14ac:dyDescent="0.2">
      <c r="A13" s="153" t="s">
        <v>3969</v>
      </c>
      <c r="B13" s="153"/>
      <c r="C13" s="153"/>
      <c r="D13" s="153"/>
      <c r="E13" s="91"/>
      <c r="F13" s="153"/>
    </row>
    <row r="14" spans="1:6" x14ac:dyDescent="0.2">
      <c r="A14" s="153" t="s">
        <v>3970</v>
      </c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7" x14ac:dyDescent="0.2">
      <c r="A17" s="153"/>
      <c r="B17" s="153"/>
      <c r="C17" s="153"/>
      <c r="D17" s="153"/>
      <c r="E17" s="153"/>
      <c r="F17" s="153"/>
    </row>
    <row r="18" spans="1:7" x14ac:dyDescent="0.2">
      <c r="A18" s="153"/>
      <c r="B18" s="153"/>
      <c r="C18" s="163" t="s">
        <v>3971</v>
      </c>
      <c r="D18" s="153"/>
      <c r="E18" s="153"/>
      <c r="F18" s="153"/>
    </row>
    <row r="19" spans="1:7" x14ac:dyDescent="0.2">
      <c r="A19" s="153"/>
      <c r="B19" s="153"/>
      <c r="C19" s="153"/>
      <c r="D19" s="153"/>
      <c r="E19" s="153"/>
      <c r="F19" s="153"/>
      <c r="G19" s="153"/>
    </row>
    <row r="20" spans="1:7" x14ac:dyDescent="0.2">
      <c r="A20" s="166" t="s">
        <v>4241</v>
      </c>
      <c r="B20" s="173" t="s">
        <v>4260</v>
      </c>
      <c r="C20" s="153" t="s">
        <v>4261</v>
      </c>
      <c r="D20" s="153"/>
      <c r="E20" s="153"/>
      <c r="F20" s="153">
        <f>2000*70%</f>
        <v>1400</v>
      </c>
      <c r="G20" s="153"/>
    </row>
    <row r="21" spans="1:7" x14ac:dyDescent="0.2">
      <c r="A21" s="173"/>
      <c r="B21" s="173"/>
      <c r="C21" s="153"/>
      <c r="D21" s="153"/>
      <c r="E21" s="153"/>
      <c r="F21" s="153"/>
      <c r="G21" s="153"/>
    </row>
    <row r="22" spans="1:7" x14ac:dyDescent="0.2">
      <c r="A22" s="166"/>
      <c r="B22" s="173"/>
      <c r="C22" s="153" t="s">
        <v>4262</v>
      </c>
      <c r="D22" s="153"/>
      <c r="E22" s="153"/>
      <c r="F22" s="153">
        <f>1800*70%</f>
        <v>1260</v>
      </c>
      <c r="G22" s="153"/>
    </row>
    <row r="23" spans="1:7" x14ac:dyDescent="0.2">
      <c r="A23" s="165"/>
      <c r="B23" s="153"/>
      <c r="C23" s="153"/>
      <c r="F23" s="153"/>
      <c r="G23" s="153"/>
    </row>
    <row r="24" spans="1:7" x14ac:dyDescent="0.2">
      <c r="A24" s="165"/>
      <c r="B24" s="153"/>
      <c r="C24" s="153"/>
      <c r="D24" s="153"/>
      <c r="E24" s="153"/>
      <c r="F24" s="153"/>
      <c r="G24" s="153"/>
    </row>
    <row r="25" spans="1:7" x14ac:dyDescent="0.2">
      <c r="A25" s="166"/>
      <c r="B25" s="153"/>
      <c r="C25" s="167"/>
      <c r="D25" s="153"/>
      <c r="E25" s="153"/>
      <c r="F25" s="153"/>
      <c r="G25" s="153"/>
    </row>
    <row r="26" spans="1:7" x14ac:dyDescent="0.2">
      <c r="A26" s="164"/>
      <c r="B26" s="153"/>
      <c r="C26" s="153"/>
      <c r="D26" s="153"/>
      <c r="E26" s="153"/>
      <c r="F26" s="153"/>
      <c r="G26" s="153"/>
    </row>
    <row r="27" spans="1:7" x14ac:dyDescent="0.2">
      <c r="A27" s="166"/>
      <c r="B27" s="153"/>
      <c r="C27" s="153"/>
      <c r="D27" s="153"/>
      <c r="E27" s="153"/>
      <c r="F27" s="153"/>
      <c r="G27" s="153"/>
    </row>
    <row r="28" spans="1:7" x14ac:dyDescent="0.2">
      <c r="A28" s="164"/>
      <c r="B28" s="153"/>
      <c r="C28" s="167"/>
      <c r="D28" s="153"/>
      <c r="E28" s="153"/>
      <c r="F28" s="153"/>
      <c r="G28" s="153"/>
    </row>
    <row r="29" spans="1:7" x14ac:dyDescent="0.2">
      <c r="A29" s="164"/>
      <c r="B29" s="153"/>
      <c r="C29" s="153"/>
      <c r="D29" s="153"/>
      <c r="E29" s="153"/>
      <c r="F29" s="153"/>
      <c r="G29" s="153"/>
    </row>
    <row r="30" spans="1:7" x14ac:dyDescent="0.2">
      <c r="A30" s="168"/>
      <c r="B30" s="169"/>
      <c r="G30" s="153"/>
    </row>
    <row r="31" spans="1:7" x14ac:dyDescent="0.2">
      <c r="A31" s="168"/>
      <c r="B31" s="169"/>
      <c r="C31" s="153"/>
      <c r="D31" s="153"/>
      <c r="E31" s="153"/>
      <c r="F31" s="153"/>
      <c r="G31" s="153"/>
    </row>
    <row r="32" spans="1:7" x14ac:dyDescent="0.2">
      <c r="A32" s="168"/>
      <c r="B32" s="169"/>
      <c r="C32" s="153"/>
      <c r="D32" s="153"/>
      <c r="E32" s="153"/>
      <c r="F32" s="153"/>
      <c r="G32" s="153"/>
    </row>
    <row r="33" spans="1:7" x14ac:dyDescent="0.2">
      <c r="A33" s="168"/>
      <c r="B33" s="169"/>
      <c r="C33" s="153"/>
      <c r="D33" s="153"/>
      <c r="E33" s="153"/>
      <c r="F33" s="153"/>
      <c r="G33" s="153"/>
    </row>
    <row r="34" spans="1:7" x14ac:dyDescent="0.2">
      <c r="A34" s="153"/>
      <c r="B34" s="153"/>
      <c r="C34" s="153"/>
      <c r="D34" s="153"/>
      <c r="E34" s="153"/>
      <c r="G34" s="153"/>
    </row>
    <row r="35" spans="1:7" ht="13.5" thickBot="1" x14ac:dyDescent="0.25">
      <c r="A35" s="153"/>
      <c r="B35" s="153"/>
      <c r="C35" s="153"/>
      <c r="D35" s="153"/>
      <c r="E35" s="153"/>
      <c r="F35" s="170">
        <f>SUM(F20:F33)</f>
        <v>2660</v>
      </c>
      <c r="G35" s="153"/>
    </row>
    <row r="36" spans="1:7" ht="13.5" thickTop="1" x14ac:dyDescent="0.2">
      <c r="A36" s="153"/>
      <c r="B36" s="153"/>
      <c r="C36" s="153"/>
      <c r="D36" s="230"/>
      <c r="E36" s="231"/>
      <c r="F36" s="231"/>
      <c r="G36" s="153"/>
    </row>
    <row r="37" spans="1:7" ht="20.100000000000001" customHeight="1" x14ac:dyDescent="0.2">
      <c r="A37" s="171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Six Hundred Sixty and NO/100 -----------</v>
      </c>
      <c r="C37" s="172"/>
      <c r="D37" s="221"/>
      <c r="E37" s="221"/>
      <c r="F37" s="221"/>
      <c r="G37" s="153"/>
    </row>
    <row r="38" spans="1:7" ht="20.100000000000001" customHeight="1" x14ac:dyDescent="0.2">
      <c r="A38" s="197"/>
      <c r="B38" s="103"/>
      <c r="C38" s="156"/>
      <c r="D38" s="221"/>
      <c r="E38" s="221"/>
      <c r="F38" s="221"/>
      <c r="G38" s="153"/>
    </row>
    <row r="39" spans="1:7" x14ac:dyDescent="0.2">
      <c r="A39" s="197" t="s">
        <v>3974</v>
      </c>
      <c r="B39" s="103"/>
      <c r="C39" s="156"/>
      <c r="D39" s="156"/>
      <c r="E39" s="156"/>
      <c r="F39" s="156"/>
      <c r="G39" s="153"/>
    </row>
    <row r="40" spans="1:7" x14ac:dyDescent="0.2">
      <c r="A40" s="169" t="s">
        <v>11</v>
      </c>
      <c r="B40" s="153"/>
      <c r="C40" s="153"/>
      <c r="D40" s="227"/>
      <c r="E40" s="227"/>
      <c r="F40" s="227"/>
    </row>
    <row r="41" spans="1:7" ht="25.5" customHeight="1" x14ac:dyDescent="0.2">
      <c r="B41" s="153"/>
      <c r="C41" s="153"/>
      <c r="D41" s="218" t="s">
        <v>3975</v>
      </c>
      <c r="E41" s="219"/>
      <c r="F41" s="220"/>
    </row>
    <row r="42" spans="1:7" x14ac:dyDescent="0.2">
      <c r="A42" s="153"/>
      <c r="B42" s="153"/>
      <c r="C42" s="153"/>
      <c r="D42" s="228"/>
      <c r="E42" s="229"/>
      <c r="F42" s="229"/>
    </row>
    <row r="43" spans="1:7" x14ac:dyDescent="0.2">
      <c r="A43" s="153"/>
      <c r="B43" s="153"/>
      <c r="C43" s="173"/>
      <c r="D43" s="153"/>
      <c r="E43" s="153"/>
      <c r="F43" s="153"/>
    </row>
    <row r="44" spans="1:7" x14ac:dyDescent="0.2">
      <c r="A44" s="174"/>
      <c r="B44" s="174"/>
      <c r="C44" s="153"/>
      <c r="D44" s="153"/>
      <c r="E44" s="153"/>
      <c r="F44" s="153"/>
    </row>
    <row r="45" spans="1:7" x14ac:dyDescent="0.2">
      <c r="B45" s="153"/>
      <c r="C45" s="153"/>
      <c r="D45" s="153"/>
      <c r="E45" s="153"/>
      <c r="F45" s="153"/>
    </row>
    <row r="46" spans="1:7" x14ac:dyDescent="0.2">
      <c r="A46" s="175" t="s">
        <v>8</v>
      </c>
      <c r="C46" s="153"/>
      <c r="D46" s="175" t="s">
        <v>7</v>
      </c>
      <c r="E46" s="153"/>
      <c r="F46" s="176"/>
    </row>
    <row r="47" spans="1:7" x14ac:dyDescent="0.2">
      <c r="B47" s="153"/>
      <c r="C47" s="153"/>
      <c r="D47" s="153"/>
      <c r="E47" s="153"/>
      <c r="F47" s="153"/>
    </row>
    <row r="48" spans="1:7" x14ac:dyDescent="0.2">
      <c r="A48" s="153"/>
      <c r="B48" s="153"/>
      <c r="C48" s="153"/>
      <c r="D48" s="153"/>
      <c r="E48" s="153"/>
      <c r="F48" s="153"/>
    </row>
    <row r="49" spans="1:6" x14ac:dyDescent="0.2">
      <c r="A49" s="153" t="s">
        <v>4066</v>
      </c>
      <c r="B49" s="153"/>
      <c r="C49" s="153"/>
      <c r="D49" s="153"/>
      <c r="E49" s="153"/>
      <c r="F49" s="153"/>
    </row>
    <row r="50" spans="1:6" x14ac:dyDescent="0.2">
      <c r="A50" s="174"/>
      <c r="B50" s="174"/>
      <c r="C50" s="153"/>
      <c r="D50" s="174"/>
      <c r="E50" s="174"/>
      <c r="F50" s="174"/>
    </row>
    <row r="51" spans="1:6" s="178" customFormat="1" ht="17.100000000000001" customHeight="1" x14ac:dyDescent="0.2">
      <c r="A51" s="153" t="s">
        <v>4066</v>
      </c>
      <c r="B51" s="177"/>
      <c r="C51" s="156"/>
      <c r="D51" s="156" t="s">
        <v>3</v>
      </c>
      <c r="E51" s="156"/>
      <c r="F51" s="156"/>
    </row>
    <row r="52" spans="1:6" x14ac:dyDescent="0.2">
      <c r="A52" s="153"/>
      <c r="B52" s="153"/>
      <c r="C52" s="153"/>
      <c r="D52" s="153" t="s">
        <v>2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63" t="s">
        <v>1</v>
      </c>
      <c r="E54" s="153"/>
      <c r="F54" s="153"/>
    </row>
    <row r="55" spans="1:6" x14ac:dyDescent="0.2">
      <c r="A55" s="153"/>
      <c r="B55" s="153"/>
      <c r="C55" s="153"/>
      <c r="D55" s="163" t="s">
        <v>0</v>
      </c>
      <c r="E55" s="153"/>
      <c r="F55" s="153"/>
    </row>
    <row r="56" spans="1:6" x14ac:dyDescent="0.2">
      <c r="A56" s="153"/>
      <c r="B56" s="153"/>
      <c r="C56" s="153"/>
      <c r="D56" s="153"/>
      <c r="E56" s="153"/>
      <c r="F56" s="153"/>
    </row>
    <row r="57" spans="1:6" x14ac:dyDescent="0.2">
      <c r="A57" s="153"/>
      <c r="B57" s="153"/>
      <c r="C57" s="153"/>
      <c r="D57" s="153"/>
      <c r="E57" s="153"/>
      <c r="F57" s="153"/>
    </row>
  </sheetData>
  <customSheetViews>
    <customSheetView guid="{6428A7A0-B31B-40C1-A13E-AD0DCC619E51}" fitToPage="1" topLeftCell="A5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365">
    <pageSetUpPr fitToPage="1"/>
  </sheetPr>
  <dimension ref="A1:H52"/>
  <sheetViews>
    <sheetView topLeftCell="A34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6598</v>
      </c>
    </row>
    <row r="10" spans="1:8" x14ac:dyDescent="0.2">
      <c r="A10" s="91" t="s">
        <v>3952</v>
      </c>
      <c r="F10" s="92" t="s">
        <v>1357</v>
      </c>
      <c r="G10" s="91" t="s">
        <v>6587</v>
      </c>
    </row>
    <row r="11" spans="1:8" x14ac:dyDescent="0.2">
      <c r="A11" s="91" t="s">
        <v>3953</v>
      </c>
      <c r="F11" s="92" t="s">
        <v>1330</v>
      </c>
      <c r="G11" s="91" t="s">
        <v>1220</v>
      </c>
    </row>
    <row r="12" spans="1:8" x14ac:dyDescent="0.2">
      <c r="A12" s="91" t="s">
        <v>3954</v>
      </c>
      <c r="F12" s="92" t="s">
        <v>1224</v>
      </c>
      <c r="G12" s="94" t="s">
        <v>6602</v>
      </c>
    </row>
    <row r="13" spans="1:8" x14ac:dyDescent="0.2">
      <c r="A13" s="91" t="s">
        <v>3955</v>
      </c>
    </row>
    <row r="14" spans="1:8" x14ac:dyDescent="0.2">
      <c r="A14" s="91" t="s">
        <v>3956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17" t="s">
        <v>6581</v>
      </c>
      <c r="E18" s="217"/>
    </row>
    <row r="19" spans="1:8" x14ac:dyDescent="0.2">
      <c r="A19" s="93"/>
      <c r="B19" s="99"/>
      <c r="C19" s="99"/>
      <c r="D19" s="14"/>
      <c r="E19" s="14"/>
    </row>
    <row r="20" spans="1:8" x14ac:dyDescent="0.2">
      <c r="A20" s="92" t="s">
        <v>6599</v>
      </c>
      <c r="B20" s="93"/>
      <c r="C20" s="93"/>
      <c r="D20" s="91" t="s">
        <v>6601</v>
      </c>
      <c r="H20" s="91">
        <v>4550</v>
      </c>
    </row>
    <row r="21" spans="1:8" x14ac:dyDescent="0.2">
      <c r="A21" s="191" t="s">
        <v>6600</v>
      </c>
    </row>
    <row r="23" spans="1:8" x14ac:dyDescent="0.2">
      <c r="A23" s="99"/>
      <c r="B23" s="93"/>
      <c r="C23" s="93"/>
    </row>
    <row r="24" spans="1:8" x14ac:dyDescent="0.2">
      <c r="A24" s="99"/>
      <c r="B24" s="93"/>
      <c r="C24" s="93"/>
    </row>
    <row r="25" spans="1:8" x14ac:dyDescent="0.2">
      <c r="A25" s="99"/>
      <c r="B25" s="93"/>
      <c r="C25" s="93"/>
    </row>
    <row r="26" spans="1:8" x14ac:dyDescent="0.2">
      <c r="A26" s="93"/>
      <c r="B26" s="93"/>
      <c r="C26" s="93"/>
    </row>
    <row r="27" spans="1:8" x14ac:dyDescent="0.2">
      <c r="A27" s="99"/>
      <c r="B27" s="99"/>
      <c r="C27" s="99"/>
    </row>
    <row r="28" spans="1:8" x14ac:dyDescent="0.2">
      <c r="A28" s="93"/>
      <c r="B28" s="93"/>
      <c r="C28" s="93"/>
      <c r="D28" s="2"/>
      <c r="E28" s="2"/>
    </row>
    <row r="29" spans="1:8" x14ac:dyDescent="0.2">
      <c r="H29" s="2"/>
    </row>
    <row r="30" spans="1:8" x14ac:dyDescent="0.2">
      <c r="A30" s="93"/>
      <c r="B30" s="93"/>
      <c r="C30" s="93"/>
    </row>
    <row r="31" spans="1:8" x14ac:dyDescent="0.2">
      <c r="B31" s="94"/>
      <c r="C31" s="94"/>
    </row>
    <row r="33" spans="1:8" ht="13.5" thickBot="1" x14ac:dyDescent="0.25">
      <c r="H33" s="95">
        <f>SUM(H18:H32)</f>
        <v>4550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 Thousand Five Hundred Fifty and NO/100 -----------</v>
      </c>
      <c r="C35" s="185"/>
      <c r="D35" s="97"/>
      <c r="E35" s="97"/>
      <c r="F35" s="97"/>
      <c r="G35" s="97"/>
      <c r="H35" s="97"/>
    </row>
    <row r="36" spans="1:8" ht="12.75" customHeight="1" x14ac:dyDescent="0.2">
      <c r="A36" s="113"/>
      <c r="B36" s="103"/>
      <c r="C36" s="103"/>
      <c r="D36" s="61"/>
      <c r="E36" s="61"/>
      <c r="F36" s="97"/>
      <c r="G36" s="97"/>
      <c r="H36" s="97"/>
    </row>
    <row r="37" spans="1:8" ht="25.5" x14ac:dyDescent="0.2">
      <c r="A37" s="94" t="s">
        <v>3973</v>
      </c>
      <c r="F37" s="218" t="s">
        <v>3975</v>
      </c>
      <c r="G37" s="219"/>
      <c r="H37" s="220"/>
    </row>
    <row r="39" spans="1:8" x14ac:dyDescent="0.2">
      <c r="A39" s="1"/>
    </row>
    <row r="40" spans="1:8" x14ac:dyDescent="0.2">
      <c r="A40" s="91" t="s">
        <v>121</v>
      </c>
      <c r="F40" s="227"/>
      <c r="G40" s="227"/>
      <c r="H40" s="227"/>
    </row>
    <row r="41" spans="1:8" x14ac:dyDescent="0.2">
      <c r="A41" s="101"/>
      <c r="B41" s="101"/>
      <c r="D41" s="99"/>
      <c r="E41" s="99"/>
      <c r="F41" s="228"/>
      <c r="G41" s="229"/>
      <c r="H41" s="229"/>
    </row>
    <row r="43" spans="1:8" x14ac:dyDescent="0.2">
      <c r="A43" s="98" t="s">
        <v>8</v>
      </c>
      <c r="D43" s="98" t="s">
        <v>8</v>
      </c>
      <c r="F43" s="98" t="s">
        <v>7</v>
      </c>
    </row>
    <row r="44" spans="1:8" x14ac:dyDescent="0.2">
      <c r="H44" s="102"/>
    </row>
    <row r="47" spans="1:8" x14ac:dyDescent="0.2">
      <c r="A47" s="101"/>
      <c r="B47" s="101"/>
      <c r="D47" s="101"/>
      <c r="F47" s="101"/>
      <c r="G47" s="101"/>
      <c r="H47" s="101"/>
    </row>
    <row r="48" spans="1:8" x14ac:dyDescent="0.2">
      <c r="A48" s="91" t="s">
        <v>4066</v>
      </c>
      <c r="D48" s="91" t="s">
        <v>50</v>
      </c>
      <c r="F48" s="61" t="s">
        <v>3</v>
      </c>
    </row>
    <row r="49" spans="1:6" s="61" customFormat="1" ht="17.100000000000001" customHeight="1" x14ac:dyDescent="0.2">
      <c r="A49" s="103"/>
      <c r="B49" s="104"/>
      <c r="C49" s="104"/>
      <c r="D49" s="103"/>
      <c r="F49" s="91" t="s">
        <v>2</v>
      </c>
    </row>
    <row r="50" spans="1:6" x14ac:dyDescent="0.2">
      <c r="A50" s="98"/>
    </row>
    <row r="51" spans="1:6" x14ac:dyDescent="0.2">
      <c r="A51" s="98"/>
      <c r="F51" s="2" t="s">
        <v>1</v>
      </c>
    </row>
    <row r="52" spans="1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366">
    <pageSetUpPr fitToPage="1"/>
  </sheetPr>
  <dimension ref="A1:I54"/>
  <sheetViews>
    <sheetView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85546875" style="91" customWidth="1"/>
    <col min="4" max="4" width="21" style="91" customWidth="1"/>
    <col min="5" max="5" width="0.42578125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113" t="s">
        <v>7888</v>
      </c>
      <c r="I9" s="61"/>
    </row>
    <row r="10" spans="1:9" x14ac:dyDescent="0.2">
      <c r="A10" s="91" t="s">
        <v>3788</v>
      </c>
      <c r="F10" s="92" t="s">
        <v>1335</v>
      </c>
      <c r="G10" s="98" t="s">
        <v>7882</v>
      </c>
      <c r="I10" s="113"/>
    </row>
    <row r="11" spans="1:9" x14ac:dyDescent="0.2">
      <c r="A11" s="91" t="s">
        <v>3789</v>
      </c>
      <c r="F11" s="92" t="s">
        <v>1333</v>
      </c>
      <c r="G11" s="92" t="s">
        <v>1220</v>
      </c>
      <c r="I11" s="113"/>
    </row>
    <row r="12" spans="1:9" x14ac:dyDescent="0.2">
      <c r="A12" s="91" t="s">
        <v>3790</v>
      </c>
      <c r="F12" s="92" t="s">
        <v>1331</v>
      </c>
      <c r="G12" s="94" t="s">
        <v>7889</v>
      </c>
      <c r="I12" s="113"/>
    </row>
    <row r="13" spans="1:9" x14ac:dyDescent="0.2">
      <c r="A13" s="91" t="s">
        <v>1015</v>
      </c>
      <c r="G13" s="91" t="s">
        <v>6823</v>
      </c>
    </row>
    <row r="14" spans="1:9" x14ac:dyDescent="0.2">
      <c r="A14" s="91" t="s">
        <v>3791</v>
      </c>
    </row>
    <row r="15" spans="1:9" x14ac:dyDescent="0.2">
      <c r="A15" s="91" t="s">
        <v>3792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111"/>
      <c r="C18" s="111"/>
      <c r="D18" s="2" t="s">
        <v>7890</v>
      </c>
      <c r="E18" s="2"/>
    </row>
    <row r="19" spans="1:8" x14ac:dyDescent="0.2">
      <c r="A19" s="93"/>
      <c r="B19" s="111"/>
      <c r="C19" s="111"/>
      <c r="D19" s="2" t="s">
        <v>7891</v>
      </c>
      <c r="E19" s="2"/>
    </row>
    <row r="20" spans="1:8" x14ac:dyDescent="0.2">
      <c r="A20" s="93"/>
      <c r="B20" s="111"/>
      <c r="C20" s="111"/>
    </row>
    <row r="21" spans="1:8" x14ac:dyDescent="0.2">
      <c r="A21" s="93" t="s">
        <v>7892</v>
      </c>
      <c r="B21" s="93" t="s">
        <v>7893</v>
      </c>
      <c r="C21" s="93"/>
      <c r="D21" s="91" t="s">
        <v>7894</v>
      </c>
      <c r="H21" s="91">
        <v>2122.64</v>
      </c>
    </row>
    <row r="22" spans="1:8" x14ac:dyDescent="0.2">
      <c r="A22" s="93"/>
      <c r="B22" s="111"/>
      <c r="C22" s="111"/>
      <c r="D22" s="91" t="s">
        <v>6649</v>
      </c>
      <c r="H22" s="91">
        <v>30</v>
      </c>
    </row>
    <row r="23" spans="1:8" x14ac:dyDescent="0.2">
      <c r="D23" s="91" t="s">
        <v>6650</v>
      </c>
      <c r="H23" s="91">
        <v>100</v>
      </c>
    </row>
    <row r="24" spans="1:8" x14ac:dyDescent="0.2">
      <c r="A24" s="93"/>
      <c r="B24" s="99"/>
      <c r="C24" s="455"/>
      <c r="D24" s="91" t="s">
        <v>6886</v>
      </c>
      <c r="H24" s="91">
        <v>127.36</v>
      </c>
    </row>
    <row r="25" spans="1:8" x14ac:dyDescent="0.2">
      <c r="A25" s="93"/>
      <c r="B25" s="111"/>
      <c r="C25" s="111"/>
    </row>
    <row r="26" spans="1:8" x14ac:dyDescent="0.2">
      <c r="A26" s="93"/>
      <c r="B26" s="93"/>
      <c r="C26" s="93"/>
    </row>
    <row r="27" spans="1:8" x14ac:dyDescent="0.2">
      <c r="A27" s="111"/>
      <c r="B27" s="93"/>
      <c r="C27" s="93"/>
    </row>
    <row r="28" spans="1:8" x14ac:dyDescent="0.2">
      <c r="A28" s="111"/>
      <c r="B28" s="93"/>
      <c r="C28" s="93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</row>
    <row r="34" spans="1:8" x14ac:dyDescent="0.2">
      <c r="H34" s="23"/>
    </row>
    <row r="35" spans="1:8" ht="13.5" thickBot="1" x14ac:dyDescent="0.25">
      <c r="H35" s="208">
        <f>SUM(H18:H33)</f>
        <v>2380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Three Hundred Eighty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455"/>
    </row>
    <row r="42" spans="1:8" x14ac:dyDescent="0.2">
      <c r="A42" s="91" t="s">
        <v>121</v>
      </c>
      <c r="D42" s="99"/>
      <c r="E42" s="455"/>
    </row>
    <row r="43" spans="1:8" x14ac:dyDescent="0.2">
      <c r="A43" s="101"/>
      <c r="B43" s="101"/>
      <c r="C43" s="386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/>
      <c r="B49" s="101"/>
      <c r="C49" s="386"/>
      <c r="D49" s="101"/>
      <c r="F49" s="101"/>
      <c r="G49" s="101"/>
      <c r="H49" s="101"/>
    </row>
    <row r="50" spans="1:8" s="3" customFormat="1" ht="17.100000000000001" customHeight="1" x14ac:dyDescent="0.2">
      <c r="A50" s="209" t="s">
        <v>4066</v>
      </c>
      <c r="B50" s="104"/>
      <c r="C50" s="104"/>
      <c r="D50" s="209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367">
    <pageSetUpPr fitToPage="1"/>
  </sheetPr>
  <dimension ref="A1:F49"/>
  <sheetViews>
    <sheetView topLeftCell="A1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3714</v>
      </c>
      <c r="D9" s="92" t="s">
        <v>1317</v>
      </c>
      <c r="E9" s="91" t="s">
        <v>3711</v>
      </c>
    </row>
    <row r="10" spans="1:6" x14ac:dyDescent="0.2">
      <c r="A10" s="91" t="s">
        <v>3718</v>
      </c>
      <c r="D10" s="92" t="s">
        <v>1329</v>
      </c>
      <c r="E10" s="92" t="s">
        <v>3710</v>
      </c>
    </row>
    <row r="11" spans="1:6" x14ac:dyDescent="0.2">
      <c r="A11" s="91" t="s">
        <v>3715</v>
      </c>
      <c r="D11" s="92" t="s">
        <v>1330</v>
      </c>
      <c r="E11" s="92" t="s">
        <v>1220</v>
      </c>
    </row>
    <row r="12" spans="1:6" x14ac:dyDescent="0.2">
      <c r="A12" s="91" t="s">
        <v>3716</v>
      </c>
      <c r="D12" s="92" t="s">
        <v>1331</v>
      </c>
      <c r="E12" s="92" t="s">
        <v>3712</v>
      </c>
    </row>
    <row r="13" spans="1:6" x14ac:dyDescent="0.2">
      <c r="A13" s="91" t="s">
        <v>3717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3713</v>
      </c>
    </row>
    <row r="19" spans="1:6" x14ac:dyDescent="0.2">
      <c r="A19" s="106"/>
    </row>
    <row r="20" spans="1:6" x14ac:dyDescent="0.2">
      <c r="A20" s="93"/>
      <c r="B20" s="201" t="s">
        <v>3719</v>
      </c>
      <c r="C20" s="91" t="s">
        <v>3720</v>
      </c>
      <c r="F20" s="91">
        <v>1200</v>
      </c>
    </row>
    <row r="21" spans="1:6" x14ac:dyDescent="0.2">
      <c r="A21" s="106"/>
    </row>
    <row r="22" spans="1:6" x14ac:dyDescent="0.2">
      <c r="A22" s="106"/>
    </row>
    <row r="23" spans="1:6" x14ac:dyDescent="0.2">
      <c r="A23" s="106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1200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2936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33">
    <pageSetUpPr fitToPage="1"/>
  </sheetPr>
  <dimension ref="A1:H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7109375" style="91" customWidth="1"/>
    <col min="4" max="4" width="21" style="91" customWidth="1"/>
    <col min="5" max="5" width="2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1300</v>
      </c>
      <c r="G9" s="61" t="s">
        <v>6281</v>
      </c>
    </row>
    <row r="10" spans="1:8" x14ac:dyDescent="0.2">
      <c r="A10" s="91" t="s">
        <v>6283</v>
      </c>
      <c r="F10" s="92" t="s">
        <v>1356</v>
      </c>
      <c r="G10" s="113" t="s">
        <v>6278</v>
      </c>
    </row>
    <row r="11" spans="1:8" x14ac:dyDescent="0.2">
      <c r="F11" s="92" t="s">
        <v>1364</v>
      </c>
      <c r="G11" s="113" t="s">
        <v>1220</v>
      </c>
    </row>
    <row r="12" spans="1:8" x14ac:dyDescent="0.2">
      <c r="F12" s="92" t="s">
        <v>1224</v>
      </c>
      <c r="G12" s="113" t="s">
        <v>6282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6285</v>
      </c>
      <c r="E18" s="2"/>
    </row>
    <row r="19" spans="1:8" x14ac:dyDescent="0.2">
      <c r="A19" s="106"/>
      <c r="D19" s="2"/>
      <c r="E19" s="2"/>
    </row>
    <row r="20" spans="1:8" x14ac:dyDescent="0.2">
      <c r="A20" s="105" t="s">
        <v>6284</v>
      </c>
      <c r="B20" s="93"/>
      <c r="C20" s="93"/>
      <c r="D20" s="91" t="s">
        <v>6286</v>
      </c>
      <c r="H20" s="91">
        <v>24015.119999999999</v>
      </c>
    </row>
    <row r="21" spans="1:8" x14ac:dyDescent="0.2">
      <c r="A21" s="137"/>
    </row>
    <row r="22" spans="1:8" x14ac:dyDescent="0.2">
      <c r="A22" s="106"/>
      <c r="H22" s="110"/>
    </row>
    <row r="23" spans="1:8" x14ac:dyDescent="0.2">
      <c r="A23" s="137"/>
    </row>
    <row r="24" spans="1:8" x14ac:dyDescent="0.2">
      <c r="A24" s="106"/>
    </row>
    <row r="25" spans="1:8" x14ac:dyDescent="0.2">
      <c r="A25" s="137"/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1" spans="1:8" x14ac:dyDescent="0.2">
      <c r="A31" s="106"/>
    </row>
    <row r="32" spans="1:8" x14ac:dyDescent="0.2">
      <c r="A32" s="106"/>
    </row>
    <row r="33" spans="1:8" ht="13.5" thickBot="1" x14ac:dyDescent="0.25">
      <c r="A33" s="106"/>
      <c r="H33" s="107">
        <f>SUM(H19:H31)</f>
        <v>24015.119999999999</v>
      </c>
    </row>
    <row r="34" spans="1:8" ht="13.5" thickTop="1" x14ac:dyDescent="0.2">
      <c r="A34" s="106"/>
      <c r="H34" s="101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Twenty-Four Thousand Fifteen and 12/100 -----------</v>
      </c>
      <c r="C35" s="185"/>
      <c r="D35" s="97"/>
      <c r="E35" s="97"/>
      <c r="F35" s="97"/>
      <c r="G35" s="97"/>
      <c r="H35" s="207"/>
    </row>
    <row r="36" spans="1:8" ht="20.25" customHeight="1" x14ac:dyDescent="0.2">
      <c r="A36" s="113"/>
      <c r="B36" s="113"/>
      <c r="C36" s="113"/>
      <c r="D36" s="61"/>
      <c r="E36" s="61"/>
      <c r="F36" s="97"/>
      <c r="G36" s="97"/>
      <c r="H36" s="207"/>
    </row>
    <row r="37" spans="1:8" ht="25.5" x14ac:dyDescent="0.2">
      <c r="A37" s="61" t="s">
        <v>10</v>
      </c>
      <c r="F37" s="218" t="s">
        <v>3975</v>
      </c>
      <c r="G37" s="219"/>
      <c r="H37" s="220"/>
    </row>
    <row r="40" spans="1:8" x14ac:dyDescent="0.2">
      <c r="F40" s="227"/>
      <c r="G40" s="227"/>
      <c r="H40" s="227"/>
    </row>
    <row r="41" spans="1:8" x14ac:dyDescent="0.2">
      <c r="A41" s="91" t="s">
        <v>120</v>
      </c>
      <c r="D41" s="99"/>
      <c r="E41" s="99"/>
      <c r="F41" s="228"/>
      <c r="G41" s="229"/>
      <c r="H41" s="229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6" s="61" customFormat="1" ht="17.100000000000001" customHeight="1" x14ac:dyDescent="0.2">
      <c r="A49" s="61" t="s">
        <v>4066</v>
      </c>
      <c r="B49" s="104"/>
      <c r="C49" s="104"/>
      <c r="D49" s="61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360"/>
  <dimension ref="A1:F52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85546875" style="91" customWidth="1"/>
    <col min="6" max="6" width="12.710937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3611</v>
      </c>
      <c r="D9" s="92" t="s">
        <v>1317</v>
      </c>
      <c r="E9" s="91" t="s">
        <v>4284</v>
      </c>
    </row>
    <row r="10" spans="1:6" x14ac:dyDescent="0.2">
      <c r="A10" s="91" t="s">
        <v>3612</v>
      </c>
      <c r="D10" s="92" t="s">
        <v>1329</v>
      </c>
      <c r="E10" s="234" t="s">
        <v>4278</v>
      </c>
    </row>
    <row r="11" spans="1:6" x14ac:dyDescent="0.2">
      <c r="D11" s="92" t="s">
        <v>1330</v>
      </c>
      <c r="E11" s="92" t="s">
        <v>1220</v>
      </c>
    </row>
    <row r="12" spans="1:6" x14ac:dyDescent="0.2">
      <c r="D12" s="92" t="s">
        <v>1331</v>
      </c>
      <c r="E12" s="94" t="s">
        <v>4285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4286</v>
      </c>
    </row>
    <row r="19" spans="1:6" x14ac:dyDescent="0.2">
      <c r="A19" s="106"/>
      <c r="C19" s="2"/>
    </row>
    <row r="20" spans="1:6" x14ac:dyDescent="0.2">
      <c r="A20" s="93" t="s">
        <v>4248</v>
      </c>
      <c r="B20" s="93" t="s">
        <v>4287</v>
      </c>
      <c r="C20" s="91" t="s">
        <v>4288</v>
      </c>
      <c r="F20" s="91">
        <v>800</v>
      </c>
    </row>
    <row r="21" spans="1:6" x14ac:dyDescent="0.2">
      <c r="A21" s="93"/>
      <c r="B21" s="94"/>
    </row>
    <row r="22" spans="1:6" x14ac:dyDescent="0.2">
      <c r="A22" s="93"/>
      <c r="B22" s="94"/>
    </row>
    <row r="23" spans="1:6" x14ac:dyDescent="0.2">
      <c r="A23" s="93"/>
      <c r="B23" s="94"/>
    </row>
    <row r="24" spans="1:6" x14ac:dyDescent="0.2">
      <c r="A24" s="93"/>
      <c r="B24" s="99"/>
    </row>
    <row r="25" spans="1:6" x14ac:dyDescent="0.2">
      <c r="A25" s="137"/>
      <c r="B25" s="99"/>
    </row>
    <row r="26" spans="1:6" x14ac:dyDescent="0.2">
      <c r="A26" s="137"/>
      <c r="B26" s="99"/>
    </row>
    <row r="29" spans="1:6" x14ac:dyDescent="0.2">
      <c r="C29" s="2"/>
    </row>
    <row r="30" spans="1:6" x14ac:dyDescent="0.2">
      <c r="A30" s="93"/>
      <c r="B30" s="99"/>
    </row>
    <row r="31" spans="1:6" x14ac:dyDescent="0.2">
      <c r="A31" s="137"/>
      <c r="B31" s="94"/>
    </row>
    <row r="32" spans="1:6" x14ac:dyDescent="0.2">
      <c r="A32" s="7"/>
      <c r="B32" s="1"/>
      <c r="C32" s="1"/>
      <c r="D32" s="1"/>
      <c r="E32" s="1"/>
      <c r="F32" s="1"/>
    </row>
    <row r="33" spans="1:6" ht="13.5" thickBot="1" x14ac:dyDescent="0.25">
      <c r="A33" s="106"/>
      <c r="F33" s="107">
        <f>SUM(F19:F32)</f>
        <v>800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Eight Hundred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61" t="s">
        <v>10</v>
      </c>
      <c r="D37" s="218" t="s">
        <v>3975</v>
      </c>
      <c r="E37" s="219"/>
      <c r="F37" s="220"/>
    </row>
    <row r="40" spans="1:6" x14ac:dyDescent="0.2">
      <c r="D40" s="227"/>
      <c r="E40" s="227"/>
      <c r="F40" s="227"/>
    </row>
    <row r="41" spans="1:6" x14ac:dyDescent="0.2">
      <c r="A41" s="101"/>
      <c r="B41" s="101"/>
      <c r="D41" s="228"/>
      <c r="E41" s="229"/>
      <c r="F41" s="229"/>
    </row>
    <row r="42" spans="1:6" x14ac:dyDescent="0.2">
      <c r="A42" s="1"/>
      <c r="D42" s="98" t="s">
        <v>7</v>
      </c>
      <c r="F42" s="102"/>
    </row>
    <row r="43" spans="1:6" x14ac:dyDescent="0.2">
      <c r="A43" s="91" t="s">
        <v>8</v>
      </c>
      <c r="D43" s="98"/>
      <c r="F43" s="102"/>
    </row>
    <row r="47" spans="1:6" x14ac:dyDescent="0.2">
      <c r="A47" s="101" t="s">
        <v>120</v>
      </c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showPageBreaks="1" printArea="1" view="pageBreakPreview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332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3582</v>
      </c>
    </row>
    <row r="10" spans="1:6" x14ac:dyDescent="0.2">
      <c r="A10" s="91" t="s">
        <v>3578</v>
      </c>
      <c r="D10" s="92" t="s">
        <v>1357</v>
      </c>
      <c r="E10" s="98" t="s">
        <v>3581</v>
      </c>
    </row>
    <row r="11" spans="1:6" x14ac:dyDescent="0.2">
      <c r="A11" s="91" t="s">
        <v>3579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4" t="s">
        <v>3583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3580</v>
      </c>
    </row>
    <row r="20" spans="1:6" x14ac:dyDescent="0.2">
      <c r="A20" s="93"/>
      <c r="B20" s="99"/>
      <c r="C20" s="91" t="s">
        <v>3584</v>
      </c>
      <c r="F20" s="91">
        <v>3626.2</v>
      </c>
    </row>
    <row r="21" spans="1:6" x14ac:dyDescent="0.2">
      <c r="A21" s="93"/>
      <c r="B21" s="99"/>
      <c r="C21" s="91" t="s">
        <v>3585</v>
      </c>
    </row>
    <row r="22" spans="1:6" x14ac:dyDescent="0.2">
      <c r="A22" s="93"/>
      <c r="B22" s="99"/>
    </row>
    <row r="23" spans="1:6" x14ac:dyDescent="0.2">
      <c r="A23" s="93"/>
      <c r="B23" s="99"/>
    </row>
    <row r="24" spans="1:6" x14ac:dyDescent="0.2">
      <c r="A24" s="93"/>
      <c r="B24" s="99"/>
    </row>
    <row r="25" spans="1:6" x14ac:dyDescent="0.2">
      <c r="A25" s="93"/>
      <c r="B25" s="99"/>
      <c r="C25" s="2"/>
    </row>
    <row r="26" spans="1:6" x14ac:dyDescent="0.2">
      <c r="A26" s="93"/>
      <c r="B26" s="99"/>
    </row>
    <row r="27" spans="1:6" x14ac:dyDescent="0.2">
      <c r="A27" s="93"/>
      <c r="B27" s="99"/>
    </row>
    <row r="28" spans="1:6" x14ac:dyDescent="0.2">
      <c r="A28" s="93"/>
      <c r="B28" s="99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3"/>
      <c r="B31" s="99"/>
    </row>
    <row r="32" spans="1:6" x14ac:dyDescent="0.2">
      <c r="C32" s="2"/>
    </row>
    <row r="33" spans="1:6" x14ac:dyDescent="0.2">
      <c r="A33" s="93"/>
      <c r="B33" s="99"/>
    </row>
    <row r="34" spans="1:6" ht="13.5" thickBot="1" x14ac:dyDescent="0.25">
      <c r="F34" s="107"/>
    </row>
    <row r="35" spans="1:6" ht="14.25" thickTop="1" thickBot="1" x14ac:dyDescent="0.25">
      <c r="F35" s="95">
        <f>SUM(F18:F34)</f>
        <v>3626.2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1075</v>
      </c>
      <c r="B37" s="185" t="s">
        <v>3586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3973</v>
      </c>
      <c r="D39" s="227"/>
      <c r="E39" s="227"/>
      <c r="F39" s="227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3972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303">
    <pageSetUpPr fitToPage="1"/>
  </sheetPr>
  <dimension ref="A1:F50"/>
  <sheetViews>
    <sheetView topLeftCell="A13" workbookViewId="0">
      <selection activeCell="F34" sqref="F34"/>
    </sheetView>
  </sheetViews>
  <sheetFormatPr defaultRowHeight="12.75" x14ac:dyDescent="0.2"/>
  <cols>
    <col min="1" max="1" width="15" style="91" customWidth="1"/>
    <col min="2" max="2" width="15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3429</v>
      </c>
    </row>
    <row r="10" spans="1:6" x14ac:dyDescent="0.2">
      <c r="A10" s="91" t="s">
        <v>3045</v>
      </c>
      <c r="D10" s="92" t="s">
        <v>1357</v>
      </c>
      <c r="E10" s="98" t="s">
        <v>3427</v>
      </c>
    </row>
    <row r="11" spans="1:6" x14ac:dyDescent="0.2">
      <c r="A11" s="91" t="s">
        <v>3046</v>
      </c>
      <c r="D11" s="92" t="s">
        <v>1330</v>
      </c>
      <c r="E11" s="92" t="s">
        <v>1220</v>
      </c>
    </row>
    <row r="12" spans="1:6" x14ac:dyDescent="0.2">
      <c r="A12" s="91" t="s">
        <v>1862</v>
      </c>
      <c r="D12" s="92" t="s">
        <v>1224</v>
      </c>
      <c r="E12" s="94" t="s">
        <v>3430</v>
      </c>
    </row>
    <row r="13" spans="1:6" x14ac:dyDescent="0.2">
      <c r="A13" s="91" t="s">
        <v>3047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 t="s">
        <v>3431</v>
      </c>
    </row>
    <row r="19" spans="1:6" x14ac:dyDescent="0.2">
      <c r="B19" s="93"/>
    </row>
    <row r="20" spans="1:6" x14ac:dyDescent="0.2">
      <c r="A20" s="93" t="s">
        <v>3432</v>
      </c>
      <c r="B20" s="93" t="s">
        <v>3433</v>
      </c>
      <c r="C20" s="91" t="s">
        <v>3434</v>
      </c>
      <c r="F20" s="91">
        <f>365</f>
        <v>365</v>
      </c>
    </row>
    <row r="21" spans="1:6" x14ac:dyDescent="0.2">
      <c r="B21" s="99"/>
    </row>
    <row r="22" spans="1:6" x14ac:dyDescent="0.2">
      <c r="B22" s="93"/>
    </row>
    <row r="23" spans="1:6" x14ac:dyDescent="0.2">
      <c r="B23" s="99"/>
    </row>
    <row r="24" spans="1:6" x14ac:dyDescent="0.2">
      <c r="A24" s="93"/>
      <c r="B24" s="93"/>
    </row>
    <row r="25" spans="1:6" x14ac:dyDescent="0.2">
      <c r="B25" s="93"/>
    </row>
    <row r="26" spans="1:6" x14ac:dyDescent="0.2">
      <c r="B26" s="99"/>
      <c r="C26" s="2"/>
    </row>
    <row r="27" spans="1:6" x14ac:dyDescent="0.2">
      <c r="B27" s="99"/>
      <c r="F27" s="2"/>
    </row>
    <row r="28" spans="1:6" x14ac:dyDescent="0.2">
      <c r="A28" s="93"/>
      <c r="B28" s="93"/>
    </row>
    <row r="29" spans="1:6" x14ac:dyDescent="0.2">
      <c r="B29" s="94"/>
    </row>
    <row r="31" spans="1:6" ht="13.5" thickBot="1" x14ac:dyDescent="0.25">
      <c r="F31" s="95">
        <f>SUM(F18:F30)</f>
        <v>365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3435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100"/>
      <c r="B39" s="101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/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Sheet304"/>
  <dimension ref="A1:G54"/>
  <sheetViews>
    <sheetView zoomScaleNormal="100"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15.42578125" style="91" customWidth="1"/>
    <col min="4" max="4" width="15.28515625" style="91" customWidth="1"/>
    <col min="5" max="5" width="12" style="91" customWidth="1"/>
    <col min="6" max="6" width="15.42578125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  <c r="E8" s="22"/>
    </row>
    <row r="9" spans="1:6" x14ac:dyDescent="0.2">
      <c r="D9" s="92" t="s">
        <v>1393</v>
      </c>
      <c r="E9" s="91" t="s">
        <v>4964</v>
      </c>
    </row>
    <row r="10" spans="1:6" x14ac:dyDescent="0.2">
      <c r="A10" s="91" t="s">
        <v>3101</v>
      </c>
      <c r="D10" s="92" t="s">
        <v>1356</v>
      </c>
      <c r="E10" s="234" t="s">
        <v>4963</v>
      </c>
    </row>
    <row r="11" spans="1:6" x14ac:dyDescent="0.2">
      <c r="A11" s="91" t="s">
        <v>3102</v>
      </c>
      <c r="D11" s="92" t="s">
        <v>1364</v>
      </c>
      <c r="E11" s="92" t="s">
        <v>1220</v>
      </c>
    </row>
    <row r="12" spans="1:6" x14ac:dyDescent="0.2">
      <c r="A12" s="91" t="s">
        <v>1245</v>
      </c>
      <c r="D12" s="92" t="s">
        <v>1394</v>
      </c>
      <c r="E12" s="94" t="s">
        <v>4965</v>
      </c>
    </row>
    <row r="13" spans="1:6" x14ac:dyDescent="0.2">
      <c r="A13" s="91" t="s">
        <v>3103</v>
      </c>
      <c r="D13" s="92"/>
      <c r="E13" s="92"/>
    </row>
    <row r="14" spans="1:6" x14ac:dyDescent="0.2">
      <c r="A14" s="91" t="s">
        <v>3104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7"/>
      <c r="F16" s="15" t="s">
        <v>18</v>
      </c>
    </row>
    <row r="18" spans="1:6" x14ac:dyDescent="0.2">
      <c r="A18" s="93"/>
      <c r="B18" s="93"/>
      <c r="C18" s="2" t="s">
        <v>4966</v>
      </c>
    </row>
    <row r="19" spans="1:6" x14ac:dyDescent="0.2">
      <c r="A19" s="94"/>
    </row>
    <row r="20" spans="1:6" x14ac:dyDescent="0.2">
      <c r="A20" s="93" t="s">
        <v>4967</v>
      </c>
      <c r="B20" s="93" t="s">
        <v>4968</v>
      </c>
      <c r="C20" s="91" t="s">
        <v>4969</v>
      </c>
      <c r="F20" s="91">
        <v>2500</v>
      </c>
    </row>
    <row r="21" spans="1:6" x14ac:dyDescent="0.2">
      <c r="A21" s="92"/>
      <c r="B21" s="93"/>
      <c r="C21" s="91" t="s">
        <v>4970</v>
      </c>
      <c r="F21" s="91">
        <v>2500</v>
      </c>
    </row>
    <row r="22" spans="1:6" x14ac:dyDescent="0.2">
      <c r="A22" s="93"/>
      <c r="B22" s="93"/>
    </row>
    <row r="23" spans="1:6" x14ac:dyDescent="0.2">
      <c r="A23" s="93"/>
      <c r="B23" s="99"/>
    </row>
    <row r="24" spans="1:6" x14ac:dyDescent="0.2">
      <c r="A24" s="93"/>
      <c r="B24" s="93"/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29" spans="1:6" x14ac:dyDescent="0.2">
      <c r="B29" s="94"/>
      <c r="C29" s="2"/>
    </row>
    <row r="30" spans="1:6" x14ac:dyDescent="0.2">
      <c r="B30" s="94"/>
    </row>
    <row r="31" spans="1:6" x14ac:dyDescent="0.2">
      <c r="B31" s="94"/>
    </row>
    <row r="32" spans="1:6" x14ac:dyDescent="0.2">
      <c r="B32" s="94"/>
    </row>
    <row r="33" spans="1:7" x14ac:dyDescent="0.2">
      <c r="B33" s="94"/>
    </row>
    <row r="34" spans="1:7" x14ac:dyDescent="0.2">
      <c r="B34" s="94"/>
    </row>
    <row r="35" spans="1:7" ht="13.5" thickBot="1" x14ac:dyDescent="0.25">
      <c r="F35" s="107">
        <f>SUM(F18:F33)</f>
        <v>5000</v>
      </c>
    </row>
    <row r="36" spans="1:7" ht="13.5" thickTop="1" x14ac:dyDescent="0.2"/>
    <row r="37" spans="1:7" ht="20.100000000000001" customHeight="1" x14ac:dyDescent="0.2">
      <c r="A37" s="96" t="s">
        <v>1465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Thousand and NO/100 -----------</v>
      </c>
      <c r="C37" s="97"/>
      <c r="D37" s="97"/>
      <c r="E37" s="97"/>
      <c r="F37" s="97"/>
    </row>
    <row r="38" spans="1:7" x14ac:dyDescent="0.2">
      <c r="A38" s="94" t="s">
        <v>11</v>
      </c>
    </row>
    <row r="39" spans="1:7" ht="30.75" customHeight="1" x14ac:dyDescent="0.2">
      <c r="A39" s="91" t="s">
        <v>10</v>
      </c>
      <c r="D39" s="233" t="s">
        <v>3975</v>
      </c>
      <c r="E39" s="232"/>
      <c r="F39" s="220"/>
    </row>
    <row r="40" spans="1:7" ht="24" customHeight="1" x14ac:dyDescent="0.2"/>
    <row r="41" spans="1:7" x14ac:dyDescent="0.2">
      <c r="D41" s="227"/>
      <c r="E41" s="227"/>
      <c r="F41" s="227"/>
      <c r="G41" s="227"/>
    </row>
    <row r="42" spans="1:7" x14ac:dyDescent="0.2">
      <c r="C42" s="99"/>
      <c r="D42" s="228"/>
      <c r="E42" s="228"/>
      <c r="F42" s="229"/>
      <c r="G42" s="229"/>
    </row>
    <row r="43" spans="1:7" x14ac:dyDescent="0.2">
      <c r="A43" s="101"/>
      <c r="B43" s="101"/>
    </row>
    <row r="45" spans="1:7" x14ac:dyDescent="0.2">
      <c r="A45" s="98" t="s">
        <v>8</v>
      </c>
      <c r="D45" s="98" t="s">
        <v>7</v>
      </c>
      <c r="E45" s="98"/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  <c r="E53" s="2"/>
    </row>
    <row r="54" spans="1:6" x14ac:dyDescent="0.2">
      <c r="D54" s="2" t="s">
        <v>0</v>
      </c>
      <c r="E54" s="2"/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Sheet278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2869</v>
      </c>
    </row>
    <row r="10" spans="1:6" x14ac:dyDescent="0.2">
      <c r="A10" s="91" t="s">
        <v>2871</v>
      </c>
      <c r="D10" s="92" t="s">
        <v>1329</v>
      </c>
      <c r="E10" s="98" t="s">
        <v>2858</v>
      </c>
    </row>
    <row r="11" spans="1:6" x14ac:dyDescent="0.2">
      <c r="A11" s="91" t="s">
        <v>2872</v>
      </c>
      <c r="D11" s="92" t="s">
        <v>1330</v>
      </c>
      <c r="E11" s="92" t="s">
        <v>1220</v>
      </c>
    </row>
    <row r="12" spans="1:6" x14ac:dyDescent="0.2">
      <c r="A12" s="91" t="s">
        <v>2873</v>
      </c>
      <c r="D12" s="92" t="s">
        <v>1331</v>
      </c>
      <c r="E12" s="92" t="s">
        <v>2870</v>
      </c>
    </row>
    <row r="13" spans="1:6" x14ac:dyDescent="0.2">
      <c r="A13" s="91" t="s">
        <v>1271</v>
      </c>
    </row>
    <row r="14" spans="1:6" x14ac:dyDescent="0.2">
      <c r="A14" s="91" t="s">
        <v>2874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31"/>
      <c r="F16" s="15" t="s">
        <v>18</v>
      </c>
    </row>
    <row r="17" spans="1:6" x14ac:dyDescent="0.2">
      <c r="A17" s="106"/>
    </row>
    <row r="18" spans="1:6" x14ac:dyDescent="0.2">
      <c r="C18" s="2" t="s">
        <v>2864</v>
      </c>
    </row>
    <row r="19" spans="1:6" x14ac:dyDescent="0.2">
      <c r="A19" s="106"/>
      <c r="C19" s="2" t="s">
        <v>2865</v>
      </c>
    </row>
    <row r="20" spans="1:6" x14ac:dyDescent="0.2">
      <c r="A20" s="93"/>
      <c r="B20" s="93"/>
    </row>
    <row r="21" spans="1:6" x14ac:dyDescent="0.2">
      <c r="A21" s="137" t="s">
        <v>2866</v>
      </c>
      <c r="B21" s="99" t="s">
        <v>2875</v>
      </c>
      <c r="C21" s="91" t="s">
        <v>2876</v>
      </c>
      <c r="F21" s="91">
        <f>36.04*70</f>
        <v>2522.7999999999997</v>
      </c>
    </row>
    <row r="22" spans="1:6" x14ac:dyDescent="0.2">
      <c r="A22" s="106"/>
    </row>
    <row r="23" spans="1:6" x14ac:dyDescent="0.2">
      <c r="A23" s="106"/>
      <c r="C23" s="91" t="s">
        <v>2877</v>
      </c>
      <c r="F23" s="91">
        <v>700</v>
      </c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SUM(F21:F28)</f>
        <v>3222.7999999999997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2878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250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4401</v>
      </c>
      <c r="D9" s="92" t="s">
        <v>1317</v>
      </c>
      <c r="E9" s="91" t="s">
        <v>4399</v>
      </c>
    </row>
    <row r="10" spans="1:6" x14ac:dyDescent="0.2">
      <c r="A10" s="91" t="s">
        <v>2648</v>
      </c>
      <c r="D10" s="92" t="s">
        <v>1329</v>
      </c>
      <c r="E10" s="98" t="s">
        <v>4362</v>
      </c>
    </row>
    <row r="11" spans="1:6" x14ac:dyDescent="0.2">
      <c r="A11" s="91" t="s">
        <v>2649</v>
      </c>
      <c r="D11" s="92" t="s">
        <v>1330</v>
      </c>
      <c r="E11" s="92" t="s">
        <v>1220</v>
      </c>
    </row>
    <row r="12" spans="1:6" x14ac:dyDescent="0.2">
      <c r="A12" s="91" t="s">
        <v>1284</v>
      </c>
      <c r="D12" s="92" t="s">
        <v>1331</v>
      </c>
      <c r="E12" s="92" t="s">
        <v>4400</v>
      </c>
    </row>
    <row r="13" spans="1:6" x14ac:dyDescent="0.2">
      <c r="A13" s="91" t="s">
        <v>2650</v>
      </c>
    </row>
    <row r="14" spans="1:6" x14ac:dyDescent="0.2">
      <c r="A14" s="91" t="s">
        <v>2651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4118</v>
      </c>
    </row>
    <row r="19" spans="1:6" x14ac:dyDescent="0.2">
      <c r="A19" s="106"/>
    </row>
    <row r="20" spans="1:6" x14ac:dyDescent="0.2">
      <c r="A20" s="106"/>
      <c r="B20" s="91" t="s">
        <v>4402</v>
      </c>
      <c r="C20" s="91" t="s">
        <v>4403</v>
      </c>
      <c r="F20" s="91">
        <v>2277.1999999999998</v>
      </c>
    </row>
    <row r="21" spans="1:6" x14ac:dyDescent="0.2">
      <c r="A21" s="106"/>
      <c r="C21" s="91" t="s">
        <v>4404</v>
      </c>
    </row>
    <row r="22" spans="1:6" x14ac:dyDescent="0.2">
      <c r="A22" s="106"/>
    </row>
    <row r="23" spans="1:6" x14ac:dyDescent="0.2">
      <c r="A23" s="106"/>
    </row>
    <row r="24" spans="1:6" x14ac:dyDescent="0.2">
      <c r="A24" s="106"/>
    </row>
    <row r="25" spans="1:6" x14ac:dyDescent="0.2">
      <c r="A25" s="106"/>
    </row>
    <row r="26" spans="1:6" x14ac:dyDescent="0.2">
      <c r="A26" s="93" t="s">
        <v>11</v>
      </c>
      <c r="B26" s="93"/>
    </row>
    <row r="27" spans="1:6" x14ac:dyDescent="0.2">
      <c r="A27" s="106"/>
    </row>
    <row r="28" spans="1:6" x14ac:dyDescent="0.2">
      <c r="A28" s="106"/>
    </row>
    <row r="29" spans="1:6" x14ac:dyDescent="0.2">
      <c r="A29" s="106"/>
    </row>
    <row r="31" spans="1:6" x14ac:dyDescent="0.2">
      <c r="A31" s="93"/>
      <c r="B31" s="93"/>
    </row>
    <row r="32" spans="1:6" x14ac:dyDescent="0.2">
      <c r="A32" s="1"/>
      <c r="B32" s="1"/>
    </row>
    <row r="33" spans="1:6" x14ac:dyDescent="0.2">
      <c r="A33" s="1"/>
      <c r="B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06"/>
      <c r="F35" s="1"/>
    </row>
    <row r="36" spans="1:6" ht="13.5" thickBot="1" x14ac:dyDescent="0.25">
      <c r="A36" s="106"/>
      <c r="F36" s="107">
        <f>SUM(F19:F34)</f>
        <v>2277.1999999999998</v>
      </c>
    </row>
    <row r="37" spans="1:6" ht="13.5" thickTop="1" x14ac:dyDescent="0.2">
      <c r="A37" s="106"/>
    </row>
    <row r="38" spans="1:6" ht="20.100000000000001" customHeight="1" x14ac:dyDescent="0.2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Thousand Two Hundred Seventy-Seven and 20/100 -----------</v>
      </c>
      <c r="C38" s="97"/>
      <c r="D38" s="97"/>
      <c r="E38" s="97"/>
      <c r="F38" s="97"/>
    </row>
    <row r="39" spans="1:6" x14ac:dyDescent="0.2">
      <c r="A39" s="94"/>
    </row>
    <row r="40" spans="1:6" ht="25.5" x14ac:dyDescent="0.2">
      <c r="A40" s="91" t="s">
        <v>10</v>
      </c>
      <c r="D40" s="218" t="s">
        <v>3975</v>
      </c>
      <c r="E40" s="219"/>
      <c r="F40" s="220"/>
    </row>
    <row r="42" spans="1:6" x14ac:dyDescent="0.2">
      <c r="D42" s="1"/>
      <c r="E42" s="1"/>
      <c r="F42" s="1"/>
    </row>
    <row r="43" spans="1:6" x14ac:dyDescent="0.2">
      <c r="A43" s="91" t="s">
        <v>120</v>
      </c>
      <c r="C43" s="99"/>
    </row>
    <row r="44" spans="1:6" x14ac:dyDescent="0.2">
      <c r="C44" s="99"/>
    </row>
    <row r="45" spans="1:6" x14ac:dyDescent="0.2">
      <c r="A45" s="101"/>
      <c r="B45" s="101"/>
      <c r="D45" s="98"/>
    </row>
    <row r="46" spans="1:6" x14ac:dyDescent="0.2">
      <c r="A46" s="1"/>
    </row>
    <row r="47" spans="1:6" x14ac:dyDescent="0.2">
      <c r="A47" s="98" t="s">
        <v>8</v>
      </c>
      <c r="D47" s="98" t="s">
        <v>7</v>
      </c>
      <c r="F47" s="102"/>
    </row>
    <row r="51" spans="1:6" x14ac:dyDescent="0.2">
      <c r="A51" s="101"/>
      <c r="B51" s="101"/>
      <c r="D51" s="101"/>
      <c r="E51" s="101"/>
      <c r="F51" s="101"/>
    </row>
    <row r="52" spans="1:6" s="3" customFormat="1" ht="17.100000000000001" customHeight="1" x14ac:dyDescent="0.2">
      <c r="A52" s="209" t="s">
        <v>4066</v>
      </c>
      <c r="B52" s="104"/>
      <c r="C52" s="61"/>
      <c r="D52" s="61" t="s">
        <v>3</v>
      </c>
      <c r="E52" s="61"/>
      <c r="F52" s="61"/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  <row r="57" spans="1:6" x14ac:dyDescent="0.2">
      <c r="D57" s="1"/>
      <c r="E57" s="1"/>
      <c r="F57" s="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25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2614</v>
      </c>
    </row>
    <row r="10" spans="1:6" x14ac:dyDescent="0.2">
      <c r="A10" s="91" t="s">
        <v>2617</v>
      </c>
      <c r="D10" s="92" t="s">
        <v>1329</v>
      </c>
      <c r="E10" s="92" t="s">
        <v>2615</v>
      </c>
    </row>
    <row r="11" spans="1:6" x14ac:dyDescent="0.2">
      <c r="A11" s="91" t="s">
        <v>2618</v>
      </c>
      <c r="D11" s="92" t="s">
        <v>1330</v>
      </c>
      <c r="E11" s="92" t="s">
        <v>1220</v>
      </c>
    </row>
    <row r="12" spans="1:6" x14ac:dyDescent="0.2">
      <c r="A12" s="91" t="s">
        <v>2619</v>
      </c>
      <c r="D12" s="92" t="s">
        <v>1331</v>
      </c>
      <c r="E12" s="92" t="s">
        <v>2616</v>
      </c>
    </row>
    <row r="13" spans="1:6" x14ac:dyDescent="0.2">
      <c r="A13" s="91" t="s">
        <v>1314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2620</v>
      </c>
    </row>
    <row r="19" spans="1:6" x14ac:dyDescent="0.2">
      <c r="A19" s="106"/>
    </row>
    <row r="20" spans="1:6" x14ac:dyDescent="0.2">
      <c r="A20" s="93" t="s">
        <v>2621</v>
      </c>
      <c r="B20" s="93"/>
      <c r="C20" s="91" t="s">
        <v>2622</v>
      </c>
      <c r="F20" s="91">
        <v>1199.75</v>
      </c>
    </row>
    <row r="21" spans="1:6" x14ac:dyDescent="0.2">
      <c r="A21" s="106"/>
    </row>
    <row r="22" spans="1:6" x14ac:dyDescent="0.2">
      <c r="A22" s="106"/>
    </row>
    <row r="23" spans="1:6" x14ac:dyDescent="0.2">
      <c r="A23" s="106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1199.75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2623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Sheet214"/>
  <dimension ref="A1:F53"/>
  <sheetViews>
    <sheetView topLeftCell="A4" zoomScaleNormal="100" zoomScaleSheetLayoutView="85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18.85546875" style="91" customWidth="1"/>
    <col min="4" max="4" width="14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2493</v>
      </c>
      <c r="D9" s="92" t="s">
        <v>1317</v>
      </c>
      <c r="E9" s="91" t="s">
        <v>6048</v>
      </c>
    </row>
    <row r="10" spans="1:6" x14ac:dyDescent="0.2">
      <c r="A10" s="91" t="s">
        <v>2494</v>
      </c>
      <c r="D10" s="92" t="s">
        <v>1329</v>
      </c>
      <c r="E10" s="92" t="s">
        <v>6047</v>
      </c>
    </row>
    <row r="11" spans="1:6" x14ac:dyDescent="0.2">
      <c r="A11" s="91" t="s">
        <v>1561</v>
      </c>
      <c r="D11" s="92" t="s">
        <v>1330</v>
      </c>
      <c r="E11" s="92" t="s">
        <v>1220</v>
      </c>
    </row>
    <row r="12" spans="1:6" x14ac:dyDescent="0.2">
      <c r="A12" s="91" t="s">
        <v>2495</v>
      </c>
      <c r="D12" s="92" t="s">
        <v>1331</v>
      </c>
      <c r="E12" s="92" t="s">
        <v>6049</v>
      </c>
    </row>
    <row r="13" spans="1:6" x14ac:dyDescent="0.2">
      <c r="A13" s="91" t="s">
        <v>2496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6050</v>
      </c>
    </row>
    <row r="19" spans="1:6" x14ac:dyDescent="0.2">
      <c r="A19" s="106"/>
      <c r="C19" s="2" t="s">
        <v>6051</v>
      </c>
    </row>
    <row r="20" spans="1:6" x14ac:dyDescent="0.2">
      <c r="A20" s="93"/>
      <c r="B20" s="99"/>
    </row>
    <row r="21" spans="1:6" x14ac:dyDescent="0.2">
      <c r="A21" s="137" t="s">
        <v>6033</v>
      </c>
      <c r="B21" s="93" t="s">
        <v>6052</v>
      </c>
      <c r="C21" s="91" t="s">
        <v>6054</v>
      </c>
    </row>
    <row r="22" spans="1:6" x14ac:dyDescent="0.2">
      <c r="A22" s="93"/>
      <c r="B22" s="94"/>
      <c r="C22" s="91" t="s">
        <v>6053</v>
      </c>
      <c r="F22" s="91">
        <f>272.33*2</f>
        <v>544.66</v>
      </c>
    </row>
    <row r="23" spans="1:6" x14ac:dyDescent="0.2">
      <c r="C23" s="91" t="s">
        <v>6057</v>
      </c>
      <c r="F23" s="91">
        <f>83.02*2</f>
        <v>166.04</v>
      </c>
    </row>
    <row r="24" spans="1:6" x14ac:dyDescent="0.2">
      <c r="C24" s="91" t="s">
        <v>6055</v>
      </c>
      <c r="F24" s="91">
        <f>272.33*13</f>
        <v>3540.29</v>
      </c>
    </row>
    <row r="25" spans="1:6" x14ac:dyDescent="0.2">
      <c r="C25" s="91" t="s">
        <v>2147</v>
      </c>
      <c r="F25" s="91">
        <f>SUM(F22+F24+F23)*6%</f>
        <v>255.05939999999998</v>
      </c>
    </row>
    <row r="26" spans="1:6" x14ac:dyDescent="0.2">
      <c r="C26" s="91" t="s">
        <v>6056</v>
      </c>
      <c r="F26" s="91">
        <v>51</v>
      </c>
    </row>
    <row r="27" spans="1:6" x14ac:dyDescent="0.2">
      <c r="C27" s="2"/>
    </row>
    <row r="29" spans="1:6" x14ac:dyDescent="0.2">
      <c r="A29" s="93"/>
      <c r="B29" s="99"/>
    </row>
    <row r="30" spans="1:6" x14ac:dyDescent="0.2">
      <c r="A30" s="99"/>
    </row>
    <row r="31" spans="1:6" x14ac:dyDescent="0.2">
      <c r="A31" s="137"/>
      <c r="B31" s="94"/>
    </row>
    <row r="32" spans="1:6" x14ac:dyDescent="0.2">
      <c r="A32" s="7"/>
      <c r="B32" s="1"/>
      <c r="C32" s="1"/>
      <c r="D32" s="1"/>
      <c r="E32" s="1"/>
      <c r="F32" s="1"/>
    </row>
    <row r="33" spans="1:6" x14ac:dyDescent="0.2">
      <c r="A33" s="106"/>
      <c r="F33" s="1"/>
    </row>
    <row r="34" spans="1:6" ht="13.5" thickBot="1" x14ac:dyDescent="0.25">
      <c r="A34" s="106"/>
      <c r="F34" s="107">
        <f>SUM(F19:F32)</f>
        <v>4557.0493999999999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Thousand Five Hundred Fifty-Seven and 5/100 -----------</v>
      </c>
      <c r="C36" s="97"/>
      <c r="D36" s="97"/>
      <c r="E36" s="97"/>
      <c r="F36" s="97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41" spans="1:6" x14ac:dyDescent="0.2">
      <c r="D41" s="227"/>
      <c r="E41" s="227"/>
      <c r="F41" s="227"/>
    </row>
    <row r="42" spans="1:6" x14ac:dyDescent="0.2">
      <c r="A42" s="101"/>
      <c r="B42" s="101"/>
      <c r="D42" s="228"/>
      <c r="E42" s="229"/>
      <c r="F42" s="229"/>
    </row>
    <row r="43" spans="1:6" x14ac:dyDescent="0.2">
      <c r="A43" s="1"/>
      <c r="D43" s="98" t="s">
        <v>7</v>
      </c>
      <c r="F43" s="102"/>
    </row>
    <row r="44" spans="1:6" x14ac:dyDescent="0.2">
      <c r="A44" s="91" t="s">
        <v>8</v>
      </c>
      <c r="D44" s="98"/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9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17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2057</v>
      </c>
      <c r="D9" s="92" t="s">
        <v>1317</v>
      </c>
      <c r="E9" s="91" t="s">
        <v>2464</v>
      </c>
    </row>
    <row r="10" spans="1:6" x14ac:dyDescent="0.2">
      <c r="A10" s="91" t="s">
        <v>2058</v>
      </c>
      <c r="D10" s="92" t="s">
        <v>1329</v>
      </c>
      <c r="E10" s="98" t="s">
        <v>2449</v>
      </c>
    </row>
    <row r="11" spans="1:6" x14ac:dyDescent="0.2">
      <c r="A11" s="91" t="s">
        <v>1471</v>
      </c>
      <c r="D11" s="92" t="s">
        <v>1330</v>
      </c>
      <c r="E11" s="92" t="s">
        <v>1220</v>
      </c>
    </row>
    <row r="12" spans="1:6" x14ac:dyDescent="0.2">
      <c r="A12" s="91" t="s">
        <v>2059</v>
      </c>
      <c r="D12" s="92" t="s">
        <v>1331</v>
      </c>
      <c r="E12" s="92" t="s">
        <v>2465</v>
      </c>
    </row>
    <row r="13" spans="1:6" x14ac:dyDescent="0.2">
      <c r="A13" s="91" t="s">
        <v>2060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2466</v>
      </c>
    </row>
    <row r="19" spans="1:6" x14ac:dyDescent="0.2">
      <c r="A19" s="106"/>
      <c r="C19" s="2"/>
    </row>
    <row r="20" spans="1:6" x14ac:dyDescent="0.2">
      <c r="A20" s="106" t="s">
        <v>2405</v>
      </c>
      <c r="B20" s="137" t="s">
        <v>2467</v>
      </c>
      <c r="C20" s="91" t="s">
        <v>2468</v>
      </c>
      <c r="F20" s="91">
        <v>1000</v>
      </c>
    </row>
    <row r="22" spans="1:6" x14ac:dyDescent="0.2">
      <c r="A22" s="93"/>
      <c r="B22" s="94"/>
    </row>
    <row r="23" spans="1:6" x14ac:dyDescent="0.2">
      <c r="A23" s="106"/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1000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2332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Sheet78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1779</v>
      </c>
      <c r="D9" s="92" t="s">
        <v>1267</v>
      </c>
      <c r="E9" s="91" t="s">
        <v>3414</v>
      </c>
    </row>
    <row r="10" spans="1:6" x14ac:dyDescent="0.2">
      <c r="A10" s="91" t="s">
        <v>2551</v>
      </c>
      <c r="D10" s="92" t="s">
        <v>1327</v>
      </c>
      <c r="E10" s="92" t="s">
        <v>3411</v>
      </c>
    </row>
    <row r="11" spans="1:6" x14ac:dyDescent="0.2">
      <c r="D11" s="92" t="s">
        <v>1328</v>
      </c>
      <c r="E11" s="92" t="s">
        <v>1220</v>
      </c>
    </row>
    <row r="12" spans="1:6" x14ac:dyDescent="0.2">
      <c r="D12" s="92" t="s">
        <v>1308</v>
      </c>
      <c r="E12" s="92" t="s">
        <v>3415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2793</v>
      </c>
    </row>
    <row r="19" spans="1:6" x14ac:dyDescent="0.2">
      <c r="A19" s="93"/>
      <c r="B19" s="93"/>
    </row>
    <row r="20" spans="1:6" x14ac:dyDescent="0.2">
      <c r="A20" s="93"/>
      <c r="B20" s="93"/>
      <c r="C20" s="91" t="s">
        <v>3413</v>
      </c>
      <c r="F20" s="91">
        <v>9000</v>
      </c>
    </row>
    <row r="24" spans="1:6" x14ac:dyDescent="0.2">
      <c r="C24" s="94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9000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3412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07">
    <pageSetUpPr fitToPage="1"/>
  </sheetPr>
  <dimension ref="A1:H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425781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5973</v>
      </c>
    </row>
    <row r="10" spans="1:8" x14ac:dyDescent="0.2">
      <c r="A10" s="91" t="s">
        <v>6009</v>
      </c>
      <c r="F10" s="92" t="s">
        <v>1329</v>
      </c>
      <c r="G10" s="92" t="s">
        <v>5975</v>
      </c>
    </row>
    <row r="11" spans="1:8" x14ac:dyDescent="0.2">
      <c r="A11" s="91" t="s">
        <v>6010</v>
      </c>
      <c r="F11" s="92" t="s">
        <v>1330</v>
      </c>
      <c r="G11" s="92" t="s">
        <v>1220</v>
      </c>
    </row>
    <row r="12" spans="1:8" x14ac:dyDescent="0.2">
      <c r="A12" s="91" t="s">
        <v>5976</v>
      </c>
      <c r="F12" s="92" t="s">
        <v>1377</v>
      </c>
      <c r="G12" s="92" t="s">
        <v>5974</v>
      </c>
    </row>
    <row r="13" spans="1:8" x14ac:dyDescent="0.2">
      <c r="A13" s="91" t="s">
        <v>1862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9" spans="1:8" x14ac:dyDescent="0.2">
      <c r="A19" s="106"/>
      <c r="B19" s="93" t="s">
        <v>5977</v>
      </c>
      <c r="D19" s="91" t="s">
        <v>5979</v>
      </c>
      <c r="H19" s="91">
        <v>800</v>
      </c>
    </row>
    <row r="20" spans="1:8" x14ac:dyDescent="0.2">
      <c r="A20" s="92"/>
      <c r="B20" s="93"/>
      <c r="C20" s="93"/>
      <c r="D20" s="91" t="s">
        <v>5978</v>
      </c>
    </row>
    <row r="21" spans="1:8" x14ac:dyDescent="0.2">
      <c r="A21" s="106"/>
      <c r="D21" s="94"/>
      <c r="E21" s="94"/>
    </row>
    <row r="22" spans="1:8" x14ac:dyDescent="0.2">
      <c r="A22" s="106"/>
    </row>
    <row r="23" spans="1:8" x14ac:dyDescent="0.2">
      <c r="A23" s="106"/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</row>
    <row r="27" spans="1:8" x14ac:dyDescent="0.2">
      <c r="A27" s="1"/>
      <c r="B27" s="1"/>
      <c r="C27" s="1"/>
      <c r="D27" s="94"/>
      <c r="E27" s="94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</row>
    <row r="34" spans="1:8" x14ac:dyDescent="0.2">
      <c r="A34" s="106"/>
    </row>
    <row r="35" spans="1:8" ht="13.5" thickBot="1" x14ac:dyDescent="0.25">
      <c r="A35" s="106"/>
      <c r="H35" s="107">
        <f>SUM(H19:H33)</f>
        <v>800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Hundred and NO/100 -----------</v>
      </c>
      <c r="C37" s="185"/>
      <c r="D37" s="97"/>
      <c r="E37" s="97"/>
      <c r="F37" s="97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7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2072</v>
      </c>
      <c r="D9" s="92" t="s">
        <v>1317</v>
      </c>
      <c r="E9" s="91" t="s">
        <v>3907</v>
      </c>
    </row>
    <row r="10" spans="1:6" x14ac:dyDescent="0.2">
      <c r="A10" s="91" t="s">
        <v>2073</v>
      </c>
      <c r="D10" s="92" t="s">
        <v>1329</v>
      </c>
      <c r="E10" s="92" t="s">
        <v>3902</v>
      </c>
    </row>
    <row r="11" spans="1:6" x14ac:dyDescent="0.2">
      <c r="A11" s="91" t="s">
        <v>2074</v>
      </c>
      <c r="D11" s="92" t="s">
        <v>1330</v>
      </c>
      <c r="E11" s="92" t="s">
        <v>1220</v>
      </c>
    </row>
    <row r="12" spans="1:6" x14ac:dyDescent="0.2">
      <c r="A12" s="91" t="s">
        <v>2075</v>
      </c>
      <c r="D12" s="92" t="s">
        <v>1331</v>
      </c>
      <c r="E12" s="92" t="s">
        <v>3908</v>
      </c>
    </row>
    <row r="13" spans="1:6" x14ac:dyDescent="0.2">
      <c r="A13" s="91" t="s">
        <v>2076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2077</v>
      </c>
    </row>
    <row r="19" spans="1:6" x14ac:dyDescent="0.2">
      <c r="A19" s="106"/>
    </row>
    <row r="20" spans="1:6" x14ac:dyDescent="0.2">
      <c r="A20" s="93" t="s">
        <v>3888</v>
      </c>
      <c r="B20" s="93" t="s">
        <v>3909</v>
      </c>
      <c r="C20" s="91" t="s">
        <v>2078</v>
      </c>
      <c r="F20" s="91">
        <v>2000</v>
      </c>
    </row>
    <row r="21" spans="1:6" x14ac:dyDescent="0.2">
      <c r="A21" s="106"/>
      <c r="C21" s="91" t="s">
        <v>3910</v>
      </c>
    </row>
    <row r="22" spans="1:6" x14ac:dyDescent="0.2">
      <c r="A22" s="106"/>
    </row>
    <row r="23" spans="1:6" x14ac:dyDescent="0.2">
      <c r="A23" s="106"/>
      <c r="C23" s="91" t="s">
        <v>2079</v>
      </c>
      <c r="F23" s="91">
        <f>F20*6%</f>
        <v>120</v>
      </c>
    </row>
    <row r="28" spans="1:6" x14ac:dyDescent="0.2">
      <c r="A28" s="93"/>
      <c r="B28" s="93"/>
    </row>
    <row r="29" spans="1:6" x14ac:dyDescent="0.2">
      <c r="A29" s="1"/>
      <c r="B29" s="1"/>
    </row>
    <row r="30" spans="1:6" x14ac:dyDescent="0.2">
      <c r="A30" s="1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SUM(F19:F31)</f>
        <v>2120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One Hundred Twenty and NO/100 -----------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61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92">
    <pageSetUpPr fitToPage="1"/>
  </sheetPr>
  <dimension ref="A1:G58"/>
  <sheetViews>
    <sheetView zoomScaleSheetLayoutView="100" workbookViewId="0">
      <selection activeCell="F34" sqref="F34"/>
    </sheetView>
  </sheetViews>
  <sheetFormatPr defaultRowHeight="16.5" x14ac:dyDescent="0.3"/>
  <cols>
    <col min="1" max="1" width="15.85546875" style="120" customWidth="1"/>
    <col min="2" max="2" width="15.42578125" style="120" customWidth="1"/>
    <col min="3" max="3" width="21" style="120" customWidth="1"/>
    <col min="4" max="4" width="16.42578125" style="120" customWidth="1"/>
    <col min="5" max="5" width="10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 t="s">
        <v>1899</v>
      </c>
      <c r="B9" s="61"/>
      <c r="C9" s="61"/>
      <c r="D9" s="113" t="s">
        <v>1353</v>
      </c>
      <c r="E9" s="91" t="s">
        <v>7138</v>
      </c>
      <c r="F9" s="91"/>
    </row>
    <row r="10" spans="1:7" s="38" customFormat="1" ht="12.75" customHeight="1" x14ac:dyDescent="0.2">
      <c r="A10" s="61" t="s">
        <v>1900</v>
      </c>
      <c r="B10" s="61"/>
      <c r="C10" s="61"/>
      <c r="D10" s="113" t="s">
        <v>1335</v>
      </c>
      <c r="E10" s="92" t="s">
        <v>7134</v>
      </c>
      <c r="F10" s="91"/>
    </row>
    <row r="11" spans="1:7" s="38" customFormat="1" ht="12.75" customHeight="1" x14ac:dyDescent="0.2">
      <c r="A11" s="61" t="s">
        <v>1901</v>
      </c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 t="s">
        <v>1508</v>
      </c>
      <c r="B12" s="61"/>
      <c r="C12" s="61"/>
      <c r="D12" s="113" t="s">
        <v>1355</v>
      </c>
      <c r="E12" s="92" t="s">
        <v>7139</v>
      </c>
      <c r="F12" s="91"/>
    </row>
    <row r="13" spans="1:7" s="38" customFormat="1" ht="12.75" customHeight="1" x14ac:dyDescent="0.2">
      <c r="A13" s="61"/>
      <c r="B13" s="61"/>
      <c r="C13" s="61"/>
      <c r="D13" s="61"/>
      <c r="E13" s="91"/>
      <c r="F13" s="61"/>
    </row>
    <row r="14" spans="1:7" s="38" customFormat="1" ht="12.75" customHeight="1" x14ac:dyDescent="0.2">
      <c r="A14" s="61"/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  <c r="G16" s="56"/>
    </row>
    <row r="17" spans="1:7" s="46" customFormat="1" ht="12.75" customHeight="1" x14ac:dyDescent="0.2">
      <c r="A17" s="106"/>
      <c r="B17" s="91"/>
      <c r="C17" s="91"/>
      <c r="D17" s="91"/>
      <c r="E17" s="91"/>
      <c r="F17" s="91"/>
      <c r="G17" s="56"/>
    </row>
    <row r="18" spans="1:7" s="38" customFormat="1" ht="12.75" customHeight="1" x14ac:dyDescent="0.2">
      <c r="A18" s="91"/>
      <c r="B18" s="91"/>
      <c r="C18" s="2" t="s">
        <v>5129</v>
      </c>
      <c r="D18" s="91"/>
      <c r="E18" s="91"/>
      <c r="F18" s="91"/>
      <c r="G18" s="55"/>
    </row>
    <row r="19" spans="1:7" s="38" customFormat="1" ht="12.75" customHeight="1" x14ac:dyDescent="0.2">
      <c r="A19" s="106"/>
      <c r="B19" s="91"/>
      <c r="C19" s="91"/>
      <c r="D19" s="91"/>
      <c r="E19" s="91"/>
      <c r="F19" s="91"/>
      <c r="G19" s="55"/>
    </row>
    <row r="20" spans="1:7" s="38" customFormat="1" ht="12.75" customHeight="1" x14ac:dyDescent="0.2">
      <c r="A20" s="137" t="s">
        <v>7140</v>
      </c>
      <c r="B20" s="93" t="s">
        <v>7141</v>
      </c>
      <c r="C20" s="91" t="s">
        <v>7142</v>
      </c>
      <c r="D20" s="91"/>
      <c r="E20" s="91"/>
      <c r="F20" s="91">
        <v>2200</v>
      </c>
      <c r="G20" s="55"/>
    </row>
    <row r="21" spans="1:7" s="38" customFormat="1" ht="12.75" customHeight="1" x14ac:dyDescent="0.2">
      <c r="A21" s="106"/>
      <c r="B21" s="91"/>
      <c r="C21" s="91" t="s">
        <v>6247</v>
      </c>
      <c r="D21" s="91"/>
      <c r="E21" s="91"/>
      <c r="F21" s="91">
        <f>1200+600</f>
        <v>1800</v>
      </c>
      <c r="G21" s="126"/>
    </row>
    <row r="22" spans="1:7" s="126" customFormat="1" ht="12.75" customHeight="1" x14ac:dyDescent="0.2">
      <c r="A22" s="106"/>
      <c r="B22" s="91"/>
      <c r="C22" s="91" t="s">
        <v>6886</v>
      </c>
      <c r="D22" s="91"/>
      <c r="E22" s="91"/>
      <c r="F22" s="91">
        <v>240</v>
      </c>
    </row>
    <row r="23" spans="1:7" s="126" customFormat="1" ht="12.75" customHeight="1" x14ac:dyDescent="0.2">
      <c r="A23" s="106"/>
      <c r="B23" s="91"/>
      <c r="C23" s="91"/>
      <c r="D23" s="91"/>
      <c r="E23" s="91"/>
      <c r="F23" s="91"/>
    </row>
    <row r="24" spans="1:7" s="126" customFormat="1" ht="12.75" customHeight="1" x14ac:dyDescent="0.2">
      <c r="A24" s="106"/>
      <c r="B24" s="91"/>
      <c r="C24" s="91"/>
      <c r="D24" s="91"/>
      <c r="E24" s="91"/>
      <c r="F24" s="91"/>
    </row>
    <row r="25" spans="1:7" s="126" customFormat="1" ht="12.75" customHeight="1" x14ac:dyDescent="0.2">
      <c r="A25" s="106"/>
      <c r="B25" s="91"/>
      <c r="C25" s="91"/>
      <c r="D25" s="91"/>
      <c r="E25" s="91"/>
      <c r="F25" s="91"/>
    </row>
    <row r="26" spans="1:7" s="120" customFormat="1" ht="12.75" customHeight="1" x14ac:dyDescent="0.2">
      <c r="A26" s="93" t="s">
        <v>11</v>
      </c>
      <c r="B26" s="93"/>
      <c r="C26" s="91"/>
      <c r="D26" s="91"/>
      <c r="E26" s="91"/>
      <c r="F26" s="91"/>
    </row>
    <row r="27" spans="1:7" s="120" customFormat="1" ht="12.75" customHeight="1" x14ac:dyDescent="0.3">
      <c r="A27" s="106"/>
      <c r="B27" s="91"/>
      <c r="C27" s="91"/>
      <c r="D27" s="91"/>
      <c r="E27" s="91"/>
      <c r="F27" s="91"/>
      <c r="G27" s="37"/>
    </row>
    <row r="28" spans="1:7" ht="12.75" customHeight="1" x14ac:dyDescent="0.3">
      <c r="A28" s="106"/>
      <c r="B28" s="91"/>
      <c r="C28" s="91"/>
      <c r="D28" s="91"/>
      <c r="E28" s="91"/>
      <c r="F28" s="91"/>
    </row>
    <row r="29" spans="1:7" s="38" customFormat="1" ht="12.75" customHeight="1" x14ac:dyDescent="0.2">
      <c r="A29" s="106"/>
      <c r="B29" s="91"/>
      <c r="C29" s="91"/>
      <c r="D29" s="91"/>
      <c r="E29" s="91"/>
      <c r="F29" s="91"/>
      <c r="G29" s="55"/>
    </row>
    <row r="30" spans="1:7" s="38" customFormat="1" ht="12.75" customHeight="1" x14ac:dyDescent="0.2">
      <c r="A30" s="91"/>
      <c r="B30" s="91"/>
      <c r="C30" s="91"/>
      <c r="D30" s="91"/>
      <c r="E30" s="91"/>
      <c r="F30" s="91"/>
      <c r="G30" s="55"/>
    </row>
    <row r="31" spans="1:7" s="38" customFormat="1" ht="12.75" customHeight="1" x14ac:dyDescent="0.2">
      <c r="A31" s="93"/>
      <c r="B31" s="93"/>
      <c r="C31" s="91"/>
      <c r="D31" s="91"/>
      <c r="E31" s="91"/>
      <c r="F31" s="91"/>
      <c r="G31" s="55"/>
    </row>
    <row r="32" spans="1:7" s="38" customFormat="1" ht="15.75" customHeight="1" x14ac:dyDescent="0.2">
      <c r="A32" s="1"/>
      <c r="B32" s="1"/>
      <c r="C32" s="91"/>
      <c r="D32" s="91"/>
      <c r="E32" s="91"/>
      <c r="F32" s="91"/>
      <c r="G32" s="55"/>
    </row>
    <row r="33" spans="1:7" s="38" customFormat="1" ht="12.75" customHeight="1" x14ac:dyDescent="0.2">
      <c r="A33" s="1"/>
      <c r="B33" s="1"/>
      <c r="C33" s="91"/>
      <c r="D33" s="91"/>
      <c r="E33" s="91"/>
      <c r="F33" s="91"/>
      <c r="G33" s="55"/>
    </row>
    <row r="34" spans="1:7" x14ac:dyDescent="0.3">
      <c r="A34" s="1"/>
      <c r="B34" s="1"/>
      <c r="C34" s="1"/>
      <c r="D34" s="1"/>
      <c r="E34" s="1"/>
      <c r="F34" s="1"/>
    </row>
    <row r="35" spans="1:7" ht="12.75" customHeight="1" x14ac:dyDescent="0.3">
      <c r="A35" s="106"/>
      <c r="B35" s="91"/>
      <c r="C35" s="91"/>
      <c r="D35" s="91"/>
      <c r="E35" s="91"/>
      <c r="F35" s="1"/>
    </row>
    <row r="36" spans="1:7" ht="17.25" thickBot="1" x14ac:dyDescent="0.35">
      <c r="A36" s="106"/>
      <c r="B36" s="91"/>
      <c r="C36" s="91"/>
      <c r="D36" s="91"/>
      <c r="E36" s="91"/>
      <c r="F36" s="107">
        <f>SUM(F19:F34)</f>
        <v>4240</v>
      </c>
    </row>
    <row r="37" spans="1:7" ht="12.75" customHeight="1" thickTop="1" x14ac:dyDescent="0.3">
      <c r="A37" s="106"/>
      <c r="B37" s="91"/>
      <c r="C37" s="91"/>
      <c r="D37" s="91"/>
      <c r="E37" s="91"/>
      <c r="F37" s="91"/>
    </row>
    <row r="38" spans="1:7" ht="21.75" customHeight="1" x14ac:dyDescent="0.3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Four Thousand Two Hundred Forty and NO/100 -----------</v>
      </c>
      <c r="C38" s="97"/>
      <c r="D38" s="97"/>
      <c r="E38" s="97"/>
      <c r="F38" s="97"/>
    </row>
    <row r="39" spans="1:7" x14ac:dyDescent="0.3">
      <c r="A39" s="94"/>
      <c r="B39" s="91"/>
      <c r="C39" s="91"/>
      <c r="D39" s="91"/>
      <c r="E39" s="91"/>
      <c r="F39" s="91"/>
    </row>
    <row r="40" spans="1:7" ht="25.5" x14ac:dyDescent="0.3">
      <c r="A40" s="91" t="s">
        <v>10</v>
      </c>
      <c r="B40" s="91"/>
      <c r="C40" s="91"/>
      <c r="D40" s="218" t="s">
        <v>3975</v>
      </c>
      <c r="E40" s="219"/>
      <c r="F40" s="220"/>
    </row>
    <row r="41" spans="1:7" ht="12.75" customHeight="1" x14ac:dyDescent="0.3">
      <c r="A41" s="91"/>
      <c r="B41" s="91"/>
      <c r="C41" s="91"/>
      <c r="D41" s="91"/>
      <c r="E41" s="91"/>
      <c r="F41" s="91"/>
    </row>
    <row r="42" spans="1:7" ht="12.75" customHeight="1" x14ac:dyDescent="0.3">
      <c r="A42" s="91"/>
      <c r="B42" s="91"/>
      <c r="C42" s="91"/>
      <c r="D42" s="1"/>
      <c r="E42" s="1"/>
      <c r="F42" s="1"/>
    </row>
    <row r="43" spans="1:7" ht="12.75" customHeight="1" x14ac:dyDescent="0.3">
      <c r="A43" s="91" t="s">
        <v>120</v>
      </c>
      <c r="B43" s="91"/>
      <c r="C43" s="99"/>
      <c r="D43" s="91"/>
      <c r="E43" s="91"/>
      <c r="F43" s="91"/>
    </row>
    <row r="44" spans="1:7" ht="12.75" customHeight="1" x14ac:dyDescent="0.3">
      <c r="A44" s="91"/>
      <c r="B44" s="91"/>
      <c r="C44" s="99"/>
      <c r="D44" s="91"/>
      <c r="E44" s="91"/>
      <c r="F44" s="91"/>
    </row>
    <row r="45" spans="1:7" ht="12.75" customHeight="1" x14ac:dyDescent="0.3">
      <c r="A45" s="101"/>
      <c r="B45" s="101"/>
      <c r="C45" s="91"/>
      <c r="D45" s="98"/>
      <c r="E45" s="91"/>
      <c r="F45" s="91"/>
    </row>
    <row r="46" spans="1:7" ht="12.75" customHeight="1" x14ac:dyDescent="0.3">
      <c r="A46" s="1"/>
      <c r="B46" s="91"/>
      <c r="C46" s="91"/>
      <c r="D46" s="91"/>
      <c r="E46" s="91"/>
      <c r="F46" s="91"/>
    </row>
    <row r="47" spans="1:7" s="38" customFormat="1" ht="12.75" customHeight="1" x14ac:dyDescent="0.2">
      <c r="A47" s="98" t="s">
        <v>8</v>
      </c>
      <c r="B47" s="91"/>
      <c r="C47" s="91"/>
      <c r="D47" s="98" t="s">
        <v>7</v>
      </c>
      <c r="E47" s="91"/>
      <c r="F47" s="102"/>
    </row>
    <row r="48" spans="1:7" ht="12.75" customHeight="1" x14ac:dyDescent="0.3">
      <c r="A48" s="91"/>
      <c r="B48" s="91"/>
      <c r="C48" s="91"/>
      <c r="D48" s="91"/>
      <c r="E48" s="91"/>
      <c r="F48" s="91"/>
    </row>
    <row r="49" spans="1:6" ht="12.75" customHeight="1" x14ac:dyDescent="0.3">
      <c r="A49" s="91"/>
      <c r="B49" s="91"/>
      <c r="C49" s="91"/>
      <c r="D49" s="91"/>
      <c r="E49" s="91"/>
      <c r="F49" s="91"/>
    </row>
    <row r="50" spans="1:6" ht="12.75" customHeight="1" x14ac:dyDescent="0.3">
      <c r="A50" s="91"/>
      <c r="B50" s="91"/>
      <c r="C50" s="91"/>
      <c r="D50" s="91"/>
      <c r="E50" s="91"/>
      <c r="F50" s="91"/>
    </row>
    <row r="51" spans="1:6" ht="12.75" customHeight="1" x14ac:dyDescent="0.3">
      <c r="A51" s="101"/>
      <c r="B51" s="101"/>
      <c r="C51" s="91"/>
      <c r="D51" s="101"/>
      <c r="E51" s="101"/>
      <c r="F51" s="101"/>
    </row>
    <row r="52" spans="1:6" x14ac:dyDescent="0.3">
      <c r="A52" s="209" t="s">
        <v>4066</v>
      </c>
      <c r="B52" s="104"/>
      <c r="C52" s="61"/>
      <c r="D52" s="61" t="s">
        <v>3</v>
      </c>
      <c r="E52" s="61"/>
      <c r="F52" s="61"/>
    </row>
    <row r="53" spans="1:6" ht="12.75" customHeight="1" x14ac:dyDescent="0.3">
      <c r="A53" s="91"/>
      <c r="B53" s="91"/>
      <c r="C53" s="91"/>
      <c r="D53" s="91" t="s">
        <v>2</v>
      </c>
      <c r="E53" s="91"/>
      <c r="F53" s="91"/>
    </row>
    <row r="54" spans="1:6" ht="12.75" customHeight="1" x14ac:dyDescent="0.3">
      <c r="A54" s="91"/>
      <c r="B54" s="91"/>
      <c r="C54" s="91"/>
      <c r="D54" s="91"/>
      <c r="E54" s="91"/>
      <c r="F54" s="91"/>
    </row>
    <row r="55" spans="1:6" ht="12.75" customHeight="1" x14ac:dyDescent="0.3">
      <c r="A55" s="91"/>
      <c r="B55" s="91"/>
      <c r="C55" s="91"/>
      <c r="D55" s="2" t="s">
        <v>1</v>
      </c>
      <c r="E55" s="91"/>
      <c r="F55" s="91"/>
    </row>
    <row r="56" spans="1:6" x14ac:dyDescent="0.3">
      <c r="A56" s="91"/>
      <c r="B56" s="91"/>
      <c r="C56" s="91"/>
      <c r="D56" s="2" t="s">
        <v>0</v>
      </c>
      <c r="E56" s="91"/>
      <c r="F56" s="91"/>
    </row>
    <row r="57" spans="1:6" x14ac:dyDescent="0.3">
      <c r="A57" s="91"/>
      <c r="B57" s="91"/>
      <c r="C57" s="91"/>
      <c r="D57" s="1"/>
      <c r="E57" s="1"/>
      <c r="F57" s="1"/>
    </row>
    <row r="58" spans="1:6" x14ac:dyDescent="0.3">
      <c r="A58" s="91"/>
      <c r="B58" s="91"/>
      <c r="C58" s="91"/>
      <c r="D58" s="91"/>
      <c r="E58" s="91"/>
      <c r="F58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Sheet3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561</v>
      </c>
    </row>
    <row r="10" spans="1:6" x14ac:dyDescent="0.2">
      <c r="A10" s="1" t="s">
        <v>560</v>
      </c>
      <c r="D10" s="20" t="s">
        <v>27</v>
      </c>
      <c r="E10" s="20" t="s">
        <v>559</v>
      </c>
    </row>
    <row r="11" spans="1:6" x14ac:dyDescent="0.2">
      <c r="A11" s="1" t="s">
        <v>558</v>
      </c>
      <c r="D11" s="20" t="s">
        <v>24</v>
      </c>
      <c r="E11" s="20" t="s">
        <v>23</v>
      </c>
    </row>
    <row r="12" spans="1:6" x14ac:dyDescent="0.2">
      <c r="A12" s="1" t="s">
        <v>557</v>
      </c>
      <c r="D12" s="20" t="s">
        <v>22</v>
      </c>
      <c r="E12" s="19" t="s">
        <v>556</v>
      </c>
    </row>
    <row r="13" spans="1:6" x14ac:dyDescent="0.2">
      <c r="A13" s="1" t="s">
        <v>555</v>
      </c>
    </row>
    <row r="14" spans="1:6" x14ac:dyDescent="0.2">
      <c r="A14" s="1" t="s">
        <v>554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0" spans="1:6" x14ac:dyDescent="0.2">
      <c r="A20" s="1" t="s">
        <v>553</v>
      </c>
      <c r="B20" s="1" t="s">
        <v>552</v>
      </c>
      <c r="F20" s="1">
        <v>4050</v>
      </c>
    </row>
    <row r="21" spans="1:6" x14ac:dyDescent="0.2">
      <c r="B21" s="1" t="s">
        <v>551</v>
      </c>
    </row>
    <row r="24" spans="1:6" x14ac:dyDescent="0.2">
      <c r="B24" s="8" t="s">
        <v>550</v>
      </c>
      <c r="F24" s="1">
        <v>202.5</v>
      </c>
    </row>
    <row r="25" spans="1:6" x14ac:dyDescent="0.2">
      <c r="B25" s="8"/>
    </row>
    <row r="30" spans="1:6" x14ac:dyDescent="0.2">
      <c r="B30" s="8"/>
    </row>
    <row r="31" spans="1:6" x14ac:dyDescent="0.2">
      <c r="B31" s="8"/>
    </row>
    <row r="32" spans="1:6" ht="13.5" thickBot="1" x14ac:dyDescent="0.25">
      <c r="F32" s="11">
        <f>SUM(F20:F31)</f>
        <v>4252.5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549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Sheet4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29</v>
      </c>
    </row>
    <row r="10" spans="1:6" x14ac:dyDescent="0.2">
      <c r="A10" s="1" t="s">
        <v>28</v>
      </c>
      <c r="D10" s="20" t="s">
        <v>27</v>
      </c>
      <c r="E10" s="20" t="s">
        <v>26</v>
      </c>
    </row>
    <row r="11" spans="1:6" x14ac:dyDescent="0.2">
      <c r="A11" s="1" t="s">
        <v>25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21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17</v>
      </c>
    </row>
    <row r="21" spans="2:6" x14ac:dyDescent="0.2">
      <c r="C21" s="13" t="s">
        <v>16</v>
      </c>
    </row>
    <row r="22" spans="2:6" x14ac:dyDescent="0.2">
      <c r="C22" s="12"/>
    </row>
    <row r="24" spans="2:6" x14ac:dyDescent="0.2">
      <c r="C24" s="1" t="s">
        <v>15</v>
      </c>
    </row>
    <row r="26" spans="2:6" x14ac:dyDescent="0.2">
      <c r="B26" s="8" t="s">
        <v>14</v>
      </c>
      <c r="C26" s="1" t="s">
        <v>13</v>
      </c>
      <c r="F26" s="1">
        <v>1890</v>
      </c>
    </row>
    <row r="27" spans="2:6" x14ac:dyDescent="0.2">
      <c r="B27" s="8"/>
    </row>
    <row r="32" spans="2:6" ht="13.5" thickBot="1" x14ac:dyDescent="0.25">
      <c r="F32" s="11">
        <f>SUM(F18:F31)</f>
        <v>1890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4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Sheet15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898</v>
      </c>
    </row>
    <row r="10" spans="1:6" x14ac:dyDescent="0.2">
      <c r="A10" s="1" t="s">
        <v>897</v>
      </c>
      <c r="D10" s="20" t="s">
        <v>27</v>
      </c>
      <c r="E10" s="20" t="s">
        <v>896</v>
      </c>
    </row>
    <row r="11" spans="1:6" x14ac:dyDescent="0.2">
      <c r="A11" s="1" t="s">
        <v>895</v>
      </c>
      <c r="D11" s="20" t="s">
        <v>24</v>
      </c>
      <c r="E11" s="20" t="s">
        <v>23</v>
      </c>
    </row>
    <row r="12" spans="1:6" x14ac:dyDescent="0.2">
      <c r="A12" s="1" t="s">
        <v>894</v>
      </c>
      <c r="D12" s="20" t="s">
        <v>22</v>
      </c>
      <c r="E12" s="20" t="s">
        <v>586</v>
      </c>
    </row>
    <row r="13" spans="1:6" x14ac:dyDescent="0.2">
      <c r="A13" s="1" t="s">
        <v>893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21"/>
    </row>
    <row r="21" spans="1:6" x14ac:dyDescent="0.2">
      <c r="C21" s="1" t="s">
        <v>892</v>
      </c>
    </row>
    <row r="22" spans="1:6" x14ac:dyDescent="0.2">
      <c r="C22" s="21" t="s">
        <v>891</v>
      </c>
    </row>
    <row r="23" spans="1:6" x14ac:dyDescent="0.2">
      <c r="C23" s="1" t="s">
        <v>890</v>
      </c>
      <c r="F23" s="1">
        <v>18864</v>
      </c>
    </row>
    <row r="25" spans="1:6" x14ac:dyDescent="0.2">
      <c r="C25" s="1" t="s">
        <v>431</v>
      </c>
      <c r="F25" s="1">
        <v>30</v>
      </c>
    </row>
    <row r="26" spans="1:6" x14ac:dyDescent="0.2">
      <c r="C26" s="21"/>
      <c r="F26" s="13"/>
    </row>
    <row r="27" spans="1:6" x14ac:dyDescent="0.2">
      <c r="B27" s="8"/>
    </row>
    <row r="28" spans="1:6" x14ac:dyDescent="0.2">
      <c r="B28" s="8"/>
    </row>
    <row r="30" spans="1:6" ht="13.5" thickBot="1" x14ac:dyDescent="0.25">
      <c r="F30" s="25">
        <f>SUM(F19:F29)</f>
        <v>18894</v>
      </c>
    </row>
    <row r="31" spans="1:6" ht="13.5" thickTop="1" x14ac:dyDescent="0.2"/>
    <row r="32" spans="1:6" ht="20.100000000000001" customHeight="1" x14ac:dyDescent="0.2">
      <c r="A32" s="10" t="s">
        <v>889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Sheet93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14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1334</v>
      </c>
      <c r="E9" s="91" t="s">
        <v>1381</v>
      </c>
    </row>
    <row r="10" spans="1:6" x14ac:dyDescent="0.2">
      <c r="A10" s="91" t="s">
        <v>1332</v>
      </c>
      <c r="D10" s="92" t="s">
        <v>1335</v>
      </c>
      <c r="E10" s="92" t="s">
        <v>1380</v>
      </c>
    </row>
    <row r="11" spans="1:6" x14ac:dyDescent="0.2">
      <c r="A11" s="91" t="s">
        <v>1336</v>
      </c>
      <c r="D11" s="92" t="s">
        <v>1333</v>
      </c>
      <c r="E11" s="92" t="s">
        <v>1220</v>
      </c>
    </row>
    <row r="12" spans="1:6" x14ac:dyDescent="0.2">
      <c r="A12" s="91" t="s">
        <v>1337</v>
      </c>
      <c r="D12" s="92" t="s">
        <v>1331</v>
      </c>
      <c r="E12" s="92" t="s">
        <v>1382</v>
      </c>
    </row>
    <row r="13" spans="1:6" x14ac:dyDescent="0.2">
      <c r="A13" s="91" t="s">
        <v>1338</v>
      </c>
      <c r="B13" s="91" t="s">
        <v>1339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1342</v>
      </c>
    </row>
    <row r="19" spans="1:6" x14ac:dyDescent="0.2">
      <c r="C19" s="2"/>
    </row>
    <row r="20" spans="1:6" x14ac:dyDescent="0.2">
      <c r="A20" s="93" t="s">
        <v>1341</v>
      </c>
      <c r="B20" s="111" t="s">
        <v>1340</v>
      </c>
      <c r="C20" s="91" t="s">
        <v>1343</v>
      </c>
      <c r="F20" s="91">
        <v>3000</v>
      </c>
    </row>
    <row r="21" spans="1:6" x14ac:dyDescent="0.2">
      <c r="A21" s="109"/>
      <c r="C21" s="91" t="s">
        <v>1344</v>
      </c>
      <c r="F21" s="110"/>
    </row>
    <row r="22" spans="1:6" x14ac:dyDescent="0.2">
      <c r="F22" s="110"/>
    </row>
    <row r="23" spans="1:6" x14ac:dyDescent="0.2">
      <c r="A23" s="108"/>
      <c r="F23" s="110"/>
    </row>
    <row r="24" spans="1:6" x14ac:dyDescent="0.2">
      <c r="A24" s="108"/>
      <c r="B24" s="94"/>
      <c r="F24" s="110"/>
    </row>
    <row r="25" spans="1:6" x14ac:dyDescent="0.2">
      <c r="A25" s="109"/>
      <c r="B25" s="94"/>
      <c r="C25" s="2"/>
      <c r="F25" s="110"/>
    </row>
    <row r="26" spans="1:6" x14ac:dyDescent="0.2">
      <c r="A26" s="108"/>
      <c r="B26" s="94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3000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1345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Sheet5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80" t="s">
        <v>2333</v>
      </c>
    </row>
    <row r="10" spans="1:6" x14ac:dyDescent="0.2">
      <c r="A10" s="1" t="s">
        <v>288</v>
      </c>
      <c r="D10" s="20" t="s">
        <v>27</v>
      </c>
      <c r="E10" s="20" t="s">
        <v>118</v>
      </c>
    </row>
    <row r="11" spans="1:6" x14ac:dyDescent="0.2">
      <c r="A11" s="1" t="s">
        <v>287</v>
      </c>
      <c r="D11" s="20" t="s">
        <v>24</v>
      </c>
      <c r="E11" s="20" t="s">
        <v>23</v>
      </c>
    </row>
    <row r="12" spans="1:6" x14ac:dyDescent="0.2">
      <c r="A12" s="1" t="s">
        <v>286</v>
      </c>
      <c r="D12" s="20" t="s">
        <v>22</v>
      </c>
      <c r="E12" s="20" t="s">
        <v>300</v>
      </c>
    </row>
    <row r="15" spans="1:6" s="14" customFormat="1" ht="20.100000000000001" customHeight="1" x14ac:dyDescent="0.2">
      <c r="A15" s="17" t="s">
        <v>20</v>
      </c>
      <c r="B15" s="17"/>
      <c r="C15" s="18" t="s">
        <v>19</v>
      </c>
      <c r="D15" s="17"/>
      <c r="E15" s="16"/>
      <c r="F15" s="15" t="s">
        <v>18</v>
      </c>
    </row>
    <row r="17" spans="1:6" x14ac:dyDescent="0.2">
      <c r="C17" s="21"/>
    </row>
    <row r="18" spans="1:6" x14ac:dyDescent="0.2">
      <c r="C18" s="13" t="s">
        <v>299</v>
      </c>
    </row>
    <row r="19" spans="1:6" x14ac:dyDescent="0.2">
      <c r="C19" s="13" t="s">
        <v>298</v>
      </c>
    </row>
    <row r="20" spans="1:6" x14ac:dyDescent="0.2">
      <c r="C20" s="13" t="s">
        <v>297</v>
      </c>
    </row>
    <row r="21" spans="1:6" x14ac:dyDescent="0.2">
      <c r="C21" s="21"/>
    </row>
    <row r="22" spans="1:6" x14ac:dyDescent="0.2">
      <c r="A22" s="1" t="s">
        <v>296</v>
      </c>
      <c r="C22" s="1" t="s">
        <v>295</v>
      </c>
      <c r="F22" s="1">
        <v>200</v>
      </c>
    </row>
    <row r="23" spans="1:6" x14ac:dyDescent="0.2">
      <c r="C23" s="1" t="s">
        <v>294</v>
      </c>
      <c r="F23" s="1">
        <v>1440</v>
      </c>
    </row>
    <row r="24" spans="1:6" x14ac:dyDescent="0.2">
      <c r="C24" s="1" t="s">
        <v>293</v>
      </c>
      <c r="F24" s="1">
        <v>5600</v>
      </c>
    </row>
    <row r="25" spans="1:6" x14ac:dyDescent="0.2">
      <c r="C25" s="1" t="s">
        <v>292</v>
      </c>
      <c r="F25" s="1">
        <v>400</v>
      </c>
    </row>
    <row r="26" spans="1:6" x14ac:dyDescent="0.2">
      <c r="C26" s="1" t="s">
        <v>291</v>
      </c>
      <c r="F26" s="1">
        <v>960</v>
      </c>
    </row>
    <row r="31" spans="1:6" x14ac:dyDescent="0.2">
      <c r="C31" s="21"/>
    </row>
    <row r="32" spans="1:6" ht="13.5" thickBot="1" x14ac:dyDescent="0.25">
      <c r="F32" s="11">
        <f>SUM(F17:F31)</f>
        <v>8600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290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Sheet6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289</v>
      </c>
    </row>
    <row r="10" spans="1:6" x14ac:dyDescent="0.2">
      <c r="A10" s="1" t="s">
        <v>288</v>
      </c>
      <c r="D10" s="20" t="s">
        <v>27</v>
      </c>
      <c r="E10" s="20" t="s">
        <v>26</v>
      </c>
    </row>
    <row r="11" spans="1:6" x14ac:dyDescent="0.2">
      <c r="A11" s="1" t="s">
        <v>287</v>
      </c>
      <c r="D11" s="20" t="s">
        <v>24</v>
      </c>
      <c r="E11" s="20" t="s">
        <v>23</v>
      </c>
    </row>
    <row r="12" spans="1:6" x14ac:dyDescent="0.2">
      <c r="A12" s="1" t="s">
        <v>286</v>
      </c>
      <c r="D12" s="20" t="s">
        <v>22</v>
      </c>
      <c r="E12" s="19" t="s">
        <v>285</v>
      </c>
    </row>
    <row r="15" spans="1:6" s="14" customFormat="1" ht="20.100000000000001" customHeight="1" x14ac:dyDescent="0.2">
      <c r="A15" s="17" t="s">
        <v>20</v>
      </c>
      <c r="B15" s="17"/>
      <c r="C15" s="18" t="s">
        <v>19</v>
      </c>
      <c r="D15" s="17"/>
      <c r="E15" s="16"/>
      <c r="F15" s="15" t="s">
        <v>18</v>
      </c>
    </row>
    <row r="20" spans="1:6" x14ac:dyDescent="0.2">
      <c r="A20" s="1" t="s">
        <v>284</v>
      </c>
      <c r="C20" s="13" t="s">
        <v>283</v>
      </c>
    </row>
    <row r="21" spans="1:6" x14ac:dyDescent="0.2">
      <c r="C21" s="13"/>
    </row>
    <row r="22" spans="1:6" x14ac:dyDescent="0.2">
      <c r="C22" s="1" t="s">
        <v>282</v>
      </c>
      <c r="F22" s="1">
        <v>16000</v>
      </c>
    </row>
    <row r="25" spans="1:6" x14ac:dyDescent="0.2">
      <c r="C25" s="21"/>
    </row>
    <row r="30" spans="1:6" x14ac:dyDescent="0.2">
      <c r="C30" s="21"/>
    </row>
    <row r="33" spans="1:6" x14ac:dyDescent="0.2">
      <c r="C33" s="21"/>
    </row>
    <row r="34" spans="1:6" ht="13.5" thickBot="1" x14ac:dyDescent="0.25">
      <c r="F34" s="11">
        <f>SUM(F19:F33)</f>
        <v>16000</v>
      </c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ht="20.100000000000001" customHeight="1" x14ac:dyDescent="0.2">
      <c r="A37" s="10" t="s">
        <v>281</v>
      </c>
      <c r="B37" s="10"/>
      <c r="C37" s="9"/>
      <c r="D37" s="224"/>
      <c r="E37" s="224"/>
      <c r="F37" s="224"/>
    </row>
    <row r="38" spans="1:6" ht="20.100000000000001" customHeight="1" x14ac:dyDescent="0.2">
      <c r="A38" s="226"/>
      <c r="B38" s="226"/>
      <c r="C38" s="3"/>
      <c r="D38" s="224"/>
      <c r="E38" s="224"/>
      <c r="F38" s="224"/>
    </row>
    <row r="39" spans="1:6" x14ac:dyDescent="0.2">
      <c r="A39" s="8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2" spans="1:6" x14ac:dyDescent="0.2">
      <c r="A42" s="1" t="s">
        <v>9</v>
      </c>
    </row>
    <row r="45" spans="1:6" x14ac:dyDescent="0.2">
      <c r="A45" s="6" t="s">
        <v>8</v>
      </c>
      <c r="D45" s="6" t="s">
        <v>7</v>
      </c>
      <c r="F45" s="5"/>
    </row>
    <row r="47" spans="1:6" x14ac:dyDescent="0.2">
      <c r="A47" s="1" t="s">
        <v>3972</v>
      </c>
    </row>
    <row r="49" spans="1:4" x14ac:dyDescent="0.2">
      <c r="A49" s="1" t="s">
        <v>4066</v>
      </c>
      <c r="D49" s="1" t="s">
        <v>5</v>
      </c>
    </row>
    <row r="50" spans="1:4" s="3" customFormat="1" ht="17.100000000000001" customHeight="1" x14ac:dyDescent="0.2">
      <c r="A50" s="4" t="s">
        <v>35</v>
      </c>
      <c r="B50" s="4"/>
      <c r="D50" s="3" t="s">
        <v>3</v>
      </c>
    </row>
    <row r="51" spans="1:4" x14ac:dyDescent="0.2">
      <c r="D51" s="1" t="s">
        <v>2</v>
      </c>
    </row>
    <row r="53" spans="1:4" x14ac:dyDescent="0.2">
      <c r="D53" s="2" t="s">
        <v>1</v>
      </c>
    </row>
    <row r="54" spans="1:4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Sheet1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3.85546875" style="1" customWidth="1"/>
    <col min="2" max="2" width="19.28515625" style="1" customWidth="1"/>
    <col min="3" max="3" width="21" style="1" customWidth="1"/>
    <col min="4" max="4" width="16.42578125" style="1" customWidth="1"/>
    <col min="5" max="5" width="15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89"/>
    </row>
    <row r="2" spans="1:6" x14ac:dyDescent="0.2">
      <c r="A2" s="525" t="s">
        <v>33</v>
      </c>
      <c r="B2" s="525"/>
      <c r="C2" s="525"/>
      <c r="D2" s="525"/>
      <c r="E2" s="525"/>
      <c r="F2" s="66"/>
    </row>
    <row r="3" spans="1:6" x14ac:dyDescent="0.2">
      <c r="A3" s="525" t="s">
        <v>1829</v>
      </c>
      <c r="B3" s="525"/>
      <c r="C3" s="525"/>
      <c r="D3" s="525"/>
      <c r="E3" s="525"/>
      <c r="F3" s="66"/>
    </row>
    <row r="4" spans="1:6" x14ac:dyDescent="0.2">
      <c r="A4" s="525" t="s">
        <v>1828</v>
      </c>
      <c r="B4" s="525"/>
      <c r="C4" s="525"/>
      <c r="D4" s="525"/>
      <c r="E4" s="525"/>
      <c r="F4" s="66"/>
    </row>
    <row r="8" spans="1:6" x14ac:dyDescent="0.2">
      <c r="A8" s="1" t="s">
        <v>32</v>
      </c>
      <c r="D8" s="22" t="s">
        <v>31</v>
      </c>
    </row>
    <row r="9" spans="1:6" x14ac:dyDescent="0.2">
      <c r="D9" s="81" t="s">
        <v>1221</v>
      </c>
      <c r="E9" s="80" t="s">
        <v>1274</v>
      </c>
    </row>
    <row r="10" spans="1:6" x14ac:dyDescent="0.2">
      <c r="A10" s="80" t="s">
        <v>1269</v>
      </c>
      <c r="D10" s="81" t="s">
        <v>1222</v>
      </c>
      <c r="E10" s="87">
        <v>40624</v>
      </c>
    </row>
    <row r="11" spans="1:6" x14ac:dyDescent="0.2">
      <c r="A11" s="80" t="s">
        <v>1270</v>
      </c>
      <c r="D11" s="81" t="s">
        <v>1223</v>
      </c>
      <c r="E11" s="81" t="s">
        <v>1220</v>
      </c>
    </row>
    <row r="12" spans="1:6" x14ac:dyDescent="0.2">
      <c r="A12" s="80" t="s">
        <v>1271</v>
      </c>
      <c r="D12" s="81" t="s">
        <v>1224</v>
      </c>
      <c r="E12" s="81" t="s">
        <v>1273</v>
      </c>
    </row>
    <row r="13" spans="1:6" x14ac:dyDescent="0.2">
      <c r="A13" s="80" t="s">
        <v>1272</v>
      </c>
    </row>
    <row r="16" spans="1:6" s="67" customFormat="1" ht="20.100000000000001" customHeight="1" x14ac:dyDescent="0.2">
      <c r="A16" s="17" t="s">
        <v>1261</v>
      </c>
      <c r="B16" s="31" t="s">
        <v>1262</v>
      </c>
      <c r="C16" s="71" t="s">
        <v>19</v>
      </c>
      <c r="D16" s="70"/>
      <c r="E16" s="68" t="s">
        <v>18</v>
      </c>
    </row>
    <row r="17" spans="1:5" x14ac:dyDescent="0.2">
      <c r="A17" s="28"/>
    </row>
    <row r="18" spans="1:5" x14ac:dyDescent="0.2">
      <c r="A18" s="28"/>
    </row>
    <row r="19" spans="1:5" x14ac:dyDescent="0.2">
      <c r="C19" s="13" t="s">
        <v>1275</v>
      </c>
    </row>
    <row r="20" spans="1:5" x14ac:dyDescent="0.2">
      <c r="A20" s="28"/>
      <c r="C20" s="13" t="s">
        <v>1276</v>
      </c>
    </row>
    <row r="21" spans="1:5" x14ac:dyDescent="0.2">
      <c r="C21" s="21"/>
    </row>
    <row r="22" spans="1:5" x14ac:dyDescent="0.2">
      <c r="A22" s="28"/>
      <c r="C22" s="21"/>
    </row>
    <row r="23" spans="1:5" x14ac:dyDescent="0.2">
      <c r="A23" s="28">
        <v>40611</v>
      </c>
      <c r="B23" s="80" t="s">
        <v>1280</v>
      </c>
      <c r="C23" s="80" t="s">
        <v>1277</v>
      </c>
    </row>
    <row r="24" spans="1:5" x14ac:dyDescent="0.2">
      <c r="A24" s="28"/>
      <c r="B24" s="80" t="s">
        <v>1281</v>
      </c>
      <c r="C24" s="80" t="s">
        <v>1278</v>
      </c>
      <c r="E24" s="1">
        <v>200</v>
      </c>
    </row>
    <row r="25" spans="1:5" x14ac:dyDescent="0.2">
      <c r="A25" s="28"/>
    </row>
    <row r="26" spans="1:5" x14ac:dyDescent="0.2">
      <c r="A26" s="28"/>
    </row>
    <row r="27" spans="1:5" x14ac:dyDescent="0.2">
      <c r="A27" s="88"/>
      <c r="C27" s="21"/>
    </row>
    <row r="28" spans="1:5" x14ac:dyDescent="0.2">
      <c r="A28" s="28"/>
      <c r="C28" s="21"/>
      <c r="E28" s="13"/>
    </row>
    <row r="29" spans="1:5" x14ac:dyDescent="0.2">
      <c r="A29" s="28"/>
      <c r="B29" s="8"/>
    </row>
    <row r="30" spans="1:5" x14ac:dyDescent="0.2">
      <c r="A30" s="28"/>
      <c r="B30" s="8"/>
    </row>
    <row r="31" spans="1:5" x14ac:dyDescent="0.2">
      <c r="A31" s="28"/>
      <c r="B31" s="8"/>
    </row>
    <row r="32" spans="1:5" x14ac:dyDescent="0.2">
      <c r="A32" s="28"/>
    </row>
    <row r="33" spans="1:6" ht="13.5" thickBot="1" x14ac:dyDescent="0.25">
      <c r="E33" s="25">
        <f>SUM(E20:E32)</f>
        <v>200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84" t="s">
        <v>1279</v>
      </c>
      <c r="B35" s="10"/>
      <c r="C35" s="9"/>
      <c r="D35" s="9"/>
      <c r="E35" s="9"/>
      <c r="F35" s="3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6" t="s">
        <v>10</v>
      </c>
    </row>
    <row r="38" spans="1:6" x14ac:dyDescent="0.2">
      <c r="A38" s="6"/>
    </row>
    <row r="39" spans="1:6" x14ac:dyDescent="0.2">
      <c r="A39" s="6"/>
      <c r="D39" s="227"/>
      <c r="E39" s="227"/>
      <c r="F39" s="227"/>
    </row>
    <row r="40" spans="1:6" x14ac:dyDescent="0.2">
      <c r="A40" s="6"/>
      <c r="C40" s="7"/>
      <c r="D40" s="228"/>
      <c r="E40" s="229"/>
      <c r="F40" s="229"/>
    </row>
    <row r="41" spans="1:6" x14ac:dyDescent="0.2">
      <c r="B41" s="23"/>
    </row>
    <row r="42" spans="1:6" x14ac:dyDescent="0.2">
      <c r="A42" s="74"/>
    </row>
    <row r="43" spans="1:6" x14ac:dyDescent="0.2">
      <c r="A43" s="6" t="s">
        <v>8</v>
      </c>
      <c r="D43" s="6" t="s">
        <v>7</v>
      </c>
      <c r="F43" s="5"/>
    </row>
    <row r="44" spans="1:6" x14ac:dyDescent="0.2">
      <c r="A44" s="6"/>
    </row>
    <row r="45" spans="1:6" x14ac:dyDescent="0.2">
      <c r="A45" s="6"/>
    </row>
    <row r="46" spans="1:6" x14ac:dyDescent="0.2">
      <c r="A46" s="6"/>
    </row>
    <row r="47" spans="1:6" x14ac:dyDescent="0.2">
      <c r="A47" s="74" t="s">
        <v>3972</v>
      </c>
      <c r="B47" s="23"/>
      <c r="D47" s="23"/>
      <c r="E47" s="23"/>
    </row>
    <row r="48" spans="1:6" s="3" customFormat="1" ht="17.100000000000001" customHeight="1" x14ac:dyDescent="0.2">
      <c r="A48" s="72" t="s">
        <v>35</v>
      </c>
      <c r="B48" s="4"/>
      <c r="D48" s="3" t="s">
        <v>3</v>
      </c>
    </row>
    <row r="49" spans="1:4" x14ac:dyDescent="0.2">
      <c r="A49" s="6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Sheet73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1671</v>
      </c>
    </row>
    <row r="10" spans="1:6" x14ac:dyDescent="0.2">
      <c r="A10" s="91" t="s">
        <v>1389</v>
      </c>
      <c r="D10" s="92" t="s">
        <v>1356</v>
      </c>
      <c r="E10" s="92" t="s">
        <v>1672</v>
      </c>
    </row>
    <row r="11" spans="1:6" x14ac:dyDescent="0.2">
      <c r="A11" s="91" t="s">
        <v>1390</v>
      </c>
      <c r="D11" s="92" t="s">
        <v>1364</v>
      </c>
      <c r="E11" s="92" t="s">
        <v>1220</v>
      </c>
    </row>
    <row r="12" spans="1:6" x14ac:dyDescent="0.2">
      <c r="A12" s="91" t="s">
        <v>1391</v>
      </c>
      <c r="D12" s="92" t="s">
        <v>1394</v>
      </c>
      <c r="E12" s="92" t="s">
        <v>1673</v>
      </c>
    </row>
    <row r="13" spans="1:6" x14ac:dyDescent="0.2">
      <c r="A13" s="91" t="s">
        <v>1392</v>
      </c>
    </row>
    <row r="14" spans="1:6" x14ac:dyDescent="0.2">
      <c r="A14" s="91" t="s">
        <v>1395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</row>
    <row r="19" spans="1:6" x14ac:dyDescent="0.2">
      <c r="A19" s="111" t="s">
        <v>1674</v>
      </c>
      <c r="B19" s="93" t="s">
        <v>1675</v>
      </c>
      <c r="C19" s="91" t="s">
        <v>521</v>
      </c>
      <c r="F19" s="91">
        <v>113.5</v>
      </c>
    </row>
    <row r="20" spans="1:6" x14ac:dyDescent="0.2">
      <c r="A20" s="109"/>
      <c r="B20" s="99"/>
    </row>
    <row r="21" spans="1:6" x14ac:dyDescent="0.2">
      <c r="A21" s="111" t="s">
        <v>1676</v>
      </c>
      <c r="B21" s="93" t="s">
        <v>1677</v>
      </c>
      <c r="C21" s="91" t="s">
        <v>521</v>
      </c>
      <c r="F21" s="91">
        <v>72</v>
      </c>
    </row>
    <row r="22" spans="1:6" x14ac:dyDescent="0.2">
      <c r="A22" s="109"/>
      <c r="B22" s="99"/>
    </row>
    <row r="23" spans="1:6" x14ac:dyDescent="0.2">
      <c r="A23" s="109"/>
      <c r="B23" s="93"/>
    </row>
    <row r="24" spans="1:6" x14ac:dyDescent="0.2">
      <c r="A24" s="109"/>
      <c r="B24" s="93"/>
    </row>
    <row r="25" spans="1:6" x14ac:dyDescent="0.2">
      <c r="A25" s="109"/>
      <c r="B25" s="93"/>
    </row>
    <row r="26" spans="1:6" x14ac:dyDescent="0.2">
      <c r="A26" s="109"/>
      <c r="B26" s="99"/>
    </row>
    <row r="27" spans="1:6" x14ac:dyDescent="0.2">
      <c r="A27" s="109"/>
      <c r="B27" s="99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107">
        <f>SUM(F18:F31)</f>
        <v>185.5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1678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30A3-2914-42D1-96E3-5AAFB76B2AEC}">
  <sheetPr codeName="Sheet648"/>
  <dimension ref="A1:O56"/>
  <sheetViews>
    <sheetView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15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5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5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5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15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15" x14ac:dyDescent="0.2">
      <c r="A9" s="153"/>
      <c r="B9" s="153"/>
      <c r="C9" s="153"/>
      <c r="D9" s="153"/>
      <c r="E9" s="153"/>
      <c r="F9" s="155" t="s">
        <v>1517</v>
      </c>
      <c r="G9" s="91" t="s">
        <v>7786</v>
      </c>
      <c r="H9" s="153"/>
    </row>
    <row r="10" spans="1:15" x14ac:dyDescent="0.2">
      <c r="A10" s="153" t="s">
        <v>6519</v>
      </c>
      <c r="B10" s="153"/>
      <c r="C10" s="153"/>
      <c r="D10" s="153"/>
      <c r="E10" s="153"/>
      <c r="F10" s="155" t="s">
        <v>1357</v>
      </c>
      <c r="G10" s="92" t="s">
        <v>7727</v>
      </c>
      <c r="H10" s="153"/>
    </row>
    <row r="11" spans="1:15" x14ac:dyDescent="0.2">
      <c r="A11" s="153" t="s">
        <v>6520</v>
      </c>
      <c r="B11" s="153"/>
      <c r="C11" s="153"/>
      <c r="D11" s="153"/>
      <c r="E11" s="153"/>
      <c r="F11" s="155" t="s">
        <v>1330</v>
      </c>
      <c r="G11" s="92" t="s">
        <v>1220</v>
      </c>
      <c r="H11" s="153"/>
    </row>
    <row r="12" spans="1:15" x14ac:dyDescent="0.2">
      <c r="A12" s="153" t="s">
        <v>6521</v>
      </c>
      <c r="B12" s="153"/>
      <c r="C12" s="153"/>
      <c r="D12" s="153"/>
      <c r="E12" s="153"/>
      <c r="F12" s="155" t="s">
        <v>1377</v>
      </c>
      <c r="G12" s="92" t="s">
        <v>770</v>
      </c>
      <c r="H12" s="153"/>
      <c r="K12" s="169" t="s">
        <v>7698</v>
      </c>
      <c r="L12" s="169"/>
      <c r="M12" s="153"/>
      <c r="N12" s="153"/>
      <c r="O12" s="153">
        <v>14019.6</v>
      </c>
    </row>
    <row r="13" spans="1:15" x14ac:dyDescent="0.2">
      <c r="A13" s="153" t="s">
        <v>6522</v>
      </c>
      <c r="B13" s="153"/>
      <c r="C13" s="153"/>
      <c r="D13" s="153"/>
      <c r="E13" s="153"/>
      <c r="F13" s="153"/>
      <c r="G13" s="153"/>
      <c r="H13" s="153"/>
      <c r="K13" s="153" t="s">
        <v>7699</v>
      </c>
      <c r="L13" s="153"/>
      <c r="O13" s="153">
        <f>84967.32/2</f>
        <v>42483.66</v>
      </c>
    </row>
    <row r="14" spans="1:15" x14ac:dyDescent="0.2">
      <c r="A14" s="153"/>
      <c r="B14" s="153"/>
      <c r="C14" s="153"/>
      <c r="D14" s="153"/>
      <c r="E14" s="153"/>
      <c r="F14" s="153"/>
      <c r="G14" s="153"/>
      <c r="H14" s="153"/>
      <c r="K14" s="153" t="s">
        <v>7700</v>
      </c>
      <c r="L14" s="153"/>
      <c r="M14" s="153"/>
      <c r="N14" s="153"/>
      <c r="O14" s="153">
        <f>9150.33/2</f>
        <v>4575.165</v>
      </c>
    </row>
    <row r="15" spans="1:15" x14ac:dyDescent="0.2">
      <c r="A15" s="153"/>
      <c r="B15" s="153"/>
      <c r="C15" s="153"/>
      <c r="D15" s="153"/>
      <c r="E15" s="153"/>
      <c r="F15" s="153"/>
      <c r="G15" s="153"/>
      <c r="H15" s="153"/>
      <c r="K15" s="153" t="s">
        <v>4892</v>
      </c>
      <c r="L15" s="153"/>
      <c r="O15" s="153">
        <f>8550.98/2</f>
        <v>4275.49</v>
      </c>
    </row>
    <row r="16" spans="1:15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79"/>
      <c r="B18" s="153"/>
      <c r="C18" s="153"/>
      <c r="D18" s="2" t="s">
        <v>7782</v>
      </c>
      <c r="E18" s="2"/>
      <c r="F18" s="91"/>
      <c r="G18" s="91"/>
      <c r="H18" s="91"/>
    </row>
    <row r="19" spans="1:8" x14ac:dyDescent="0.2">
      <c r="A19" s="153"/>
      <c r="B19" s="153"/>
      <c r="C19" s="153"/>
      <c r="D19" s="91"/>
      <c r="E19" s="91"/>
      <c r="F19" s="91"/>
      <c r="G19" s="91"/>
      <c r="H19" s="91"/>
    </row>
    <row r="20" spans="1:8" x14ac:dyDescent="0.2">
      <c r="A20" s="187" t="s">
        <v>7713</v>
      </c>
      <c r="B20" s="168" t="s">
        <v>7787</v>
      </c>
      <c r="C20" s="153"/>
      <c r="D20" s="91" t="s">
        <v>7783</v>
      </c>
      <c r="E20" s="91"/>
      <c r="F20" s="91"/>
      <c r="G20" s="91"/>
      <c r="H20" s="91">
        <f>31363.44*0.144</f>
        <v>4516.3353599999991</v>
      </c>
    </row>
    <row r="21" spans="1:8" x14ac:dyDescent="0.2">
      <c r="A21" s="199"/>
      <c r="B21" s="153"/>
      <c r="C21" s="153"/>
      <c r="D21" s="91" t="s">
        <v>7784</v>
      </c>
      <c r="E21" s="91"/>
      <c r="F21" s="91"/>
      <c r="G21" s="91"/>
      <c r="H21" s="91"/>
    </row>
    <row r="22" spans="1:8" x14ac:dyDescent="0.2">
      <c r="A22" s="179"/>
      <c r="B22" s="267"/>
      <c r="C22" s="267"/>
      <c r="D22" s="91" t="s">
        <v>7785</v>
      </c>
      <c r="E22" s="91"/>
      <c r="F22" s="91"/>
      <c r="G22" s="91"/>
      <c r="H22" s="91"/>
    </row>
    <row r="23" spans="1:8" x14ac:dyDescent="0.2">
      <c r="D23" s="91"/>
      <c r="E23" s="91"/>
      <c r="F23" s="91"/>
      <c r="G23" s="91"/>
      <c r="H23" s="91"/>
    </row>
    <row r="24" spans="1:8" x14ac:dyDescent="0.2">
      <c r="A24" s="198"/>
      <c r="B24" s="153"/>
      <c r="C24" s="153"/>
      <c r="D24" s="91" t="s">
        <v>52</v>
      </c>
      <c r="E24" s="91"/>
      <c r="F24" s="91"/>
      <c r="G24" s="91"/>
      <c r="H24" s="91">
        <v>30</v>
      </c>
    </row>
    <row r="25" spans="1:8" x14ac:dyDescent="0.2">
      <c r="A25" s="199"/>
      <c r="B25" s="153"/>
      <c r="C25" s="153"/>
      <c r="D25" s="91"/>
      <c r="E25" s="91"/>
      <c r="F25" s="91"/>
      <c r="G25" s="91"/>
      <c r="H25" s="91"/>
    </row>
    <row r="26" spans="1:8" x14ac:dyDescent="0.2">
      <c r="A26" s="179"/>
      <c r="D26" s="91"/>
      <c r="E26" s="91"/>
      <c r="F26" s="91"/>
      <c r="G26" s="91"/>
      <c r="H26" s="91"/>
    </row>
    <row r="27" spans="1:8" x14ac:dyDescent="0.2">
      <c r="B27" s="153"/>
      <c r="C27" s="153"/>
      <c r="D27" s="153"/>
      <c r="E27" s="153"/>
      <c r="H27" s="153"/>
    </row>
    <row r="28" spans="1:8" x14ac:dyDescent="0.2">
      <c r="A28" s="198"/>
      <c r="B28" s="153"/>
      <c r="C28" s="153"/>
      <c r="D28" s="163"/>
      <c r="E28" s="163"/>
      <c r="H28" s="153"/>
    </row>
    <row r="29" spans="1:8" x14ac:dyDescent="0.2">
      <c r="A29" s="199"/>
      <c r="B29" s="153"/>
      <c r="C29" s="153"/>
      <c r="D29" s="153"/>
      <c r="E29" s="153"/>
      <c r="H29" s="153"/>
    </row>
    <row r="30" spans="1:8" x14ac:dyDescent="0.2">
      <c r="A30" s="198"/>
      <c r="B30" s="153"/>
      <c r="C30" s="153"/>
      <c r="D30" s="153"/>
      <c r="E30" s="153"/>
      <c r="H30" s="153"/>
    </row>
    <row r="31" spans="1:8" x14ac:dyDescent="0.2">
      <c r="A31" s="199"/>
      <c r="B31" s="153"/>
      <c r="C31" s="153"/>
      <c r="D31" s="163"/>
      <c r="E31" s="163"/>
      <c r="H31" s="153"/>
    </row>
    <row r="32" spans="1:8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423">
        <f>SUM(H19:H34)</f>
        <v>4546.3353599999991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Thousand Five Hundred Forty-Six and 34/100 -----------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89"/>
  <dimension ref="A1:G59"/>
  <sheetViews>
    <sheetView zoomScaleNormal="100" zoomScaleSheetLayoutView="100" workbookViewId="0">
      <selection activeCell="F34" sqref="F34"/>
    </sheetView>
  </sheetViews>
  <sheetFormatPr defaultRowHeight="16.5" x14ac:dyDescent="0.3"/>
  <cols>
    <col min="1" max="1" width="15.5703125" style="310" customWidth="1"/>
    <col min="2" max="2" width="13.85546875" style="310" customWidth="1"/>
    <col min="3" max="3" width="19.85546875" style="310" customWidth="1"/>
    <col min="4" max="4" width="16.42578125" style="310" customWidth="1"/>
    <col min="5" max="5" width="8.140625" style="310" customWidth="1"/>
    <col min="6" max="6" width="13.28515625" style="310" customWidth="1"/>
    <col min="7" max="7" width="16.140625" style="292" customWidth="1"/>
    <col min="8" max="16384" width="9.140625" style="292"/>
  </cols>
  <sheetData>
    <row r="1" spans="1:7" ht="15" customHeight="1" x14ac:dyDescent="0.3">
      <c r="A1" s="523" t="s">
        <v>34</v>
      </c>
      <c r="B1" s="523"/>
      <c r="C1" s="523"/>
      <c r="D1" s="523"/>
      <c r="E1" s="523"/>
      <c r="F1" s="523"/>
    </row>
    <row r="2" spans="1:7" ht="12.75" customHeight="1" x14ac:dyDescent="0.3">
      <c r="A2" s="524" t="s">
        <v>33</v>
      </c>
      <c r="B2" s="524"/>
      <c r="C2" s="524"/>
      <c r="D2" s="524"/>
      <c r="E2" s="524"/>
      <c r="F2" s="524"/>
    </row>
    <row r="3" spans="1:7" ht="12.75" customHeight="1" x14ac:dyDescent="0.3">
      <c r="A3" s="524" t="s">
        <v>1829</v>
      </c>
      <c r="B3" s="524"/>
      <c r="C3" s="524"/>
      <c r="D3" s="524"/>
      <c r="E3" s="524"/>
      <c r="F3" s="524"/>
    </row>
    <row r="4" spans="1:7" ht="12.75" customHeight="1" x14ac:dyDescent="0.3">
      <c r="A4" s="524" t="s">
        <v>1828</v>
      </c>
      <c r="B4" s="524"/>
      <c r="C4" s="524"/>
      <c r="D4" s="524"/>
      <c r="E4" s="524"/>
      <c r="F4" s="524"/>
    </row>
    <row r="5" spans="1:7" ht="12.75" customHeight="1" x14ac:dyDescent="0.3">
      <c r="A5" s="153"/>
      <c r="B5" s="153"/>
      <c r="C5" s="153"/>
      <c r="D5" s="153"/>
      <c r="E5" s="153"/>
      <c r="F5" s="153"/>
    </row>
    <row r="6" spans="1:7" ht="12.75" customHeight="1" x14ac:dyDescent="0.3">
      <c r="A6" s="153"/>
      <c r="B6" s="153"/>
      <c r="C6" s="153"/>
      <c r="D6" s="153"/>
      <c r="E6" s="153"/>
      <c r="F6" s="153"/>
    </row>
    <row r="7" spans="1:7" ht="12.75" customHeight="1" x14ac:dyDescent="0.3">
      <c r="A7" s="153"/>
      <c r="B7" s="153"/>
      <c r="C7" s="153"/>
      <c r="D7" s="153"/>
      <c r="E7" s="153"/>
      <c r="F7" s="153"/>
    </row>
    <row r="8" spans="1:7" s="294" customFormat="1" ht="12.75" customHeight="1" x14ac:dyDescent="0.2">
      <c r="A8" s="156" t="s">
        <v>32</v>
      </c>
      <c r="B8" s="156"/>
      <c r="C8" s="156"/>
      <c r="D8" s="293" t="s">
        <v>31</v>
      </c>
      <c r="E8" s="156"/>
      <c r="F8" s="156"/>
    </row>
    <row r="9" spans="1:7" s="294" customFormat="1" ht="12.75" customHeight="1" x14ac:dyDescent="0.2">
      <c r="A9" s="156"/>
      <c r="B9" s="156"/>
      <c r="C9" s="156"/>
      <c r="D9" s="197" t="s">
        <v>1353</v>
      </c>
      <c r="E9" s="91" t="s">
        <v>5864</v>
      </c>
      <c r="F9" s="91"/>
    </row>
    <row r="10" spans="1:7" s="294" customFormat="1" ht="12.75" customHeight="1" x14ac:dyDescent="0.2">
      <c r="A10" s="156" t="s">
        <v>5869</v>
      </c>
      <c r="B10" s="156"/>
      <c r="C10" s="156"/>
      <c r="D10" s="197" t="s">
        <v>1335</v>
      </c>
      <c r="E10" s="98" t="s">
        <v>5858</v>
      </c>
      <c r="F10" s="91"/>
    </row>
    <row r="11" spans="1:7" s="294" customFormat="1" ht="12.75" customHeight="1" x14ac:dyDescent="0.2">
      <c r="A11" s="156" t="s">
        <v>5870</v>
      </c>
      <c r="B11" s="156"/>
      <c r="C11" s="156"/>
      <c r="D11" s="197" t="s">
        <v>1354</v>
      </c>
      <c r="E11" s="92" t="s">
        <v>1220</v>
      </c>
      <c r="F11" s="91"/>
    </row>
    <row r="12" spans="1:7" s="294" customFormat="1" ht="12.75" customHeight="1" x14ac:dyDescent="0.2">
      <c r="A12" s="156" t="s">
        <v>5871</v>
      </c>
      <c r="B12" s="156"/>
      <c r="C12" s="156"/>
      <c r="D12" s="197" t="s">
        <v>1355</v>
      </c>
      <c r="E12" s="94" t="s">
        <v>5865</v>
      </c>
      <c r="F12" s="91"/>
    </row>
    <row r="13" spans="1:7" s="294" customFormat="1" ht="12.75" customHeight="1" x14ac:dyDescent="0.2">
      <c r="A13" s="156" t="s">
        <v>4650</v>
      </c>
      <c r="B13" s="156"/>
      <c r="C13" s="156"/>
      <c r="D13" s="156"/>
      <c r="E13" s="91"/>
      <c r="F13" s="156"/>
    </row>
    <row r="14" spans="1:7" s="294" customFormat="1" ht="12.75" customHeight="1" x14ac:dyDescent="0.2">
      <c r="A14" s="156"/>
      <c r="B14" s="156"/>
      <c r="C14" s="156"/>
      <c r="D14" s="156"/>
      <c r="E14" s="156"/>
      <c r="F14" s="156"/>
    </row>
    <row r="15" spans="1:7" s="295" customFormat="1" ht="12.75" customHeight="1" x14ac:dyDescent="0.2">
      <c r="A15" s="156"/>
      <c r="B15" s="156"/>
      <c r="C15" s="156"/>
      <c r="D15" s="156"/>
      <c r="E15" s="156"/>
      <c r="F15" s="156"/>
    </row>
    <row r="16" spans="1:7" s="295" customFormat="1" x14ac:dyDescent="0.2">
      <c r="A16" s="158" t="s">
        <v>129</v>
      </c>
      <c r="B16" s="158" t="s">
        <v>128</v>
      </c>
      <c r="C16" s="159" t="s">
        <v>19</v>
      </c>
      <c r="D16" s="157"/>
      <c r="E16" s="158"/>
      <c r="F16" s="161" t="s">
        <v>18</v>
      </c>
      <c r="G16" s="296"/>
    </row>
    <row r="17" spans="1:7" s="295" customFormat="1" ht="12.75" customHeight="1" x14ac:dyDescent="0.2">
      <c r="A17" s="297"/>
      <c r="B17" s="298"/>
      <c r="C17" s="299"/>
      <c r="D17" s="298"/>
      <c r="E17" s="300"/>
      <c r="F17" s="301"/>
      <c r="G17" s="296"/>
    </row>
    <row r="18" spans="1:7" s="294" customFormat="1" ht="12.75" customHeight="1" x14ac:dyDescent="0.2">
      <c r="A18" s="302"/>
      <c r="B18" s="177"/>
      <c r="C18" s="162" t="s">
        <v>3476</v>
      </c>
      <c r="D18" s="156"/>
      <c r="E18" s="156"/>
      <c r="F18" s="156"/>
      <c r="G18" s="303"/>
    </row>
    <row r="19" spans="1:7" s="294" customFormat="1" ht="12.75" customHeight="1" x14ac:dyDescent="0.2">
      <c r="A19" s="304"/>
      <c r="B19" s="225"/>
      <c r="C19" s="156"/>
      <c r="D19" s="156"/>
      <c r="E19" s="156"/>
      <c r="F19" s="156"/>
      <c r="G19" s="303"/>
    </row>
    <row r="20" spans="1:7" s="306" customFormat="1" ht="12.75" customHeight="1" x14ac:dyDescent="0.2">
      <c r="A20" s="305" t="s">
        <v>5866</v>
      </c>
      <c r="B20" s="305" t="s">
        <v>5867</v>
      </c>
      <c r="C20" s="156" t="s">
        <v>5868</v>
      </c>
      <c r="D20" s="294"/>
      <c r="E20" s="294"/>
      <c r="F20" s="156">
        <v>4500</v>
      </c>
    </row>
    <row r="21" spans="1:7" s="306" customFormat="1" ht="12.75" customHeight="1" x14ac:dyDescent="0.2">
      <c r="A21" s="304"/>
      <c r="B21" s="307"/>
      <c r="C21" s="156"/>
      <c r="D21" s="156"/>
      <c r="E21" s="156"/>
      <c r="F21" s="156"/>
    </row>
    <row r="22" spans="1:7" s="294" customFormat="1" ht="12.75" customHeight="1" x14ac:dyDescent="0.2">
      <c r="A22" s="302"/>
      <c r="B22" s="177"/>
      <c r="C22" s="156"/>
      <c r="D22" s="156"/>
      <c r="E22" s="156"/>
      <c r="F22" s="156"/>
      <c r="G22" s="303"/>
    </row>
    <row r="23" spans="1:7" s="294" customFormat="1" ht="12.75" customHeight="1" x14ac:dyDescent="0.2">
      <c r="A23" s="304"/>
      <c r="B23" s="225"/>
      <c r="C23" s="156"/>
      <c r="D23" s="156"/>
      <c r="E23" s="156"/>
      <c r="F23" s="156"/>
      <c r="G23" s="303"/>
    </row>
    <row r="24" spans="1:7" s="306" customFormat="1" ht="12.75" customHeight="1" x14ac:dyDescent="0.2">
      <c r="A24" s="305"/>
      <c r="B24" s="305"/>
      <c r="C24" s="156"/>
      <c r="D24" s="294"/>
      <c r="E24" s="294"/>
      <c r="F24" s="156"/>
    </row>
    <row r="25" spans="1:7" s="306" customFormat="1" ht="12.75" customHeight="1" x14ac:dyDescent="0.2">
      <c r="A25" s="302"/>
      <c r="B25" s="307"/>
      <c r="C25" s="162"/>
      <c r="F25" s="156"/>
    </row>
    <row r="26" spans="1:7" s="306" customFormat="1" ht="12.75" customHeight="1" x14ac:dyDescent="0.2">
      <c r="A26" s="302"/>
      <c r="B26" s="307"/>
      <c r="F26" s="156"/>
    </row>
    <row r="27" spans="1:7" s="306" customFormat="1" ht="12.75" customHeight="1" x14ac:dyDescent="0.2">
      <c r="A27" s="302"/>
      <c r="B27" s="308"/>
      <c r="C27" s="156"/>
      <c r="F27" s="156"/>
    </row>
    <row r="28" spans="1:7" s="310" customFormat="1" ht="12.75" customHeight="1" x14ac:dyDescent="0.2">
      <c r="A28" s="309"/>
      <c r="B28" s="307"/>
      <c r="C28" s="156"/>
      <c r="D28" s="294"/>
      <c r="E28" s="294"/>
      <c r="F28" s="156"/>
    </row>
    <row r="29" spans="1:7" s="310" customFormat="1" ht="12.75" customHeight="1" x14ac:dyDescent="0.2">
      <c r="A29" s="302"/>
      <c r="B29" s="307"/>
      <c r="C29" s="156"/>
      <c r="D29" s="306"/>
      <c r="E29" s="306"/>
      <c r="F29" s="156"/>
    </row>
    <row r="30" spans="1:7" ht="12.75" customHeight="1" x14ac:dyDescent="0.3">
      <c r="A30" s="302"/>
      <c r="B30" s="225"/>
      <c r="C30" s="156"/>
      <c r="D30" s="153"/>
      <c r="E30" s="153"/>
      <c r="F30" s="153"/>
    </row>
    <row r="31" spans="1:7" s="294" customFormat="1" ht="12.75" customHeight="1" x14ac:dyDescent="0.2">
      <c r="A31" s="311"/>
      <c r="B31" s="311"/>
      <c r="C31" s="156"/>
      <c r="D31" s="153"/>
      <c r="E31" s="153"/>
      <c r="F31" s="153"/>
      <c r="G31" s="303"/>
    </row>
    <row r="32" spans="1:7" s="294" customFormat="1" ht="12.75" customHeight="1" x14ac:dyDescent="0.2">
      <c r="A32" s="302"/>
      <c r="B32" s="225"/>
      <c r="C32" s="156"/>
      <c r="D32" s="156"/>
      <c r="E32" s="156"/>
      <c r="F32" s="156"/>
      <c r="G32" s="303"/>
    </row>
    <row r="33" spans="1:7" s="294" customFormat="1" ht="12.75" customHeight="1" x14ac:dyDescent="0.2">
      <c r="A33" s="309"/>
      <c r="B33" s="225"/>
      <c r="C33" s="156"/>
      <c r="D33" s="156"/>
      <c r="E33" s="156"/>
      <c r="F33" s="156"/>
      <c r="G33" s="303"/>
    </row>
    <row r="34" spans="1:7" s="294" customFormat="1" ht="15.75" customHeight="1" thickBot="1" x14ac:dyDescent="0.25">
      <c r="A34" s="312"/>
      <c r="B34" s="306"/>
      <c r="C34" s="306"/>
      <c r="D34" s="306"/>
      <c r="E34" s="306"/>
      <c r="F34" s="313">
        <f>SUM(F18:F33)</f>
        <v>4500</v>
      </c>
      <c r="G34" s="303"/>
    </row>
    <row r="35" spans="1:7" s="294" customFormat="1" ht="12.75" customHeight="1" thickTop="1" x14ac:dyDescent="0.2">
      <c r="A35" s="312"/>
      <c r="B35" s="306"/>
      <c r="C35" s="306"/>
      <c r="D35" s="306"/>
      <c r="E35" s="306"/>
      <c r="F35" s="306"/>
      <c r="G35" s="303"/>
    </row>
    <row r="36" spans="1:7" ht="20.100000000000001" customHeight="1" x14ac:dyDescent="0.3">
      <c r="A36" s="171" t="s">
        <v>122</v>
      </c>
      <c r="B36" s="213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Thousand Five Hundred and NO/100 -----------</v>
      </c>
      <c r="C36" s="314"/>
      <c r="D36" s="314"/>
      <c r="E36" s="314"/>
      <c r="F36" s="314"/>
    </row>
    <row r="37" spans="1:7" ht="12.75" customHeight="1" x14ac:dyDescent="0.3">
      <c r="A37" s="315"/>
    </row>
    <row r="38" spans="1:7" ht="27" customHeight="1" x14ac:dyDescent="0.3">
      <c r="A38" s="153" t="s">
        <v>10</v>
      </c>
      <c r="B38" s="153"/>
      <c r="C38" s="153"/>
      <c r="D38" s="242" t="s">
        <v>3975</v>
      </c>
      <c r="E38" s="243"/>
      <c r="F38" s="244"/>
    </row>
    <row r="39" spans="1:7" ht="12.75" customHeight="1" x14ac:dyDescent="0.3">
      <c r="A39" s="153"/>
      <c r="B39" s="153"/>
      <c r="C39" s="153"/>
      <c r="D39" s="153"/>
      <c r="E39" s="153"/>
      <c r="F39" s="153"/>
    </row>
    <row r="40" spans="1:7" ht="12.75" customHeight="1" x14ac:dyDescent="0.3">
      <c r="A40" s="153"/>
      <c r="B40" s="153"/>
      <c r="C40" s="153"/>
      <c r="D40" s="153"/>
      <c r="E40" s="153"/>
      <c r="F40" s="153"/>
    </row>
    <row r="41" spans="1:7" x14ac:dyDescent="0.3">
      <c r="A41" s="316"/>
      <c r="B41" s="153"/>
      <c r="C41" s="153"/>
      <c r="D41" s="258"/>
      <c r="E41" s="258"/>
      <c r="F41" s="258"/>
    </row>
    <row r="42" spans="1:7" x14ac:dyDescent="0.3">
      <c r="A42" s="317"/>
      <c r="B42" s="174"/>
      <c r="C42" s="153"/>
      <c r="D42" s="259"/>
      <c r="E42" s="260"/>
      <c r="F42" s="260"/>
    </row>
    <row r="43" spans="1:7" ht="12.75" customHeight="1" x14ac:dyDescent="0.3">
      <c r="A43" s="316"/>
      <c r="B43" s="316"/>
      <c r="C43" s="153"/>
      <c r="D43" s="153"/>
      <c r="E43" s="153"/>
      <c r="F43" s="176"/>
    </row>
    <row r="44" spans="1:7" ht="12.75" customHeight="1" x14ac:dyDescent="0.3">
      <c r="A44" s="316"/>
      <c r="B44" s="316"/>
      <c r="C44" s="153"/>
      <c r="D44" s="153"/>
      <c r="E44" s="153"/>
      <c r="F44" s="176"/>
    </row>
    <row r="45" spans="1:7" ht="12.75" customHeight="1" x14ac:dyDescent="0.3">
      <c r="A45" s="175" t="s">
        <v>8</v>
      </c>
      <c r="B45" s="153"/>
      <c r="C45" s="153"/>
      <c r="D45" s="153"/>
      <c r="E45" s="153"/>
      <c r="F45" s="153"/>
    </row>
    <row r="46" spans="1:7" ht="12.75" customHeight="1" x14ac:dyDescent="0.3">
      <c r="A46" s="316"/>
      <c r="B46" s="153"/>
      <c r="C46" s="153"/>
      <c r="D46" s="175" t="s">
        <v>7</v>
      </c>
      <c r="E46" s="153"/>
      <c r="F46" s="153"/>
    </row>
    <row r="47" spans="1:7" ht="12.75" customHeight="1" x14ac:dyDescent="0.3">
      <c r="A47" s="175"/>
      <c r="B47" s="153"/>
      <c r="C47" s="153"/>
      <c r="D47" s="153"/>
      <c r="E47" s="153"/>
      <c r="F47" s="153"/>
    </row>
    <row r="48" spans="1:7" ht="12.75" customHeight="1" x14ac:dyDescent="0.3">
      <c r="A48" s="175"/>
      <c r="B48" s="153"/>
      <c r="C48" s="153"/>
      <c r="D48" s="153"/>
      <c r="E48" s="153"/>
      <c r="F48" s="153"/>
    </row>
    <row r="49" spans="1:6" s="294" customFormat="1" ht="12.75" customHeight="1" x14ac:dyDescent="0.2">
      <c r="A49" s="175"/>
      <c r="B49" s="153"/>
      <c r="C49" s="153"/>
      <c r="D49" s="153"/>
      <c r="E49" s="156"/>
      <c r="F49" s="156"/>
    </row>
    <row r="50" spans="1:6" ht="12.75" customHeight="1" x14ac:dyDescent="0.3">
      <c r="A50" s="317"/>
      <c r="B50" s="174"/>
      <c r="C50" s="153"/>
      <c r="D50" s="174"/>
      <c r="E50" s="174"/>
      <c r="F50" s="174"/>
    </row>
    <row r="51" spans="1:6" ht="15" customHeight="1" x14ac:dyDescent="0.3">
      <c r="A51" s="175" t="s">
        <v>4066</v>
      </c>
      <c r="B51" s="177"/>
      <c r="C51" s="156"/>
      <c r="D51" s="156" t="s">
        <v>3</v>
      </c>
      <c r="E51" s="153"/>
      <c r="F51" s="153"/>
    </row>
    <row r="52" spans="1:6" ht="12.75" customHeight="1" x14ac:dyDescent="0.3">
      <c r="A52" s="175"/>
      <c r="B52" s="153"/>
      <c r="C52" s="153"/>
      <c r="D52" s="153" t="s">
        <v>2</v>
      </c>
      <c r="E52" s="153"/>
      <c r="F52" s="153"/>
    </row>
    <row r="53" spans="1:6" ht="12.75" customHeight="1" x14ac:dyDescent="0.3">
      <c r="A53" s="153"/>
      <c r="B53" s="153"/>
      <c r="C53" s="153"/>
      <c r="D53" s="153"/>
      <c r="E53" s="153"/>
      <c r="F53" s="153"/>
    </row>
    <row r="54" spans="1:6" ht="12.75" customHeight="1" x14ac:dyDescent="0.3">
      <c r="A54" s="153"/>
      <c r="B54" s="153"/>
      <c r="C54" s="153"/>
      <c r="D54" s="163" t="s">
        <v>1</v>
      </c>
      <c r="E54" s="153"/>
      <c r="F54" s="153"/>
    </row>
    <row r="55" spans="1:6" ht="12.75" customHeight="1" x14ac:dyDescent="0.3">
      <c r="A55" s="153"/>
      <c r="B55" s="153"/>
      <c r="C55" s="153"/>
      <c r="D55" s="163" t="s">
        <v>0</v>
      </c>
      <c r="E55" s="153"/>
      <c r="F55" s="153"/>
    </row>
    <row r="56" spans="1:6" ht="12.75" customHeight="1" x14ac:dyDescent="0.3">
      <c r="A56" s="153"/>
      <c r="B56" s="153"/>
      <c r="C56" s="153"/>
      <c r="D56" s="153"/>
      <c r="E56" s="153"/>
      <c r="F56" s="153"/>
    </row>
    <row r="57" spans="1:6" ht="12.75" customHeight="1" x14ac:dyDescent="0.3">
      <c r="A57" s="153"/>
      <c r="B57" s="153"/>
      <c r="C57" s="153"/>
      <c r="D57" s="153"/>
      <c r="E57" s="153"/>
      <c r="F57" s="153"/>
    </row>
    <row r="58" spans="1:6" x14ac:dyDescent="0.3">
      <c r="A58" s="153"/>
      <c r="B58" s="153"/>
      <c r="C58" s="153"/>
      <c r="D58" s="153"/>
      <c r="E58" s="153"/>
      <c r="F58" s="153"/>
    </row>
    <row r="59" spans="1:6" x14ac:dyDescent="0.3">
      <c r="A59" s="153"/>
      <c r="B59" s="153"/>
      <c r="C59" s="153"/>
      <c r="D59" s="153"/>
      <c r="E59" s="153"/>
      <c r="F59" s="15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Sheet8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213</v>
      </c>
    </row>
    <row r="10" spans="1:6" x14ac:dyDescent="0.2">
      <c r="A10" s="1" t="s">
        <v>212</v>
      </c>
      <c r="D10" s="20" t="s">
        <v>27</v>
      </c>
      <c r="E10" s="20" t="s">
        <v>211</v>
      </c>
    </row>
    <row r="11" spans="1:6" x14ac:dyDescent="0.2">
      <c r="A11" s="1" t="s">
        <v>210</v>
      </c>
      <c r="D11" s="20" t="s">
        <v>24</v>
      </c>
      <c r="E11" s="20" t="s">
        <v>23</v>
      </c>
    </row>
    <row r="12" spans="1:6" x14ac:dyDescent="0.2">
      <c r="A12" s="1" t="s">
        <v>209</v>
      </c>
      <c r="D12" s="20" t="s">
        <v>22</v>
      </c>
      <c r="E12" s="19" t="s">
        <v>208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1:6" x14ac:dyDescent="0.2">
      <c r="C20" s="21"/>
    </row>
    <row r="21" spans="1:6" x14ac:dyDescent="0.2">
      <c r="C21" s="21"/>
    </row>
    <row r="22" spans="1:6" x14ac:dyDescent="0.2">
      <c r="C22" s="12"/>
    </row>
    <row r="23" spans="1:6" x14ac:dyDescent="0.2">
      <c r="A23" s="1" t="s">
        <v>207</v>
      </c>
      <c r="C23" s="1" t="s">
        <v>206</v>
      </c>
      <c r="F23" s="1">
        <v>120</v>
      </c>
    </row>
    <row r="24" spans="1:6" x14ac:dyDescent="0.2">
      <c r="C24" s="1" t="s">
        <v>205</v>
      </c>
    </row>
    <row r="26" spans="1:6" x14ac:dyDescent="0.2">
      <c r="B26" s="8"/>
      <c r="C26" s="21"/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120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204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Sheet63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410</v>
      </c>
    </row>
    <row r="10" spans="1:6" x14ac:dyDescent="0.2">
      <c r="A10" s="1" t="s">
        <v>409</v>
      </c>
      <c r="D10" s="20" t="s">
        <v>27</v>
      </c>
      <c r="E10" s="20" t="s">
        <v>408</v>
      </c>
    </row>
    <row r="11" spans="1:6" x14ac:dyDescent="0.2">
      <c r="A11" s="1" t="s">
        <v>407</v>
      </c>
      <c r="D11" s="20" t="s">
        <v>24</v>
      </c>
      <c r="E11" s="20" t="s">
        <v>23</v>
      </c>
    </row>
    <row r="12" spans="1:6" x14ac:dyDescent="0.2">
      <c r="A12" s="1" t="s">
        <v>406</v>
      </c>
      <c r="D12" s="20" t="s">
        <v>22</v>
      </c>
      <c r="E12" s="20" t="s">
        <v>405</v>
      </c>
    </row>
    <row r="13" spans="1:6" x14ac:dyDescent="0.2">
      <c r="A13" s="1" t="s">
        <v>404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0" spans="1:6" x14ac:dyDescent="0.2">
      <c r="C20" s="1" t="s">
        <v>403</v>
      </c>
    </row>
    <row r="21" spans="1:6" x14ac:dyDescent="0.2">
      <c r="C21" s="1" t="s">
        <v>402</v>
      </c>
    </row>
    <row r="24" spans="1:6" x14ac:dyDescent="0.2">
      <c r="A24" s="1" t="s">
        <v>401</v>
      </c>
      <c r="C24" s="1" t="s">
        <v>400</v>
      </c>
    </row>
    <row r="26" spans="1:6" x14ac:dyDescent="0.2">
      <c r="C26" s="1" t="s">
        <v>399</v>
      </c>
      <c r="F26" s="1">
        <v>248</v>
      </c>
    </row>
    <row r="27" spans="1:6" x14ac:dyDescent="0.2">
      <c r="C27" s="8" t="s">
        <v>398</v>
      </c>
      <c r="F27" s="1">
        <v>248</v>
      </c>
    </row>
    <row r="32" spans="1:6" ht="13.5" thickBot="1" x14ac:dyDescent="0.25">
      <c r="F32" s="11">
        <f>SUM(F19:F31)</f>
        <v>496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397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Sheet174">
    <pageSetUpPr fitToPage="1"/>
  </sheetPr>
  <dimension ref="A1:F49"/>
  <sheetViews>
    <sheetView topLeftCell="A3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2065</v>
      </c>
      <c r="D9" s="92" t="s">
        <v>1317</v>
      </c>
      <c r="E9" s="91" t="s">
        <v>2063</v>
      </c>
    </row>
    <row r="10" spans="1:6" x14ac:dyDescent="0.2">
      <c r="A10" s="91" t="s">
        <v>2066</v>
      </c>
      <c r="D10" s="92" t="s">
        <v>1329</v>
      </c>
      <c r="E10" s="92" t="s">
        <v>2054</v>
      </c>
    </row>
    <row r="11" spans="1:6" x14ac:dyDescent="0.2">
      <c r="A11" s="91" t="s">
        <v>1611</v>
      </c>
      <c r="D11" s="92" t="s">
        <v>1330</v>
      </c>
      <c r="E11" s="92" t="s">
        <v>1220</v>
      </c>
    </row>
    <row r="12" spans="1:6" x14ac:dyDescent="0.2">
      <c r="D12" s="92" t="s">
        <v>1331</v>
      </c>
      <c r="E12" s="92" t="s">
        <v>2064</v>
      </c>
    </row>
    <row r="13" spans="1:6" x14ac:dyDescent="0.2">
      <c r="A13" s="91" t="s">
        <v>2067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146" t="s">
        <v>2061</v>
      </c>
    </row>
    <row r="19" spans="1:6" x14ac:dyDescent="0.2">
      <c r="A19" s="106"/>
      <c r="C19" s="2" t="s">
        <v>2062</v>
      </c>
    </row>
    <row r="20" spans="1:6" x14ac:dyDescent="0.2">
      <c r="A20" s="93"/>
      <c r="B20" s="94"/>
    </row>
    <row r="21" spans="1:6" x14ac:dyDescent="0.2">
      <c r="A21" s="137" t="s">
        <v>2056</v>
      </c>
      <c r="B21" s="94" t="s">
        <v>11</v>
      </c>
      <c r="C21" s="91" t="s">
        <v>2068</v>
      </c>
    </row>
    <row r="22" spans="1:6" x14ac:dyDescent="0.2">
      <c r="A22" s="93"/>
      <c r="B22" s="94"/>
      <c r="C22" s="91" t="s">
        <v>2069</v>
      </c>
      <c r="F22" s="91">
        <v>2700</v>
      </c>
    </row>
    <row r="23" spans="1:6" x14ac:dyDescent="0.2">
      <c r="A23" s="106"/>
      <c r="C23" s="91" t="s">
        <v>2070</v>
      </c>
      <c r="F23" s="110">
        <f>15*12</f>
        <v>180</v>
      </c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2880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2071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3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Sheet333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3268</v>
      </c>
    </row>
    <row r="10" spans="1:6" x14ac:dyDescent="0.2">
      <c r="A10" s="91" t="s">
        <v>3270</v>
      </c>
      <c r="D10" s="92" t="s">
        <v>1444</v>
      </c>
      <c r="E10" s="98" t="s">
        <v>3254</v>
      </c>
    </row>
    <row r="11" spans="1:6" x14ac:dyDescent="0.2">
      <c r="A11" s="91" t="s">
        <v>3271</v>
      </c>
      <c r="D11" s="92" t="s">
        <v>1431</v>
      </c>
      <c r="E11" s="92" t="s">
        <v>1220</v>
      </c>
    </row>
    <row r="12" spans="1:6" x14ac:dyDescent="0.2">
      <c r="A12" s="91" t="s">
        <v>3272</v>
      </c>
      <c r="D12" s="92" t="s">
        <v>1268</v>
      </c>
      <c r="E12" s="94" t="s">
        <v>3269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C18" s="2" t="s">
        <v>3267</v>
      </c>
    </row>
    <row r="19" spans="1:6" x14ac:dyDescent="0.2">
      <c r="A19" s="109"/>
      <c r="C19" s="2"/>
    </row>
    <row r="20" spans="1:6" x14ac:dyDescent="0.2">
      <c r="A20" s="111" t="s">
        <v>3266</v>
      </c>
      <c r="B20" s="91" t="s">
        <v>3273</v>
      </c>
      <c r="C20" s="91" t="s">
        <v>3274</v>
      </c>
      <c r="F20" s="110">
        <v>900</v>
      </c>
    </row>
    <row r="22" spans="1:6" x14ac:dyDescent="0.2">
      <c r="F22" s="110"/>
    </row>
    <row r="23" spans="1:6" x14ac:dyDescent="0.2">
      <c r="A23" s="108"/>
      <c r="C23" s="2"/>
      <c r="F23" s="110"/>
    </row>
    <row r="24" spans="1:6" x14ac:dyDescent="0.2">
      <c r="A24" s="108"/>
      <c r="B24" s="94"/>
      <c r="F24" s="110"/>
    </row>
    <row r="25" spans="1:6" x14ac:dyDescent="0.2">
      <c r="A25" s="111"/>
      <c r="B25" s="94"/>
      <c r="F25" s="110"/>
    </row>
    <row r="26" spans="1:6" x14ac:dyDescent="0.2">
      <c r="A26" s="108"/>
      <c r="B26" s="94"/>
      <c r="F26" s="110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900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2984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Sheet33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23.7109375" style="91" customWidth="1"/>
    <col min="4" max="4" width="16.42578125" style="91" customWidth="1"/>
    <col min="5" max="5" width="15.42578125" style="91" customWidth="1"/>
    <col min="6" max="6" width="13.28515625" style="91" customWidth="1"/>
    <col min="7" max="16384" width="9.140625" style="91"/>
  </cols>
  <sheetData>
    <row r="1" spans="1:5" ht="15" x14ac:dyDescent="0.25">
      <c r="A1" s="521" t="s">
        <v>34</v>
      </c>
      <c r="B1" s="521"/>
      <c r="C1" s="521"/>
      <c r="D1" s="521"/>
      <c r="E1" s="521"/>
    </row>
    <row r="2" spans="1:5" x14ac:dyDescent="0.2">
      <c r="A2" s="522" t="s">
        <v>33</v>
      </c>
      <c r="B2" s="522"/>
      <c r="C2" s="522"/>
      <c r="D2" s="522"/>
      <c r="E2" s="522"/>
    </row>
    <row r="3" spans="1:5" x14ac:dyDescent="0.2">
      <c r="A3" s="522" t="s">
        <v>1829</v>
      </c>
      <c r="B3" s="522"/>
      <c r="C3" s="522"/>
      <c r="D3" s="522"/>
      <c r="E3" s="522"/>
    </row>
    <row r="4" spans="1:5" x14ac:dyDescent="0.2">
      <c r="A4" s="522" t="s">
        <v>1828</v>
      </c>
      <c r="B4" s="522"/>
      <c r="C4" s="522"/>
      <c r="D4" s="522"/>
      <c r="E4" s="522"/>
    </row>
    <row r="8" spans="1:5" x14ac:dyDescent="0.2">
      <c r="A8" s="91" t="s">
        <v>32</v>
      </c>
      <c r="D8" s="22" t="s">
        <v>31</v>
      </c>
    </row>
    <row r="9" spans="1:5" x14ac:dyDescent="0.2">
      <c r="D9" s="92" t="s">
        <v>1393</v>
      </c>
      <c r="E9" s="91" t="s">
        <v>3260</v>
      </c>
    </row>
    <row r="10" spans="1:5" x14ac:dyDescent="0.2">
      <c r="A10" s="91" t="s">
        <v>3262</v>
      </c>
      <c r="D10" s="92" t="s">
        <v>1356</v>
      </c>
      <c r="E10" s="98" t="s">
        <v>3254</v>
      </c>
    </row>
    <row r="11" spans="1:5" x14ac:dyDescent="0.2">
      <c r="A11" s="91" t="s">
        <v>3263</v>
      </c>
      <c r="D11" s="92" t="s">
        <v>1364</v>
      </c>
      <c r="E11" s="92" t="s">
        <v>1220</v>
      </c>
    </row>
    <row r="12" spans="1:5" x14ac:dyDescent="0.2">
      <c r="D12" s="92" t="s">
        <v>1394</v>
      </c>
      <c r="E12" s="94" t="s">
        <v>3261</v>
      </c>
    </row>
    <row r="13" spans="1:5" x14ac:dyDescent="0.2">
      <c r="D13" s="92"/>
    </row>
    <row r="16" spans="1:5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</row>
    <row r="18" spans="1:5" x14ac:dyDescent="0.2">
      <c r="A18" s="93"/>
      <c r="B18" s="93"/>
      <c r="C18" s="2" t="s">
        <v>3265</v>
      </c>
    </row>
    <row r="19" spans="1:5" x14ac:dyDescent="0.2">
      <c r="A19" s="94"/>
    </row>
    <row r="20" spans="1:5" x14ac:dyDescent="0.2">
      <c r="A20" s="93"/>
      <c r="B20" s="99"/>
      <c r="C20" s="91" t="s">
        <v>3264</v>
      </c>
      <c r="E20" s="91">
        <v>500</v>
      </c>
    </row>
    <row r="21" spans="1:5" x14ac:dyDescent="0.2">
      <c r="A21" s="92"/>
      <c r="B21" s="93"/>
    </row>
    <row r="22" spans="1:5" x14ac:dyDescent="0.2">
      <c r="B22" s="94"/>
    </row>
    <row r="23" spans="1:5" x14ac:dyDescent="0.2">
      <c r="A23" s="93"/>
      <c r="B23" s="99"/>
    </row>
    <row r="24" spans="1:5" x14ac:dyDescent="0.2">
      <c r="A24" s="93"/>
      <c r="B24" s="93"/>
    </row>
    <row r="26" spans="1:5" x14ac:dyDescent="0.2">
      <c r="B26" s="94"/>
    </row>
    <row r="27" spans="1:5" x14ac:dyDescent="0.2">
      <c r="B27" s="94"/>
    </row>
    <row r="28" spans="1:5" x14ac:dyDescent="0.2">
      <c r="B28" s="94"/>
    </row>
    <row r="29" spans="1:5" x14ac:dyDescent="0.2">
      <c r="B29" s="94"/>
      <c r="C29" s="2"/>
    </row>
    <row r="30" spans="1:5" x14ac:dyDescent="0.2">
      <c r="B30" s="94"/>
    </row>
    <row r="31" spans="1:5" x14ac:dyDescent="0.2">
      <c r="B31" s="94"/>
    </row>
    <row r="32" spans="1:5" ht="13.5" thickBot="1" x14ac:dyDescent="0.25">
      <c r="B32" s="94"/>
      <c r="E32" s="107">
        <f>SUM(E18:E31)</f>
        <v>500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1465</v>
      </c>
      <c r="B35" s="185" t="s">
        <v>1437</v>
      </c>
      <c r="C35" s="97"/>
      <c r="D35" s="97"/>
      <c r="E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E43" s="102"/>
    </row>
    <row r="47" spans="1:6" x14ac:dyDescent="0.2">
      <c r="A47" s="101" t="s">
        <v>3972</v>
      </c>
      <c r="B47" s="101"/>
      <c r="D47" s="91" t="s">
        <v>5</v>
      </c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Sheet215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6545</v>
      </c>
      <c r="G9" s="61"/>
    </row>
    <row r="10" spans="1:7" x14ac:dyDescent="0.2">
      <c r="A10" s="91" t="s">
        <v>2497</v>
      </c>
      <c r="D10" s="92" t="s">
        <v>1335</v>
      </c>
      <c r="E10" s="92" t="s">
        <v>6547</v>
      </c>
      <c r="G10" s="113"/>
    </row>
    <row r="11" spans="1:7" x14ac:dyDescent="0.2">
      <c r="A11" s="91" t="s">
        <v>2498</v>
      </c>
      <c r="D11" s="92" t="s">
        <v>1333</v>
      </c>
      <c r="E11" s="92" t="s">
        <v>1220</v>
      </c>
      <c r="G11" s="113"/>
    </row>
    <row r="12" spans="1:7" x14ac:dyDescent="0.2">
      <c r="A12" s="91" t="s">
        <v>2200</v>
      </c>
      <c r="D12" s="92" t="s">
        <v>1331</v>
      </c>
      <c r="E12" s="92" t="s">
        <v>6546</v>
      </c>
      <c r="G12" s="113"/>
    </row>
    <row r="13" spans="1:7" x14ac:dyDescent="0.2">
      <c r="A13" s="91" t="s">
        <v>2201</v>
      </c>
    </row>
    <row r="14" spans="1:7" x14ac:dyDescent="0.2">
      <c r="A14" s="91" t="s">
        <v>2499</v>
      </c>
    </row>
    <row r="15" spans="1:7" x14ac:dyDescent="0.2">
      <c r="A15" s="91" t="s">
        <v>2500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6548</v>
      </c>
    </row>
    <row r="19" spans="1:6" x14ac:dyDescent="0.2">
      <c r="A19" s="93"/>
      <c r="B19" s="111"/>
      <c r="C19" s="2"/>
    </row>
    <row r="20" spans="1:6" x14ac:dyDescent="0.2">
      <c r="A20" s="93" t="s">
        <v>6535</v>
      </c>
      <c r="B20" s="93" t="s">
        <v>6549</v>
      </c>
      <c r="C20" s="91" t="s">
        <v>6550</v>
      </c>
      <c r="F20" s="91">
        <v>3300</v>
      </c>
    </row>
    <row r="21" spans="1:6" x14ac:dyDescent="0.2">
      <c r="A21" s="93"/>
      <c r="B21" s="111"/>
      <c r="C21" s="91" t="s">
        <v>2147</v>
      </c>
      <c r="F21" s="91">
        <f>F20*6%</f>
        <v>198</v>
      </c>
    </row>
    <row r="22" spans="1:6" x14ac:dyDescent="0.2">
      <c r="A22" s="93"/>
      <c r="B22" s="111"/>
    </row>
    <row r="24" spans="1:6" x14ac:dyDescent="0.2">
      <c r="C24" s="2"/>
    </row>
    <row r="26" spans="1:6" x14ac:dyDescent="0.2">
      <c r="A26" s="93"/>
      <c r="B26" s="109"/>
      <c r="F26" s="151"/>
    </row>
    <row r="27" spans="1:6" x14ac:dyDescent="0.2">
      <c r="A27" s="93"/>
      <c r="B27" s="99"/>
    </row>
    <row r="28" spans="1:6" x14ac:dyDescent="0.2">
      <c r="A28" s="111"/>
      <c r="B28" s="93"/>
    </row>
    <row r="29" spans="1:6" x14ac:dyDescent="0.2">
      <c r="A29" s="111"/>
      <c r="B29" s="99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95">
        <f>SUM(F18:F33)</f>
        <v>3498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Thousand Four Hundred Ninety-Eight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4047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Sheet216">
    <pageSetUpPr fitToPage="1"/>
  </sheetPr>
  <dimension ref="A1:F51"/>
  <sheetViews>
    <sheetView workbookViewId="0">
      <selection activeCell="C17" sqref="C17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2387</v>
      </c>
      <c r="D9" s="92" t="s">
        <v>1317</v>
      </c>
      <c r="E9" s="155" t="s">
        <v>7246</v>
      </c>
    </row>
    <row r="10" spans="1:6" x14ac:dyDescent="0.2">
      <c r="A10" s="91" t="s">
        <v>2363</v>
      </c>
      <c r="D10" s="92" t="s">
        <v>1329</v>
      </c>
      <c r="E10" s="155" t="s">
        <v>7248</v>
      </c>
    </row>
    <row r="11" spans="1:6" x14ac:dyDescent="0.2">
      <c r="A11" s="91" t="s">
        <v>2364</v>
      </c>
      <c r="D11" s="92" t="s">
        <v>1330</v>
      </c>
      <c r="E11" s="155" t="s">
        <v>1220</v>
      </c>
    </row>
    <row r="12" spans="1:6" x14ac:dyDescent="0.2">
      <c r="A12" s="91" t="s">
        <v>2365</v>
      </c>
      <c r="D12" s="92" t="s">
        <v>1331</v>
      </c>
      <c r="E12" s="91" t="s">
        <v>7247</v>
      </c>
    </row>
    <row r="13" spans="1:6" x14ac:dyDescent="0.2">
      <c r="A13" s="91" t="s">
        <v>2109</v>
      </c>
    </row>
    <row r="14" spans="1:6" x14ac:dyDescent="0.2">
      <c r="A14" s="91" t="s">
        <v>2366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2369</v>
      </c>
    </row>
    <row r="19" spans="1:6" x14ac:dyDescent="0.2">
      <c r="A19" s="106"/>
      <c r="C19" s="91" t="s">
        <v>2367</v>
      </c>
    </row>
    <row r="20" spans="1:6" x14ac:dyDescent="0.2">
      <c r="A20" s="93"/>
      <c r="B20" s="93"/>
    </row>
    <row r="21" spans="1:6" x14ac:dyDescent="0.2">
      <c r="A21" s="93" t="s">
        <v>11</v>
      </c>
      <c r="C21" s="91" t="s">
        <v>2368</v>
      </c>
      <c r="F21" s="91">
        <v>73.3</v>
      </c>
    </row>
    <row r="22" spans="1:6" x14ac:dyDescent="0.2">
      <c r="A22" s="93"/>
    </row>
    <row r="23" spans="1:6" x14ac:dyDescent="0.2">
      <c r="A23" s="93"/>
    </row>
    <row r="24" spans="1:6" x14ac:dyDescent="0.2">
      <c r="A24" s="106"/>
    </row>
    <row r="25" spans="1:6" x14ac:dyDescent="0.2">
      <c r="A25" s="106"/>
    </row>
    <row r="27" spans="1:6" x14ac:dyDescent="0.2">
      <c r="A27" s="93"/>
      <c r="B27" s="93"/>
    </row>
    <row r="28" spans="1:6" x14ac:dyDescent="0.2">
      <c r="A28" s="1"/>
      <c r="B28" s="1"/>
    </row>
    <row r="29" spans="1:6" x14ac:dyDescent="0.2">
      <c r="A29" s="1"/>
      <c r="B29" s="1"/>
    </row>
    <row r="30" spans="1:6" x14ac:dyDescent="0.2">
      <c r="A30" s="1"/>
      <c r="B30" s="1"/>
      <c r="C30" s="1"/>
      <c r="D30" s="1"/>
      <c r="E30" s="1"/>
      <c r="F30" s="1"/>
    </row>
    <row r="31" spans="1:6" ht="13.5" thickBot="1" x14ac:dyDescent="0.25">
      <c r="A31" s="106"/>
      <c r="F31" s="107">
        <f>SUM(F19:F30)</f>
        <v>73.3</v>
      </c>
    </row>
    <row r="32" spans="1:6" ht="13.5" thickTop="1" x14ac:dyDescent="0.2">
      <c r="A32" s="106"/>
    </row>
    <row r="33" spans="1:6" x14ac:dyDescent="0.2">
      <c r="A33" s="106"/>
    </row>
    <row r="34" spans="1:6" ht="20.100000000000001" customHeight="1" x14ac:dyDescent="0.2">
      <c r="A34" s="96" t="s">
        <v>1248</v>
      </c>
      <c r="B34" s="96" t="s">
        <v>2370</v>
      </c>
      <c r="C34" s="97"/>
      <c r="D34" s="97"/>
      <c r="E34" s="97"/>
      <c r="F34" s="97"/>
    </row>
    <row r="35" spans="1:6" x14ac:dyDescent="0.2">
      <c r="A35" s="94"/>
    </row>
    <row r="36" spans="1:6" x14ac:dyDescent="0.2">
      <c r="A36" s="91" t="s">
        <v>10</v>
      </c>
    </row>
    <row r="38" spans="1:6" ht="25.5" x14ac:dyDescent="0.2">
      <c r="D38" s="218" t="s">
        <v>3975</v>
      </c>
      <c r="E38" s="219"/>
      <c r="F38" s="220"/>
    </row>
    <row r="39" spans="1:6" x14ac:dyDescent="0.2">
      <c r="A39" s="91" t="s">
        <v>120</v>
      </c>
      <c r="C39" s="99"/>
    </row>
    <row r="40" spans="1:6" x14ac:dyDescent="0.2">
      <c r="C40" s="99"/>
    </row>
    <row r="41" spans="1:6" x14ac:dyDescent="0.2">
      <c r="A41" s="101"/>
      <c r="B41" s="101"/>
      <c r="D41" s="227"/>
      <c r="E41" s="227"/>
      <c r="F41" s="227"/>
    </row>
    <row r="42" spans="1:6" x14ac:dyDescent="0.2">
      <c r="A42" s="91" t="s">
        <v>8</v>
      </c>
      <c r="D42" s="228"/>
      <c r="E42" s="229"/>
      <c r="F42" s="229"/>
    </row>
    <row r="43" spans="1:6" x14ac:dyDescent="0.2">
      <c r="A43" s="1"/>
    </row>
    <row r="46" spans="1:6" x14ac:dyDescent="0.2">
      <c r="A46" s="101" t="s">
        <v>120</v>
      </c>
      <c r="B46" s="101"/>
      <c r="D46" s="101"/>
      <c r="E46" s="101"/>
      <c r="F46" s="101"/>
    </row>
    <row r="47" spans="1:6" s="3" customFormat="1" ht="17.100000000000001" customHeight="1" x14ac:dyDescent="0.2">
      <c r="A47" s="61" t="s">
        <v>35</v>
      </c>
      <c r="B47" s="104"/>
      <c r="C47" s="61"/>
      <c r="D47" s="61" t="s">
        <v>3</v>
      </c>
      <c r="E47" s="61"/>
      <c r="F47" s="61"/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Sheet217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42578125" style="153" customWidth="1"/>
    <col min="3" max="3" width="21" style="153" customWidth="1"/>
    <col min="4" max="4" width="16.42578125" style="153" customWidth="1"/>
    <col min="5" max="5" width="9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A9" s="152"/>
      <c r="D9" s="155" t="s">
        <v>1317</v>
      </c>
      <c r="E9" s="91" t="s">
        <v>3866</v>
      </c>
    </row>
    <row r="10" spans="1:6" x14ac:dyDescent="0.2">
      <c r="A10" s="153" t="s">
        <v>2357</v>
      </c>
      <c r="D10" s="155" t="s">
        <v>1329</v>
      </c>
      <c r="E10" s="92" t="s">
        <v>3865</v>
      </c>
    </row>
    <row r="11" spans="1:6" x14ac:dyDescent="0.2">
      <c r="A11" s="153" t="s">
        <v>2334</v>
      </c>
      <c r="D11" s="155" t="s">
        <v>1330</v>
      </c>
      <c r="E11" s="92" t="s">
        <v>1220</v>
      </c>
    </row>
    <row r="12" spans="1:6" x14ac:dyDescent="0.2">
      <c r="D12" s="155" t="s">
        <v>1331</v>
      </c>
      <c r="E12" s="92" t="s">
        <v>3867</v>
      </c>
    </row>
    <row r="13" spans="1:6" x14ac:dyDescent="0.2">
      <c r="E13" s="91"/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6" x14ac:dyDescent="0.2">
      <c r="A17" s="164"/>
    </row>
    <row r="18" spans="1:6" x14ac:dyDescent="0.2">
      <c r="C18" s="163" t="s">
        <v>3868</v>
      </c>
    </row>
    <row r="19" spans="1:6" x14ac:dyDescent="0.2">
      <c r="A19" s="164"/>
    </row>
    <row r="20" spans="1:6" x14ac:dyDescent="0.2">
      <c r="A20" s="168"/>
      <c r="B20" s="168"/>
      <c r="C20" s="153" t="s">
        <v>3869</v>
      </c>
      <c r="F20" s="153">
        <v>76.3</v>
      </c>
    </row>
    <row r="21" spans="1:6" x14ac:dyDescent="0.2">
      <c r="A21" s="164"/>
    </row>
    <row r="22" spans="1:6" x14ac:dyDescent="0.2">
      <c r="A22" s="164"/>
    </row>
    <row r="23" spans="1:6" x14ac:dyDescent="0.2">
      <c r="A23" s="164"/>
    </row>
    <row r="24" spans="1:6" x14ac:dyDescent="0.2">
      <c r="A24" s="164"/>
    </row>
    <row r="25" spans="1:6" x14ac:dyDescent="0.2">
      <c r="A25" s="164"/>
    </row>
    <row r="26" spans="1:6" x14ac:dyDescent="0.2">
      <c r="A26" s="164"/>
    </row>
    <row r="27" spans="1:6" x14ac:dyDescent="0.2">
      <c r="A27" s="164"/>
    </row>
    <row r="29" spans="1:6" x14ac:dyDescent="0.2">
      <c r="A29" s="168"/>
      <c r="B29" s="168"/>
    </row>
    <row r="30" spans="1:6" x14ac:dyDescent="0.2">
      <c r="A30" s="152"/>
      <c r="B30" s="152"/>
    </row>
    <row r="31" spans="1:6" x14ac:dyDescent="0.2">
      <c r="A31" s="152"/>
      <c r="B31" s="152"/>
    </row>
    <row r="32" spans="1:6" x14ac:dyDescent="0.2">
      <c r="A32" s="152"/>
      <c r="B32" s="152"/>
      <c r="C32" s="152"/>
      <c r="D32" s="152"/>
      <c r="E32" s="152"/>
      <c r="F32" s="152"/>
    </row>
    <row r="33" spans="1:6" x14ac:dyDescent="0.2">
      <c r="A33" s="164"/>
      <c r="F33" s="152"/>
    </row>
    <row r="34" spans="1:6" ht="13.5" thickBot="1" x14ac:dyDescent="0.25">
      <c r="A34" s="164"/>
      <c r="F34" s="170">
        <f>SUM(F19:F32)</f>
        <v>76.3</v>
      </c>
    </row>
    <row r="35" spans="1:6" ht="13.5" thickTop="1" x14ac:dyDescent="0.2">
      <c r="A35" s="164"/>
    </row>
    <row r="36" spans="1:6" ht="20.100000000000001" customHeight="1" x14ac:dyDescent="0.2">
      <c r="A36" s="171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Seventy-Six and 30/100 -----------</v>
      </c>
      <c r="C36" s="172"/>
      <c r="D36" s="218" t="s">
        <v>3975</v>
      </c>
      <c r="E36" s="219"/>
      <c r="F36" s="220"/>
    </row>
    <row r="37" spans="1:6" x14ac:dyDescent="0.2">
      <c r="A37" s="169"/>
    </row>
    <row r="38" spans="1:6" x14ac:dyDescent="0.2">
      <c r="A38" s="169"/>
    </row>
    <row r="39" spans="1:6" x14ac:dyDescent="0.2">
      <c r="A39" s="153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  <c r="B41" s="174"/>
    </row>
    <row r="42" spans="1:6" x14ac:dyDescent="0.2">
      <c r="A42" s="174"/>
    </row>
    <row r="44" spans="1:6" x14ac:dyDescent="0.2">
      <c r="A44" s="153" t="s">
        <v>8</v>
      </c>
      <c r="D44" s="175" t="s">
        <v>7</v>
      </c>
      <c r="F44" s="176"/>
    </row>
    <row r="47" spans="1:6" x14ac:dyDescent="0.2">
      <c r="A47" s="153" t="s">
        <v>3972</v>
      </c>
    </row>
    <row r="48" spans="1:6" x14ac:dyDescent="0.2">
      <c r="A48" s="174" t="s">
        <v>120</v>
      </c>
      <c r="B48" s="174"/>
      <c r="D48" s="174"/>
      <c r="E48" s="174"/>
      <c r="F48" s="174"/>
    </row>
    <row r="49" spans="1:6" s="178" customFormat="1" ht="17.100000000000001" customHeight="1" x14ac:dyDescent="0.2">
      <c r="A49" s="156" t="s">
        <v>4066</v>
      </c>
      <c r="B49" s="177"/>
      <c r="C49" s="156"/>
      <c r="D49" s="156" t="s">
        <v>3</v>
      </c>
      <c r="E49" s="156"/>
      <c r="F49" s="156"/>
    </row>
    <row r="50" spans="1:6" x14ac:dyDescent="0.2">
      <c r="D50" s="153" t="s">
        <v>2</v>
      </c>
    </row>
    <row r="52" spans="1:6" x14ac:dyDescent="0.2">
      <c r="D52" s="163" t="s">
        <v>1</v>
      </c>
    </row>
    <row r="53" spans="1:6" x14ac:dyDescent="0.2">
      <c r="D53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Sheet218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4599</v>
      </c>
      <c r="G9" s="61"/>
    </row>
    <row r="10" spans="1:7" x14ac:dyDescent="0.2">
      <c r="A10" s="91" t="s">
        <v>2326</v>
      </c>
      <c r="D10" s="92" t="s">
        <v>1335</v>
      </c>
      <c r="E10" s="92" t="s">
        <v>4597</v>
      </c>
      <c r="G10" s="113"/>
    </row>
    <row r="11" spans="1:7" x14ac:dyDescent="0.2">
      <c r="A11" s="91" t="s">
        <v>2327</v>
      </c>
      <c r="D11" s="92" t="s">
        <v>1333</v>
      </c>
      <c r="E11" s="92" t="s">
        <v>1220</v>
      </c>
      <c r="G11" s="113"/>
    </row>
    <row r="12" spans="1:7" x14ac:dyDescent="0.2">
      <c r="A12" s="91" t="s">
        <v>1862</v>
      </c>
      <c r="D12" s="92" t="s">
        <v>1331</v>
      </c>
      <c r="E12" s="92" t="s">
        <v>4600</v>
      </c>
      <c r="G12" s="113"/>
    </row>
    <row r="13" spans="1:7" x14ac:dyDescent="0.2">
      <c r="A13" s="91" t="s">
        <v>2328</v>
      </c>
    </row>
    <row r="14" spans="1:7" x14ac:dyDescent="0.2">
      <c r="A14" s="91" t="s">
        <v>2329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146" t="s">
        <v>4601</v>
      </c>
    </row>
    <row r="19" spans="1:6" x14ac:dyDescent="0.2">
      <c r="A19" s="93"/>
      <c r="B19" s="111"/>
    </row>
    <row r="20" spans="1:6" x14ac:dyDescent="0.2">
      <c r="A20" s="93" t="s">
        <v>4602</v>
      </c>
      <c r="B20" s="111" t="s">
        <v>2330</v>
      </c>
      <c r="C20" s="91" t="s">
        <v>2331</v>
      </c>
    </row>
    <row r="21" spans="1:6" x14ac:dyDescent="0.2">
      <c r="A21" s="93"/>
      <c r="B21" s="111"/>
      <c r="C21" s="91" t="s">
        <v>4603</v>
      </c>
      <c r="F21" s="91">
        <v>1500</v>
      </c>
    </row>
    <row r="22" spans="1:6" x14ac:dyDescent="0.2">
      <c r="A22" s="93"/>
      <c r="B22" s="111"/>
    </row>
    <row r="23" spans="1:6" x14ac:dyDescent="0.2">
      <c r="A23" s="93"/>
      <c r="B23" s="111"/>
    </row>
    <row r="24" spans="1:6" x14ac:dyDescent="0.2">
      <c r="A24" s="93"/>
      <c r="B24" s="111"/>
    </row>
    <row r="25" spans="1:6" x14ac:dyDescent="0.2">
      <c r="A25" s="93"/>
      <c r="B25" s="111"/>
      <c r="C25" s="143"/>
    </row>
    <row r="26" spans="1:6" x14ac:dyDescent="0.2">
      <c r="A26" s="111"/>
      <c r="B26" s="93"/>
      <c r="F26" s="151"/>
    </row>
    <row r="27" spans="1:6" x14ac:dyDescent="0.2">
      <c r="A27" s="93"/>
      <c r="B27" s="93"/>
      <c r="C27" s="2"/>
    </row>
    <row r="28" spans="1:6" x14ac:dyDescent="0.2">
      <c r="C28" s="2"/>
    </row>
    <row r="29" spans="1:6" x14ac:dyDescent="0.2">
      <c r="A29" s="111"/>
      <c r="B29" s="93"/>
    </row>
    <row r="30" spans="1:6" x14ac:dyDescent="0.2">
      <c r="A30" s="108"/>
    </row>
    <row r="31" spans="1:6" x14ac:dyDescent="0.2">
      <c r="A31" s="111"/>
      <c r="B31" s="93"/>
      <c r="F31" s="110"/>
    </row>
    <row r="32" spans="1:6" x14ac:dyDescent="0.2">
      <c r="A32" s="93"/>
      <c r="B32" s="93"/>
    </row>
    <row r="35" spans="1:6" ht="13.5" thickBot="1" x14ac:dyDescent="0.25">
      <c r="F35" s="95">
        <f>SUM(F18:F34)</f>
        <v>1500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and NO/100 -----------</v>
      </c>
      <c r="C37" s="97"/>
      <c r="D37" s="97"/>
      <c r="E37" s="97"/>
      <c r="F37" s="9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1" spans="1:6" x14ac:dyDescent="0.2">
      <c r="D41" s="227"/>
      <c r="E41" s="227"/>
      <c r="F41" s="227"/>
    </row>
    <row r="42" spans="1:6" x14ac:dyDescent="0.2">
      <c r="A42" s="91" t="s">
        <v>121</v>
      </c>
      <c r="C42" s="99"/>
      <c r="D42" s="228"/>
      <c r="E42" s="229"/>
      <c r="F42" s="229"/>
    </row>
    <row r="43" spans="1:6" x14ac:dyDescent="0.2">
      <c r="A43" s="23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Sheet176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7038</v>
      </c>
    </row>
    <row r="10" spans="1:6" x14ac:dyDescent="0.2">
      <c r="A10" s="91" t="s">
        <v>2668</v>
      </c>
      <c r="D10" s="92" t="s">
        <v>1444</v>
      </c>
      <c r="E10" s="91" t="s">
        <v>7007</v>
      </c>
    </row>
    <row r="11" spans="1:6" x14ac:dyDescent="0.2">
      <c r="A11" s="91" t="s">
        <v>2129</v>
      </c>
      <c r="D11" s="92" t="s">
        <v>1431</v>
      </c>
      <c r="E11" s="91" t="s">
        <v>1220</v>
      </c>
    </row>
    <row r="12" spans="1:6" x14ac:dyDescent="0.2">
      <c r="A12" s="91" t="s">
        <v>2130</v>
      </c>
      <c r="D12" s="92" t="s">
        <v>1268</v>
      </c>
      <c r="E12" s="91" t="s">
        <v>7039</v>
      </c>
    </row>
    <row r="13" spans="1:6" x14ac:dyDescent="0.2">
      <c r="A13" s="91" t="s">
        <v>2131</v>
      </c>
    </row>
    <row r="16" spans="1:6" s="14" customFormat="1" ht="20.100000000000001" customHeight="1" x14ac:dyDescent="0.2">
      <c r="A16" s="31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7040</v>
      </c>
    </row>
    <row r="19" spans="1:6" x14ac:dyDescent="0.2">
      <c r="A19" s="109"/>
      <c r="C19" s="2"/>
    </row>
    <row r="20" spans="1:6" x14ac:dyDescent="0.2">
      <c r="A20" s="111" t="s">
        <v>7041</v>
      </c>
      <c r="B20" s="94" t="s">
        <v>7042</v>
      </c>
      <c r="C20" s="91" t="s">
        <v>7043</v>
      </c>
      <c r="F20" s="110">
        <v>1600</v>
      </c>
    </row>
    <row r="21" spans="1:6" x14ac:dyDescent="0.2">
      <c r="A21" s="94"/>
      <c r="B21" s="93"/>
      <c r="C21" s="91" t="s">
        <v>7044</v>
      </c>
      <c r="F21" s="91">
        <v>2000</v>
      </c>
    </row>
    <row r="22" spans="1:6" x14ac:dyDescent="0.2">
      <c r="F22" s="110"/>
    </row>
    <row r="23" spans="1:6" x14ac:dyDescent="0.2">
      <c r="A23" s="108"/>
      <c r="F23" s="110"/>
    </row>
    <row r="24" spans="1:6" x14ac:dyDescent="0.2">
      <c r="A24" s="108"/>
      <c r="B24" s="94"/>
      <c r="F24" s="110"/>
    </row>
    <row r="25" spans="1:6" x14ac:dyDescent="0.2">
      <c r="A25" s="111"/>
      <c r="B25" s="94"/>
      <c r="F25" s="110"/>
    </row>
    <row r="26" spans="1:6" x14ac:dyDescent="0.2">
      <c r="A26" s="108"/>
      <c r="B26" s="94"/>
      <c r="F26" s="110"/>
    </row>
    <row r="27" spans="1:6" x14ac:dyDescent="0.2">
      <c r="A27" s="108"/>
    </row>
    <row r="28" spans="1:6" x14ac:dyDescent="0.2">
      <c r="A28" s="108"/>
    </row>
    <row r="31" spans="1:6" x14ac:dyDescent="0.2">
      <c r="C31" s="2"/>
    </row>
    <row r="33" spans="1:6" x14ac:dyDescent="0.2">
      <c r="A33" s="93"/>
      <c r="B33" s="94"/>
    </row>
    <row r="35" spans="1:6" ht="13.5" thickBot="1" x14ac:dyDescent="0.25">
      <c r="F35" s="95">
        <f>SUM(F18:F33)</f>
        <v>3600</v>
      </c>
    </row>
    <row r="36" spans="1:6" ht="13.5" thickTop="1" x14ac:dyDescent="0.2">
      <c r="D36" s="230"/>
      <c r="E36" s="231"/>
      <c r="F36" s="231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Thousand Six Hundred and NO/100 -----------</v>
      </c>
      <c r="C37" s="97"/>
      <c r="D37" s="222"/>
      <c r="E37" s="222"/>
      <c r="F37" s="97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79">
    <pageSetUpPr fitToPage="1"/>
  </sheetPr>
  <dimension ref="A1:F54"/>
  <sheetViews>
    <sheetView topLeftCell="A8" workbookViewId="0">
      <selection activeCell="F34" sqref="F3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5704</v>
      </c>
      <c r="D9" s="92" t="s">
        <v>1317</v>
      </c>
      <c r="E9" s="91" t="s">
        <v>5701</v>
      </c>
    </row>
    <row r="10" spans="1:6" x14ac:dyDescent="0.2">
      <c r="A10" s="91" t="s">
        <v>5705</v>
      </c>
      <c r="D10" s="92" t="s">
        <v>1329</v>
      </c>
      <c r="E10" s="92" t="s">
        <v>5703</v>
      </c>
    </row>
    <row r="11" spans="1:6" x14ac:dyDescent="0.2">
      <c r="A11" s="91" t="s">
        <v>5491</v>
      </c>
      <c r="D11" s="92" t="s">
        <v>1330</v>
      </c>
      <c r="E11" s="92" t="s">
        <v>1220</v>
      </c>
    </row>
    <row r="12" spans="1:6" x14ac:dyDescent="0.2">
      <c r="A12" s="91" t="s">
        <v>5706</v>
      </c>
      <c r="D12" s="92" t="s">
        <v>1377</v>
      </c>
      <c r="E12" s="92" t="s">
        <v>5702</v>
      </c>
    </row>
    <row r="13" spans="1:6" x14ac:dyDescent="0.2">
      <c r="A13" s="91" t="s">
        <v>5707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5708</v>
      </c>
    </row>
    <row r="19" spans="1:6" x14ac:dyDescent="0.2">
      <c r="A19" s="106"/>
      <c r="C19" s="2"/>
    </row>
    <row r="20" spans="1:6" x14ac:dyDescent="0.2">
      <c r="A20" s="93" t="s">
        <v>5661</v>
      </c>
      <c r="B20" s="93" t="s">
        <v>5709</v>
      </c>
      <c r="C20" s="91" t="s">
        <v>5710</v>
      </c>
      <c r="F20" s="91">
        <f>33*5</f>
        <v>165</v>
      </c>
    </row>
    <row r="21" spans="1:6" x14ac:dyDescent="0.2">
      <c r="A21" s="106"/>
      <c r="C21" s="91" t="s">
        <v>5711</v>
      </c>
      <c r="F21" s="91">
        <f>23*14</f>
        <v>322</v>
      </c>
    </row>
    <row r="22" spans="1:6" x14ac:dyDescent="0.2">
      <c r="A22" s="286"/>
      <c r="C22" s="91" t="s">
        <v>5712</v>
      </c>
      <c r="F22" s="91">
        <v>320</v>
      </c>
    </row>
    <row r="23" spans="1:6" x14ac:dyDescent="0.2">
      <c r="A23" s="287"/>
      <c r="C23" s="91" t="s">
        <v>5713</v>
      </c>
      <c r="F23" s="91">
        <v>220</v>
      </c>
    </row>
    <row r="24" spans="1:6" x14ac:dyDescent="0.2">
      <c r="A24" s="287"/>
      <c r="C24" s="91" t="s">
        <v>2147</v>
      </c>
      <c r="F24" s="91">
        <f>SUM(F20+F21+F22+F23)*6%</f>
        <v>61.62</v>
      </c>
    </row>
    <row r="25" spans="1:6" x14ac:dyDescent="0.2">
      <c r="A25" s="286"/>
      <c r="C25" s="94" t="s">
        <v>5714</v>
      </c>
      <c r="F25" s="91">
        <v>-0.02</v>
      </c>
    </row>
    <row r="26" spans="1:6" x14ac:dyDescent="0.2">
      <c r="A26" s="287"/>
    </row>
    <row r="27" spans="1:6" x14ac:dyDescent="0.2">
      <c r="A27" s="106"/>
    </row>
    <row r="28" spans="1:6" x14ac:dyDescent="0.2">
      <c r="A28" s="106"/>
    </row>
    <row r="30" spans="1:6" x14ac:dyDescent="0.2">
      <c r="A30" s="93"/>
      <c r="B30" s="93"/>
      <c r="C30" s="94"/>
    </row>
    <row r="31" spans="1:6" x14ac:dyDescent="0.2">
      <c r="A31" s="1"/>
      <c r="B31" s="1"/>
      <c r="C31" s="94"/>
    </row>
    <row r="32" spans="1:6" x14ac:dyDescent="0.2">
      <c r="A32" s="1"/>
      <c r="B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06"/>
      <c r="F34" s="1"/>
    </row>
    <row r="35" spans="1:6" ht="13.5" thickBot="1" x14ac:dyDescent="0.25">
      <c r="A35" s="106"/>
      <c r="F35" s="107">
        <f>SUM(F19:F33)</f>
        <v>1088.5999999999999</v>
      </c>
    </row>
    <row r="36" spans="1:6" ht="13.5" thickTop="1" x14ac:dyDescent="0.2">
      <c r="A36" s="106"/>
    </row>
    <row r="37" spans="1:6" ht="20.100000000000001" customHeight="1" x14ac:dyDescent="0.2">
      <c r="A37" s="96" t="s">
        <v>1248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Eighty-Eight and 60/100 -----------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Sheet219">
    <pageSetUpPr fitToPage="1"/>
  </sheetPr>
  <dimension ref="A1:I54"/>
  <sheetViews>
    <sheetView topLeftCell="A4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57031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155" t="s">
        <v>8512</v>
      </c>
      <c r="I9" s="61"/>
    </row>
    <row r="10" spans="1:9" x14ac:dyDescent="0.2">
      <c r="A10" s="91" t="s">
        <v>2108</v>
      </c>
      <c r="F10" s="92" t="s">
        <v>1335</v>
      </c>
      <c r="G10" s="155" t="s">
        <v>8514</v>
      </c>
      <c r="I10" s="113"/>
    </row>
    <row r="11" spans="1:9" x14ac:dyDescent="0.2">
      <c r="A11" s="91" t="s">
        <v>2787</v>
      </c>
      <c r="F11" s="92" t="s">
        <v>1333</v>
      </c>
      <c r="G11" s="155" t="s">
        <v>1220</v>
      </c>
      <c r="I11" s="113"/>
    </row>
    <row r="12" spans="1:9" x14ac:dyDescent="0.2">
      <c r="A12" s="91" t="s">
        <v>2109</v>
      </c>
      <c r="F12" s="92" t="s">
        <v>1331</v>
      </c>
      <c r="G12" s="94" t="s">
        <v>8513</v>
      </c>
      <c r="I12" s="113"/>
    </row>
    <row r="13" spans="1:9" x14ac:dyDescent="0.2">
      <c r="A13" s="91" t="s">
        <v>1284</v>
      </c>
      <c r="G13" s="91" t="s">
        <v>8348</v>
      </c>
    </row>
    <row r="14" spans="1:9" x14ac:dyDescent="0.2">
      <c r="A14" s="91" t="s">
        <v>2110</v>
      </c>
    </row>
    <row r="15" spans="1:9" x14ac:dyDescent="0.2">
      <c r="A15" s="91" t="s">
        <v>2111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6950</v>
      </c>
      <c r="E18" s="2"/>
    </row>
    <row r="19" spans="1:8" x14ac:dyDescent="0.2">
      <c r="D19" s="2"/>
      <c r="E19" s="2"/>
    </row>
    <row r="20" spans="1:8" x14ac:dyDescent="0.2">
      <c r="A20" s="93" t="s">
        <v>8515</v>
      </c>
      <c r="B20" s="111" t="s">
        <v>8516</v>
      </c>
      <c r="C20" s="111"/>
      <c r="D20" s="91" t="s">
        <v>8517</v>
      </c>
      <c r="H20" s="91">
        <v>400</v>
      </c>
    </row>
    <row r="21" spans="1:8" x14ac:dyDescent="0.2">
      <c r="D21" s="91" t="s">
        <v>2313</v>
      </c>
      <c r="H21" s="110"/>
    </row>
    <row r="22" spans="1:8" x14ac:dyDescent="0.2">
      <c r="D22" s="91" t="s">
        <v>2316</v>
      </c>
      <c r="H22" s="91">
        <v>40</v>
      </c>
    </row>
    <row r="23" spans="1:8" x14ac:dyDescent="0.2">
      <c r="D23" s="91" t="s">
        <v>6960</v>
      </c>
      <c r="H23" s="91">
        <f>(H20+H22)*6%</f>
        <v>26.4</v>
      </c>
    </row>
    <row r="24" spans="1:8" x14ac:dyDescent="0.2">
      <c r="D24" s="2"/>
      <c r="E24" s="2"/>
    </row>
    <row r="25" spans="1:8" x14ac:dyDescent="0.2">
      <c r="A25" s="93"/>
      <c r="B25" s="111"/>
      <c r="C25" s="111"/>
    </row>
    <row r="26" spans="1:8" x14ac:dyDescent="0.2">
      <c r="H26" s="110"/>
    </row>
    <row r="29" spans="1:8" x14ac:dyDescent="0.2">
      <c r="H29" s="110"/>
    </row>
    <row r="30" spans="1:8" x14ac:dyDescent="0.2">
      <c r="F30" s="1"/>
      <c r="G30" s="1"/>
      <c r="H30" s="110"/>
    </row>
    <row r="31" spans="1:8" x14ac:dyDescent="0.2">
      <c r="A31" s="80"/>
      <c r="B31" s="80"/>
      <c r="C31" s="80"/>
    </row>
    <row r="34" spans="1:8" x14ac:dyDescent="0.2">
      <c r="A34" s="93"/>
      <c r="B34" s="111"/>
      <c r="C34" s="111"/>
    </row>
    <row r="35" spans="1:8" ht="13.5" thickBot="1" x14ac:dyDescent="0.25">
      <c r="H35" s="95">
        <f>SUM(H18:H33)</f>
        <v>466.4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Hundred Sixty-Six and 40/100 -----------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</row>
    <row r="39" spans="1:8" ht="25.5" x14ac:dyDescent="0.2">
      <c r="A39" s="91" t="s">
        <v>10</v>
      </c>
      <c r="F39" s="218" t="s">
        <v>3975</v>
      </c>
      <c r="G39" s="219"/>
      <c r="H39" s="220"/>
    </row>
    <row r="42" spans="1:8" x14ac:dyDescent="0.2">
      <c r="F42" s="227"/>
      <c r="G42" s="227"/>
      <c r="H42" s="227"/>
    </row>
    <row r="43" spans="1:8" x14ac:dyDescent="0.2">
      <c r="A43" s="101"/>
      <c r="B43" s="101"/>
      <c r="C43" s="386"/>
      <c r="F43" s="228"/>
      <c r="G43" s="229"/>
      <c r="H43" s="229"/>
    </row>
    <row r="44" spans="1:8" x14ac:dyDescent="0.2">
      <c r="A44" s="1"/>
      <c r="F44" s="98" t="s">
        <v>7</v>
      </c>
      <c r="H44" s="102"/>
    </row>
    <row r="45" spans="1:8" x14ac:dyDescent="0.2">
      <c r="A45" s="98" t="s">
        <v>8</v>
      </c>
      <c r="D45" s="98" t="s">
        <v>8</v>
      </c>
      <c r="F45" s="98"/>
      <c r="H45" s="102"/>
    </row>
    <row r="49" spans="1:8" x14ac:dyDescent="0.2">
      <c r="A49" s="101" t="s">
        <v>120</v>
      </c>
      <c r="B49" s="101"/>
      <c r="C49" s="386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Sheet500"/>
  <dimension ref="A1:Q53"/>
  <sheetViews>
    <sheetView view="pageBreakPreview" zoomScaleNormal="100" zoomScaleSheetLayoutView="100" workbookViewId="0">
      <selection activeCell="G9" sqref="G9:G1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5703125" style="91" customWidth="1"/>
    <col min="4" max="4" width="19.5703125" style="91" customWidth="1"/>
    <col min="5" max="5" width="1.140625" style="91" customWidth="1"/>
    <col min="6" max="6" width="15" style="91" customWidth="1"/>
    <col min="7" max="7" width="8.7109375" style="91" customWidth="1"/>
    <col min="8" max="8" width="10.5703125" style="91" customWidth="1"/>
    <col min="9" max="16384" width="9.140625" style="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7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7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7" x14ac:dyDescent="0.2">
      <c r="A8" s="91" t="s">
        <v>32</v>
      </c>
      <c r="F8" s="22" t="s">
        <v>31</v>
      </c>
      <c r="K8" s="1" t="s">
        <v>8806</v>
      </c>
      <c r="L8" s="1">
        <v>43896</v>
      </c>
      <c r="M8" s="1" t="s">
        <v>8807</v>
      </c>
    </row>
    <row r="9" spans="1:17" x14ac:dyDescent="0.2">
      <c r="F9" s="92" t="s">
        <v>1334</v>
      </c>
      <c r="G9" s="91" t="s">
        <v>8806</v>
      </c>
      <c r="I9" s="61"/>
    </row>
    <row r="10" spans="1:17" x14ac:dyDescent="0.2">
      <c r="A10" s="91" t="s">
        <v>4823</v>
      </c>
      <c r="F10" s="92" t="s">
        <v>1335</v>
      </c>
      <c r="G10" s="92" t="s">
        <v>8808</v>
      </c>
      <c r="I10" s="113"/>
    </row>
    <row r="11" spans="1:17" x14ac:dyDescent="0.2">
      <c r="A11" s="91" t="s">
        <v>2787</v>
      </c>
      <c r="F11" s="92" t="s">
        <v>1333</v>
      </c>
      <c r="G11" s="92" t="s">
        <v>1220</v>
      </c>
      <c r="I11" s="113"/>
    </row>
    <row r="12" spans="1:17" x14ac:dyDescent="0.2">
      <c r="A12" s="91" t="s">
        <v>2109</v>
      </c>
      <c r="F12" s="92" t="s">
        <v>1331</v>
      </c>
      <c r="G12" s="92" t="s">
        <v>8807</v>
      </c>
      <c r="I12" s="113"/>
    </row>
    <row r="13" spans="1:17" x14ac:dyDescent="0.2">
      <c r="A13" s="91" t="s">
        <v>1284</v>
      </c>
      <c r="G13" s="91" t="s">
        <v>7931</v>
      </c>
    </row>
    <row r="14" spans="1:17" x14ac:dyDescent="0.2">
      <c r="A14" s="91" t="s">
        <v>2110</v>
      </c>
    </row>
    <row r="15" spans="1:17" x14ac:dyDescent="0.2">
      <c r="A15" s="91" t="s">
        <v>2111</v>
      </c>
    </row>
    <row r="16" spans="1:17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  <c r="J16" s="91"/>
      <c r="K16" s="91"/>
      <c r="L16" s="91"/>
      <c r="M16" s="2" t="s">
        <v>8565</v>
      </c>
      <c r="N16" s="2"/>
      <c r="O16" s="91"/>
      <c r="P16" s="91"/>
      <c r="Q16" s="91"/>
    </row>
    <row r="17" spans="1:17" x14ac:dyDescent="0.2">
      <c r="J17" s="91"/>
      <c r="K17" s="91"/>
      <c r="L17" s="91"/>
      <c r="M17" s="91"/>
      <c r="N17" s="91"/>
      <c r="O17" s="91"/>
      <c r="P17" s="91"/>
      <c r="Q17" s="91"/>
    </row>
    <row r="18" spans="1:17" x14ac:dyDescent="0.2">
      <c r="D18" s="2" t="s">
        <v>8809</v>
      </c>
      <c r="E18" s="2"/>
      <c r="I18" s="14"/>
      <c r="J18" s="93" t="s">
        <v>8566</v>
      </c>
      <c r="K18" s="111" t="s">
        <v>8350</v>
      </c>
      <c r="L18" s="111"/>
      <c r="M18" s="91" t="s">
        <v>2312</v>
      </c>
      <c r="N18" s="91"/>
      <c r="O18" s="91"/>
      <c r="P18" s="91"/>
      <c r="Q18" s="91">
        <v>500</v>
      </c>
    </row>
    <row r="19" spans="1:17" x14ac:dyDescent="0.2">
      <c r="J19" s="91"/>
      <c r="K19" s="91"/>
      <c r="L19" s="91"/>
      <c r="M19" s="91" t="s">
        <v>2313</v>
      </c>
      <c r="N19" s="91"/>
      <c r="O19" s="91"/>
      <c r="P19" s="91"/>
      <c r="Q19" s="110"/>
    </row>
    <row r="20" spans="1:17" x14ac:dyDescent="0.2">
      <c r="A20" s="93" t="s">
        <v>8756</v>
      </c>
      <c r="B20" s="111" t="s">
        <v>8810</v>
      </c>
      <c r="C20" s="111"/>
      <c r="D20" s="91" t="s">
        <v>2312</v>
      </c>
      <c r="H20" s="91">
        <v>500</v>
      </c>
      <c r="J20" s="91"/>
      <c r="K20" s="91"/>
      <c r="L20" s="91"/>
      <c r="M20" s="91" t="s">
        <v>4563</v>
      </c>
      <c r="N20" s="91"/>
      <c r="O20" s="91"/>
      <c r="P20" s="91"/>
      <c r="Q20" s="110">
        <v>20</v>
      </c>
    </row>
    <row r="21" spans="1:17" x14ac:dyDescent="0.2">
      <c r="D21" s="91" t="s">
        <v>2313</v>
      </c>
      <c r="H21" s="110"/>
      <c r="J21" s="111"/>
      <c r="K21" s="111"/>
      <c r="L21" s="111"/>
      <c r="M21" s="91" t="s">
        <v>4564</v>
      </c>
      <c r="N21" s="91"/>
      <c r="Q21" s="110">
        <v>30</v>
      </c>
    </row>
    <row r="22" spans="1:17" x14ac:dyDescent="0.2">
      <c r="D22" s="91" t="s">
        <v>4563</v>
      </c>
      <c r="H22" s="110">
        <v>20</v>
      </c>
      <c r="J22" s="80"/>
      <c r="K22" s="80"/>
      <c r="L22" s="80"/>
      <c r="M22" s="91" t="s">
        <v>2316</v>
      </c>
      <c r="N22" s="91"/>
      <c r="O22" s="91"/>
      <c r="P22" s="91"/>
      <c r="Q22" s="91">
        <v>40</v>
      </c>
    </row>
    <row r="23" spans="1:17" x14ac:dyDescent="0.2">
      <c r="A23" s="111"/>
      <c r="B23" s="111"/>
      <c r="C23" s="111"/>
      <c r="D23" s="91" t="s">
        <v>4564</v>
      </c>
      <c r="F23" s="1"/>
      <c r="G23" s="1"/>
      <c r="H23" s="110">
        <v>30</v>
      </c>
      <c r="J23" s="80"/>
      <c r="K23" s="80"/>
      <c r="L23" s="80"/>
      <c r="M23" s="91"/>
      <c r="N23" s="91"/>
      <c r="O23" s="91"/>
      <c r="P23" s="91"/>
      <c r="Q23" s="91"/>
    </row>
    <row r="24" spans="1:17" x14ac:dyDescent="0.2">
      <c r="A24" s="80"/>
      <c r="B24" s="80"/>
      <c r="C24" s="80"/>
      <c r="D24" s="91" t="s">
        <v>2316</v>
      </c>
      <c r="H24" s="91">
        <v>40</v>
      </c>
      <c r="J24" s="91"/>
      <c r="K24" s="91"/>
      <c r="L24" s="91"/>
      <c r="M24" s="91"/>
      <c r="N24" s="91"/>
      <c r="O24" s="91"/>
    </row>
    <row r="25" spans="1:17" x14ac:dyDescent="0.2">
      <c r="A25" s="80"/>
      <c r="B25" s="80"/>
      <c r="C25" s="80"/>
      <c r="J25" s="91"/>
      <c r="K25" s="91"/>
      <c r="L25" s="2" t="s">
        <v>5451</v>
      </c>
      <c r="M25" s="91"/>
      <c r="N25" s="91"/>
      <c r="O25" s="91"/>
    </row>
    <row r="26" spans="1:17" x14ac:dyDescent="0.2">
      <c r="A26" s="93"/>
      <c r="B26" s="111"/>
      <c r="C26" s="111"/>
      <c r="D26" s="91" t="s">
        <v>8811</v>
      </c>
      <c r="H26" s="91">
        <v>-56.4</v>
      </c>
      <c r="J26" s="91"/>
      <c r="K26" s="91"/>
      <c r="L26" s="91"/>
      <c r="M26" s="91"/>
      <c r="N26" s="91"/>
      <c r="O26" s="91"/>
    </row>
    <row r="27" spans="1:17" x14ac:dyDescent="0.2">
      <c r="D27" s="1"/>
      <c r="E27" s="1"/>
      <c r="F27" s="1"/>
      <c r="G27" s="1"/>
      <c r="J27" s="93" t="s">
        <v>5452</v>
      </c>
      <c r="K27" s="111" t="s">
        <v>5453</v>
      </c>
      <c r="L27" s="91" t="s">
        <v>5454</v>
      </c>
      <c r="M27" s="91"/>
      <c r="N27" s="91"/>
      <c r="O27" s="91">
        <v>300</v>
      </c>
    </row>
    <row r="28" spans="1:17" x14ac:dyDescent="0.2">
      <c r="A28" s="93"/>
      <c r="B28" s="111"/>
      <c r="C28" s="111"/>
      <c r="J28" s="91"/>
      <c r="K28" s="91"/>
      <c r="L28" s="91" t="s">
        <v>5455</v>
      </c>
      <c r="M28" s="91"/>
      <c r="N28" s="91"/>
      <c r="O28" s="110"/>
    </row>
    <row r="29" spans="1:17" x14ac:dyDescent="0.2">
      <c r="J29" s="91"/>
      <c r="K29" s="91"/>
      <c r="L29" s="91"/>
      <c r="M29" s="91"/>
      <c r="N29" s="91"/>
      <c r="O29" s="110"/>
    </row>
    <row r="30" spans="1:17" x14ac:dyDescent="0.2">
      <c r="J30" s="111"/>
      <c r="K30" s="111"/>
      <c r="L30" s="91" t="s">
        <v>2313</v>
      </c>
      <c r="M30" s="91"/>
      <c r="O30" s="110"/>
    </row>
    <row r="31" spans="1:17" x14ac:dyDescent="0.2">
      <c r="J31" s="80"/>
      <c r="K31" s="80"/>
      <c r="L31" s="91" t="s">
        <v>4563</v>
      </c>
      <c r="M31" s="91"/>
      <c r="N31" s="91"/>
      <c r="O31" s="91">
        <v>30</v>
      </c>
    </row>
    <row r="32" spans="1:17" x14ac:dyDescent="0.2">
      <c r="J32" s="93"/>
      <c r="K32" s="111"/>
      <c r="L32" s="91" t="s">
        <v>4564</v>
      </c>
      <c r="N32" s="91"/>
      <c r="O32" s="91">
        <v>50</v>
      </c>
    </row>
    <row r="33" spans="1:15" x14ac:dyDescent="0.2">
      <c r="A33" s="93"/>
      <c r="B33" s="111"/>
      <c r="C33" s="111"/>
      <c r="J33" s="91"/>
      <c r="K33" s="91"/>
      <c r="L33" s="91" t="s">
        <v>2316</v>
      </c>
      <c r="M33" s="91"/>
      <c r="N33" s="91"/>
      <c r="O33" s="91">
        <v>30</v>
      </c>
    </row>
    <row r="34" spans="1:15" ht="13.5" thickBot="1" x14ac:dyDescent="0.25">
      <c r="H34" s="95">
        <f>SUM(H18:H33)</f>
        <v>533.6</v>
      </c>
    </row>
    <row r="35" spans="1:15" ht="13.5" thickTop="1" x14ac:dyDescent="0.2"/>
    <row r="36" spans="1:15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Hundred Thirty-Three and 60/100 -----------</v>
      </c>
      <c r="C36" s="185"/>
      <c r="D36" s="97"/>
      <c r="E36" s="97"/>
      <c r="F36" s="97"/>
      <c r="G36" s="97"/>
      <c r="H36" s="97"/>
    </row>
    <row r="37" spans="1:15" x14ac:dyDescent="0.2">
      <c r="A37" s="94" t="s">
        <v>11</v>
      </c>
    </row>
    <row r="38" spans="1:15" ht="25.5" x14ac:dyDescent="0.2">
      <c r="A38" s="91" t="s">
        <v>10</v>
      </c>
      <c r="F38" s="218" t="s">
        <v>3975</v>
      </c>
      <c r="G38" s="219"/>
      <c r="H38" s="220"/>
    </row>
    <row r="41" spans="1:15" x14ac:dyDescent="0.2">
      <c r="F41" s="227"/>
      <c r="G41" s="227"/>
      <c r="H41" s="227"/>
    </row>
    <row r="42" spans="1:15" x14ac:dyDescent="0.2">
      <c r="A42" s="101"/>
      <c r="B42" s="101"/>
      <c r="C42" s="386"/>
      <c r="F42" s="228"/>
      <c r="G42" s="229"/>
      <c r="H42" s="229"/>
    </row>
    <row r="43" spans="1:15" x14ac:dyDescent="0.2">
      <c r="A43" s="1"/>
      <c r="F43" s="98" t="s">
        <v>7</v>
      </c>
      <c r="H43" s="102"/>
    </row>
    <row r="44" spans="1:15" x14ac:dyDescent="0.2">
      <c r="A44" s="98" t="s">
        <v>8</v>
      </c>
      <c r="D44" s="98" t="s">
        <v>8</v>
      </c>
      <c r="F44" s="98"/>
      <c r="H44" s="102"/>
    </row>
    <row r="48" spans="1:15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103" t="s">
        <v>4066</v>
      </c>
      <c r="B49" s="104"/>
      <c r="C49" s="104"/>
      <c r="D49" s="103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>
      <selection activeCell="B20" sqref="B20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Sheet177"/>
  <dimension ref="A1:N54"/>
  <sheetViews>
    <sheetView topLeftCell="A13" zoomScaleNormal="100" workbookViewId="0">
      <selection activeCell="H34" sqref="H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1.42578125" style="91" customWidth="1"/>
    <col min="4" max="4" width="22.28515625" style="91" customWidth="1"/>
    <col min="5" max="5" width="1.140625" style="91" customWidth="1"/>
    <col min="6" max="6" width="13.85546875" style="91" customWidth="1"/>
    <col min="7" max="7" width="8.5703125" style="91" customWidth="1"/>
    <col min="8" max="8" width="13.28515625" style="91" customWidth="1"/>
    <col min="9" max="9" width="9.7109375" style="91" bestFit="1" customWidth="1"/>
    <col min="10" max="16384" width="9.140625" style="9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6" spans="1:14" x14ac:dyDescent="0.2">
      <c r="N6" s="94"/>
    </row>
    <row r="8" spans="1:14" x14ac:dyDescent="0.2">
      <c r="A8" s="91" t="s">
        <v>32</v>
      </c>
      <c r="F8" s="22" t="s">
        <v>31</v>
      </c>
    </row>
    <row r="9" spans="1:14" x14ac:dyDescent="0.2">
      <c r="F9" s="92" t="s">
        <v>1358</v>
      </c>
      <c r="G9" s="91" t="s">
        <v>8897</v>
      </c>
      <c r="N9" s="94"/>
    </row>
    <row r="10" spans="1:14" x14ac:dyDescent="0.2">
      <c r="A10" s="91" t="s">
        <v>2081</v>
      </c>
      <c r="F10" s="92" t="s">
        <v>1357</v>
      </c>
      <c r="G10" s="91" t="s">
        <v>8898</v>
      </c>
    </row>
    <row r="11" spans="1:14" x14ac:dyDescent="0.2">
      <c r="A11" s="91" t="s">
        <v>2082</v>
      </c>
      <c r="F11" s="92" t="s">
        <v>1330</v>
      </c>
      <c r="G11" s="91" t="s">
        <v>1220</v>
      </c>
    </row>
    <row r="12" spans="1:14" x14ac:dyDescent="0.2">
      <c r="A12" s="91" t="s">
        <v>2083</v>
      </c>
      <c r="F12" s="92" t="s">
        <v>1224</v>
      </c>
      <c r="G12" s="91" t="s">
        <v>769</v>
      </c>
    </row>
    <row r="13" spans="1:14" x14ac:dyDescent="0.2">
      <c r="A13" s="91" t="s">
        <v>2084</v>
      </c>
      <c r="G13" s="91" t="s">
        <v>7762</v>
      </c>
    </row>
    <row r="16" spans="1:14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91" t="s">
        <v>8899</v>
      </c>
      <c r="H18" s="94">
        <v>63600.57</v>
      </c>
    </row>
    <row r="19" spans="1:8" x14ac:dyDescent="0.2">
      <c r="B19" s="93"/>
      <c r="C19" s="93"/>
      <c r="D19" s="91" t="s">
        <v>7008</v>
      </c>
      <c r="H19" s="94"/>
    </row>
    <row r="20" spans="1:8" x14ac:dyDescent="0.2">
      <c r="A20" s="93"/>
      <c r="B20" s="93"/>
      <c r="C20" s="93"/>
    </row>
    <row r="21" spans="1:8" x14ac:dyDescent="0.2">
      <c r="B21" s="99"/>
      <c r="C21" s="99"/>
      <c r="D21" s="91" t="s">
        <v>8900</v>
      </c>
      <c r="H21" s="91">
        <v>7121.65</v>
      </c>
    </row>
    <row r="22" spans="1:8" x14ac:dyDescent="0.2">
      <c r="B22" s="93"/>
      <c r="C22" s="93"/>
      <c r="D22" s="91" t="s">
        <v>7008</v>
      </c>
      <c r="H22" s="94"/>
    </row>
    <row r="23" spans="1:8" x14ac:dyDescent="0.2">
      <c r="B23" s="99"/>
      <c r="C23" s="99"/>
    </row>
    <row r="24" spans="1:8" x14ac:dyDescent="0.2">
      <c r="B24" s="99"/>
      <c r="C24" s="99"/>
      <c r="D24" s="91" t="s">
        <v>52</v>
      </c>
      <c r="H24" s="91">
        <v>1.9</v>
      </c>
    </row>
    <row r="25" spans="1:8" x14ac:dyDescent="0.2">
      <c r="B25" s="93"/>
      <c r="C25" s="93"/>
    </row>
    <row r="26" spans="1:8" x14ac:dyDescent="0.2">
      <c r="B26" s="99"/>
      <c r="C26" s="99"/>
    </row>
    <row r="27" spans="1:8" x14ac:dyDescent="0.2">
      <c r="B27" s="99"/>
      <c r="C27" s="99"/>
    </row>
    <row r="28" spans="1:8" x14ac:dyDescent="0.2">
      <c r="B28" s="99"/>
      <c r="C28" s="99"/>
    </row>
    <row r="29" spans="1:8" x14ac:dyDescent="0.2">
      <c r="B29" s="99"/>
      <c r="C29" s="99"/>
    </row>
    <row r="30" spans="1:8" x14ac:dyDescent="0.2">
      <c r="B30" s="93"/>
      <c r="C30" s="93"/>
    </row>
    <row r="31" spans="1:8" x14ac:dyDescent="0.2">
      <c r="B31" s="93"/>
      <c r="C31" s="93"/>
    </row>
    <row r="32" spans="1:8" x14ac:dyDescent="0.2">
      <c r="B32" s="94"/>
      <c r="C32" s="94"/>
    </row>
    <row r="33" spans="1:8" x14ac:dyDescent="0.2">
      <c r="H33" s="101"/>
    </row>
    <row r="34" spans="1:8" ht="13.5" thickBot="1" x14ac:dyDescent="0.25">
      <c r="H34" s="208">
        <f>SUM(H18:H33)</f>
        <v>70724.12</v>
      </c>
    </row>
    <row r="35" spans="1:8" ht="13.5" thickTop="1" x14ac:dyDescent="0.2">
      <c r="F35" s="230"/>
      <c r="G35" s="231"/>
      <c r="H35" s="232"/>
    </row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Seventy Thousand Seven Hundred Twenty-Four and 12/100 -----------</v>
      </c>
      <c r="C36" s="185"/>
      <c r="D36" s="97"/>
      <c r="E36" s="97"/>
      <c r="F36" s="97"/>
      <c r="G36" s="97"/>
      <c r="H36" s="97"/>
    </row>
    <row r="37" spans="1:8" ht="20.100000000000001" customHeight="1" x14ac:dyDescent="0.2">
      <c r="A37" s="113"/>
      <c r="B37" s="103"/>
      <c r="C37" s="103"/>
      <c r="D37" s="61"/>
      <c r="E37" s="61"/>
      <c r="F37" s="61"/>
      <c r="G37" s="61"/>
      <c r="H37" s="61"/>
    </row>
    <row r="38" spans="1:8" x14ac:dyDescent="0.2">
      <c r="A38" s="94" t="s">
        <v>3974</v>
      </c>
      <c r="D38" s="98"/>
      <c r="F38" s="227"/>
      <c r="G38" s="227"/>
      <c r="H38" s="227"/>
    </row>
    <row r="39" spans="1:8" x14ac:dyDescent="0.2">
      <c r="A39" s="98"/>
      <c r="D39" s="98"/>
      <c r="F39" s="228"/>
      <c r="G39" s="229"/>
      <c r="H39" s="229"/>
    </row>
    <row r="40" spans="1:8" x14ac:dyDescent="0.2">
      <c r="D40" s="98"/>
      <c r="E40" s="99"/>
    </row>
    <row r="41" spans="1:8" x14ac:dyDescent="0.2">
      <c r="A41" s="98"/>
      <c r="D41" s="98"/>
      <c r="E41" s="99"/>
    </row>
    <row r="42" spans="1:8" x14ac:dyDescent="0.2">
      <c r="A42" s="100"/>
      <c r="B42" s="101"/>
      <c r="D42" s="98"/>
    </row>
    <row r="43" spans="1:8" x14ac:dyDescent="0.2">
      <c r="A43" s="98"/>
      <c r="D43" s="103"/>
    </row>
    <row r="44" spans="1:8" x14ac:dyDescent="0.2">
      <c r="A44" s="98"/>
      <c r="D44" s="103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D49" s="100"/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A51" s="98"/>
      <c r="F51" s="91" t="s">
        <v>2</v>
      </c>
    </row>
    <row r="52" spans="1:8" x14ac:dyDescent="0.2">
      <c r="A52" s="98"/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Sheet220">
    <pageSetUpPr fitToPage="1"/>
  </sheetPr>
  <dimension ref="A1:M53"/>
  <sheetViews>
    <sheetView workbookViewId="0">
      <selection activeCell="D28" sqref="D28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12.5703125" style="91" customWidth="1"/>
    <col min="8" max="8" width="13.28515625" style="91" customWidth="1"/>
    <col min="9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1358</v>
      </c>
      <c r="G9" s="91" t="s">
        <v>8264</v>
      </c>
      <c r="J9" s="280"/>
      <c r="K9" s="281"/>
      <c r="L9" s="282"/>
      <c r="M9" s="283"/>
    </row>
    <row r="10" spans="1:13" x14ac:dyDescent="0.2">
      <c r="A10" s="91" t="s">
        <v>2081</v>
      </c>
      <c r="F10" s="92" t="s">
        <v>1357</v>
      </c>
      <c r="G10" s="98" t="s">
        <v>8265</v>
      </c>
    </row>
    <row r="11" spans="1:13" x14ac:dyDescent="0.2">
      <c r="A11" s="91" t="s">
        <v>2082</v>
      </c>
      <c r="F11" s="92" t="s">
        <v>1330</v>
      </c>
      <c r="G11" s="92" t="s">
        <v>1220</v>
      </c>
    </row>
    <row r="12" spans="1:13" x14ac:dyDescent="0.2">
      <c r="A12" s="91" t="s">
        <v>2083</v>
      </c>
      <c r="F12" s="92" t="s">
        <v>1224</v>
      </c>
      <c r="G12" s="92" t="s">
        <v>769</v>
      </c>
    </row>
    <row r="13" spans="1:13" x14ac:dyDescent="0.2">
      <c r="A13" s="91" t="s">
        <v>2084</v>
      </c>
    </row>
    <row r="16" spans="1:13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2"/>
      <c r="E18" s="2"/>
    </row>
    <row r="19" spans="1:8" x14ac:dyDescent="0.2">
      <c r="B19" s="93" t="s">
        <v>43</v>
      </c>
      <c r="C19" s="93"/>
      <c r="D19" s="91" t="s">
        <v>8266</v>
      </c>
      <c r="H19" s="91">
        <v>39145</v>
      </c>
    </row>
    <row r="20" spans="1:8" x14ac:dyDescent="0.2">
      <c r="A20" s="93"/>
      <c r="B20" s="93"/>
      <c r="C20" s="93"/>
      <c r="D20" s="91" t="s">
        <v>53</v>
      </c>
    </row>
    <row r="21" spans="1:8" x14ac:dyDescent="0.2">
      <c r="B21" s="99"/>
      <c r="C21" s="99"/>
    </row>
    <row r="22" spans="1:8" x14ac:dyDescent="0.2">
      <c r="B22" s="93" t="s">
        <v>41</v>
      </c>
      <c r="C22" s="93"/>
      <c r="D22" s="91" t="s">
        <v>7541</v>
      </c>
      <c r="H22" s="91">
        <v>4955</v>
      </c>
    </row>
    <row r="23" spans="1:8" x14ac:dyDescent="0.2">
      <c r="B23" s="99"/>
      <c r="C23" s="99"/>
      <c r="D23" s="91" t="s">
        <v>53</v>
      </c>
    </row>
    <row r="24" spans="1:8" x14ac:dyDescent="0.2">
      <c r="B24" s="99"/>
      <c r="C24" s="99"/>
    </row>
    <row r="25" spans="1:8" x14ac:dyDescent="0.2">
      <c r="B25" s="93"/>
      <c r="C25" s="93"/>
    </row>
    <row r="26" spans="1:8" x14ac:dyDescent="0.2">
      <c r="B26" s="99"/>
      <c r="C26" s="99"/>
    </row>
    <row r="27" spans="1:8" x14ac:dyDescent="0.2">
      <c r="B27" s="99"/>
      <c r="C27" s="99"/>
    </row>
    <row r="28" spans="1:8" x14ac:dyDescent="0.2">
      <c r="B28" s="99"/>
      <c r="C28" s="99"/>
    </row>
    <row r="29" spans="1:8" x14ac:dyDescent="0.2">
      <c r="B29" s="99"/>
      <c r="C29" s="99"/>
    </row>
    <row r="30" spans="1:8" x14ac:dyDescent="0.2">
      <c r="B30" s="99"/>
      <c r="C30" s="99"/>
      <c r="H30" s="2"/>
    </row>
    <row r="31" spans="1:8" x14ac:dyDescent="0.2">
      <c r="B31" s="93"/>
      <c r="C31" s="93"/>
    </row>
    <row r="32" spans="1:8" x14ac:dyDescent="0.2">
      <c r="B32" s="94"/>
      <c r="C32" s="94"/>
    </row>
    <row r="34" spans="1:8" ht="13.5" thickBot="1" x14ac:dyDescent="0.25">
      <c r="H34" s="95">
        <f>SUM(H18:H33)</f>
        <v>44100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Forty-Four Thousand One Hundred and NO/100 -----------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8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A40" s="98"/>
      <c r="F40" s="228"/>
      <c r="G40" s="229"/>
      <c r="H40" s="229"/>
    </row>
    <row r="42" spans="1:8" x14ac:dyDescent="0.2">
      <c r="A42" s="100"/>
      <c r="B42" s="101"/>
    </row>
    <row r="43" spans="1:8" x14ac:dyDescent="0.2">
      <c r="A43" s="98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D48" s="100"/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A50" s="98"/>
      <c r="D50" s="98"/>
      <c r="F50" s="91" t="s">
        <v>2</v>
      </c>
    </row>
    <row r="51" spans="1:6" x14ac:dyDescent="0.2">
      <c r="A51" s="98"/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Sheet305">
    <pageSetUpPr fitToPage="1"/>
  </sheetPr>
  <dimension ref="A1:H55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1.85546875" style="91" customWidth="1"/>
    <col min="4" max="4" width="21" style="91" customWidth="1"/>
    <col min="5" max="5" width="1.85546875" style="91" customWidth="1"/>
    <col min="6" max="6" width="16.42578125" style="91" customWidth="1"/>
    <col min="7" max="7" width="12.5703125" style="91" customWidth="1"/>
    <col min="8" max="8" width="13.28515625" style="91" customWidth="1"/>
    <col min="9" max="10" width="9.140625" style="91"/>
    <col min="11" max="11" width="9.7109375" style="91" bestFit="1" customWidth="1"/>
    <col min="12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6639</v>
      </c>
    </row>
    <row r="10" spans="1:8" x14ac:dyDescent="0.2">
      <c r="A10" s="91" t="s">
        <v>2081</v>
      </c>
      <c r="F10" s="92" t="s">
        <v>1357</v>
      </c>
      <c r="G10" s="92" t="s">
        <v>6640</v>
      </c>
    </row>
    <row r="11" spans="1:8" x14ac:dyDescent="0.2">
      <c r="A11" s="91" t="s">
        <v>2082</v>
      </c>
      <c r="F11" s="92" t="s">
        <v>1330</v>
      </c>
      <c r="G11" s="92" t="s">
        <v>1220</v>
      </c>
    </row>
    <row r="12" spans="1:8" x14ac:dyDescent="0.2">
      <c r="A12" s="91" t="s">
        <v>2083</v>
      </c>
      <c r="F12" s="92" t="s">
        <v>1224</v>
      </c>
      <c r="G12" s="92" t="s">
        <v>769</v>
      </c>
    </row>
    <row r="13" spans="1:8" x14ac:dyDescent="0.2">
      <c r="A13" s="91" t="s">
        <v>2084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2" t="s">
        <v>4549</v>
      </c>
      <c r="E18" s="2"/>
    </row>
    <row r="19" spans="1:8" x14ac:dyDescent="0.2">
      <c r="B19" s="93"/>
      <c r="C19" s="93"/>
    </row>
    <row r="20" spans="1:8" x14ac:dyDescent="0.2">
      <c r="A20" s="93"/>
      <c r="B20" s="93"/>
      <c r="C20" s="93"/>
      <c r="D20" s="91" t="s">
        <v>3154</v>
      </c>
      <c r="H20" s="91">
        <v>8000</v>
      </c>
    </row>
    <row r="21" spans="1:8" x14ac:dyDescent="0.2">
      <c r="D21" s="191" t="s">
        <v>658</v>
      </c>
      <c r="E21" s="191"/>
    </row>
    <row r="22" spans="1:8" x14ac:dyDescent="0.2">
      <c r="B22" s="93"/>
      <c r="C22" s="93"/>
      <c r="D22" s="91" t="s">
        <v>3151</v>
      </c>
      <c r="H22" s="91">
        <v>150</v>
      </c>
    </row>
    <row r="23" spans="1:8" x14ac:dyDescent="0.2">
      <c r="B23" s="99"/>
      <c r="C23" s="99"/>
    </row>
    <row r="24" spans="1:8" x14ac:dyDescent="0.2">
      <c r="B24" s="99"/>
      <c r="C24" s="99"/>
      <c r="D24" s="91" t="s">
        <v>3152</v>
      </c>
      <c r="H24" s="91">
        <v>5</v>
      </c>
    </row>
    <row r="25" spans="1:8" x14ac:dyDescent="0.2">
      <c r="B25" s="93"/>
      <c r="C25" s="93"/>
    </row>
    <row r="26" spans="1:8" x14ac:dyDescent="0.2">
      <c r="B26" s="99"/>
      <c r="C26" s="99"/>
      <c r="D26" s="91" t="s">
        <v>3153</v>
      </c>
      <c r="H26" s="91">
        <v>20</v>
      </c>
    </row>
    <row r="27" spans="1:8" x14ac:dyDescent="0.2">
      <c r="B27" s="99"/>
      <c r="C27" s="99"/>
    </row>
    <row r="28" spans="1:8" x14ac:dyDescent="0.2">
      <c r="B28" s="99"/>
      <c r="C28" s="99"/>
      <c r="D28" s="91" t="s">
        <v>5693</v>
      </c>
      <c r="H28" s="91">
        <v>20</v>
      </c>
    </row>
    <row r="29" spans="1:8" x14ac:dyDescent="0.2">
      <c r="B29" s="99"/>
      <c r="C29" s="99"/>
    </row>
    <row r="30" spans="1:8" x14ac:dyDescent="0.2">
      <c r="B30" s="99"/>
      <c r="C30" s="99"/>
    </row>
    <row r="31" spans="1:8" x14ac:dyDescent="0.2">
      <c r="B31" s="99"/>
      <c r="C31" s="99"/>
    </row>
    <row r="32" spans="1:8" x14ac:dyDescent="0.2">
      <c r="B32" s="99"/>
      <c r="C32" s="99"/>
    </row>
    <row r="33" spans="1:8" x14ac:dyDescent="0.2">
      <c r="B33" s="93"/>
      <c r="C33" s="93"/>
    </row>
    <row r="34" spans="1:8" x14ac:dyDescent="0.2">
      <c r="B34" s="94"/>
      <c r="C34" s="94"/>
    </row>
    <row r="36" spans="1:8" ht="13.5" thickBot="1" x14ac:dyDescent="0.25">
      <c r="H36" s="95">
        <f>SUM(H18:H35)</f>
        <v>8195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Eight Thousand One Hundred Ninety-Five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  <c r="H39" s="209"/>
    </row>
    <row r="40" spans="1:8" ht="25.5" x14ac:dyDescent="0.2">
      <c r="A40" s="98" t="s">
        <v>10</v>
      </c>
      <c r="F40" s="218" t="s">
        <v>3975</v>
      </c>
      <c r="G40" s="219"/>
      <c r="H40" s="220"/>
    </row>
    <row r="41" spans="1:8" x14ac:dyDescent="0.2">
      <c r="A41" s="98"/>
    </row>
    <row r="42" spans="1:8" x14ac:dyDescent="0.2">
      <c r="A42" s="98"/>
    </row>
    <row r="43" spans="1:8" x14ac:dyDescent="0.2">
      <c r="A43" s="98"/>
    </row>
    <row r="44" spans="1:8" x14ac:dyDescent="0.2">
      <c r="A44" s="100"/>
      <c r="B44" s="101"/>
      <c r="D44" s="99"/>
      <c r="E44" s="99"/>
      <c r="F44" s="227"/>
      <c r="G44" s="227"/>
      <c r="H44" s="227"/>
    </row>
    <row r="45" spans="1:8" x14ac:dyDescent="0.2">
      <c r="A45" s="98"/>
      <c r="F45" s="228"/>
      <c r="G45" s="229"/>
      <c r="H45" s="229"/>
    </row>
    <row r="46" spans="1:8" x14ac:dyDescent="0.2">
      <c r="A46" s="91" t="s">
        <v>8</v>
      </c>
      <c r="D46" s="91" t="s">
        <v>8</v>
      </c>
      <c r="F46" s="91" t="s">
        <v>7</v>
      </c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D50" s="100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x14ac:dyDescent="0.2">
      <c r="A52" s="98"/>
      <c r="D52" s="98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Sheet306">
    <pageSetUpPr fitToPage="1"/>
  </sheetPr>
  <dimension ref="A1:M52"/>
  <sheetViews>
    <sheetView topLeftCell="A7" workbookViewId="0">
      <selection activeCell="F34" sqref="F34"/>
    </sheetView>
  </sheetViews>
  <sheetFormatPr defaultRowHeight="12.75" x14ac:dyDescent="0.2"/>
  <cols>
    <col min="1" max="1" width="14.5703125" style="91" customWidth="1"/>
    <col min="2" max="2" width="13.85546875" style="91" customWidth="1"/>
    <col min="3" max="3" width="0.85546875" style="91" customWidth="1"/>
    <col min="4" max="4" width="21" style="91" customWidth="1"/>
    <col min="5" max="5" width="1.28515625" style="91" customWidth="1"/>
    <col min="6" max="6" width="16.42578125" style="91" customWidth="1"/>
    <col min="7" max="7" width="12.5703125" style="91" customWidth="1"/>
    <col min="8" max="8" width="13.28515625" style="91" customWidth="1"/>
    <col min="9" max="11" width="9.140625" style="91"/>
    <col min="12" max="12" width="9.7109375" style="91" bestFit="1" customWidth="1"/>
    <col min="13" max="13" width="10.7109375" style="91" bestFit="1" customWidth="1"/>
    <col min="14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1358</v>
      </c>
      <c r="G9" s="91" t="s">
        <v>6579</v>
      </c>
    </row>
    <row r="10" spans="1:13" x14ac:dyDescent="0.2">
      <c r="A10" s="91" t="s">
        <v>2081</v>
      </c>
      <c r="F10" s="92" t="s">
        <v>1357</v>
      </c>
      <c r="G10" s="92" t="s">
        <v>6580</v>
      </c>
    </row>
    <row r="11" spans="1:13" x14ac:dyDescent="0.2">
      <c r="A11" s="91" t="s">
        <v>2082</v>
      </c>
      <c r="F11" s="92" t="s">
        <v>1330</v>
      </c>
      <c r="G11" s="92" t="s">
        <v>1220</v>
      </c>
    </row>
    <row r="12" spans="1:13" x14ac:dyDescent="0.2">
      <c r="A12" s="91" t="s">
        <v>2083</v>
      </c>
      <c r="F12" s="92" t="s">
        <v>1224</v>
      </c>
      <c r="G12" s="92" t="s">
        <v>6584</v>
      </c>
      <c r="J12" s="373"/>
      <c r="K12" s="374"/>
      <c r="L12" s="375"/>
      <c r="M12" s="372"/>
    </row>
    <row r="13" spans="1:13" x14ac:dyDescent="0.2">
      <c r="A13" s="91" t="s">
        <v>2084</v>
      </c>
    </row>
    <row r="16" spans="1:13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2" t="s">
        <v>6581</v>
      </c>
      <c r="E18" s="2"/>
    </row>
    <row r="19" spans="1:8" x14ac:dyDescent="0.2">
      <c r="B19" s="93"/>
      <c r="C19" s="93"/>
    </row>
    <row r="20" spans="1:8" x14ac:dyDescent="0.2">
      <c r="A20" s="93"/>
      <c r="B20" s="93"/>
      <c r="C20" s="93"/>
      <c r="D20" s="91" t="s">
        <v>6582</v>
      </c>
      <c r="H20" s="91">
        <v>12562.35</v>
      </c>
    </row>
    <row r="21" spans="1:8" x14ac:dyDescent="0.2">
      <c r="D21" s="191" t="s">
        <v>6583</v>
      </c>
      <c r="E21" s="191"/>
    </row>
    <row r="22" spans="1:8" x14ac:dyDescent="0.2">
      <c r="B22" s="93"/>
      <c r="C22" s="93"/>
      <c r="H22" s="94"/>
    </row>
    <row r="23" spans="1:8" x14ac:dyDescent="0.2">
      <c r="B23" s="99"/>
      <c r="C23" s="99"/>
      <c r="D23" s="91" t="s">
        <v>52</v>
      </c>
      <c r="H23" s="91">
        <v>5.65</v>
      </c>
    </row>
    <row r="24" spans="1:8" x14ac:dyDescent="0.2">
      <c r="B24" s="99"/>
      <c r="C24" s="99"/>
    </row>
    <row r="25" spans="1:8" x14ac:dyDescent="0.2">
      <c r="B25" s="99"/>
      <c r="C25" s="99"/>
    </row>
    <row r="26" spans="1:8" x14ac:dyDescent="0.2">
      <c r="B26" s="99"/>
      <c r="C26" s="99"/>
    </row>
    <row r="27" spans="1:8" x14ac:dyDescent="0.2">
      <c r="B27" s="93"/>
      <c r="C27" s="93"/>
    </row>
    <row r="28" spans="1:8" x14ac:dyDescent="0.2">
      <c r="B28" s="99"/>
      <c r="C28" s="99"/>
    </row>
    <row r="29" spans="1:8" x14ac:dyDescent="0.2">
      <c r="B29" s="99"/>
      <c r="C29" s="99"/>
      <c r="H29" s="2"/>
    </row>
    <row r="30" spans="1:8" x14ac:dyDescent="0.2">
      <c r="B30" s="93"/>
      <c r="C30" s="93"/>
    </row>
    <row r="31" spans="1:8" x14ac:dyDescent="0.2">
      <c r="B31" s="94"/>
      <c r="C31" s="94"/>
    </row>
    <row r="33" spans="1:8" ht="13.5" thickBot="1" x14ac:dyDescent="0.25">
      <c r="H33" s="95">
        <f>SUM(H18:H32)</f>
        <v>12568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Twelve Thousand Five Hundred Sixty-Eight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  <c r="H36" s="209"/>
    </row>
    <row r="37" spans="1:8" ht="25.5" x14ac:dyDescent="0.2">
      <c r="A37" s="98" t="s">
        <v>10</v>
      </c>
      <c r="F37" s="218" t="s">
        <v>3975</v>
      </c>
      <c r="G37" s="219" t="s">
        <v>4535</v>
      </c>
      <c r="H37" s="220"/>
    </row>
    <row r="38" spans="1:8" x14ac:dyDescent="0.2">
      <c r="A38" s="98"/>
    </row>
    <row r="39" spans="1:8" x14ac:dyDescent="0.2">
      <c r="A39" s="98"/>
    </row>
    <row r="40" spans="1:8" x14ac:dyDescent="0.2">
      <c r="A40" s="98"/>
    </row>
    <row r="41" spans="1:8" x14ac:dyDescent="0.2">
      <c r="A41" s="100"/>
      <c r="B41" s="101"/>
      <c r="D41" s="99"/>
      <c r="E41" s="99"/>
      <c r="F41" s="227"/>
      <c r="G41" s="227"/>
      <c r="H41" s="227"/>
    </row>
    <row r="42" spans="1:8" x14ac:dyDescent="0.2">
      <c r="A42" s="98"/>
      <c r="F42" s="228"/>
      <c r="G42" s="229"/>
      <c r="H42" s="229"/>
    </row>
    <row r="43" spans="1:8" x14ac:dyDescent="0.2">
      <c r="A43" s="91" t="s">
        <v>8</v>
      </c>
      <c r="D43" s="91" t="s">
        <v>8</v>
      </c>
    </row>
    <row r="44" spans="1:8" x14ac:dyDescent="0.2">
      <c r="A44" s="98"/>
      <c r="D44" s="98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100"/>
      <c r="B47" s="101"/>
      <c r="D47" s="100"/>
      <c r="F47" s="101"/>
      <c r="G47" s="101"/>
      <c r="H47" s="101"/>
    </row>
    <row r="48" spans="1:8" s="61" customFormat="1" ht="17.100000000000001" customHeight="1" x14ac:dyDescent="0.2">
      <c r="A48" s="103" t="s">
        <v>4066</v>
      </c>
      <c r="B48" s="104"/>
      <c r="C48" s="104"/>
      <c r="D48" s="103" t="s">
        <v>50</v>
      </c>
      <c r="F48" s="61" t="s">
        <v>3</v>
      </c>
    </row>
    <row r="49" spans="1:6" x14ac:dyDescent="0.2">
      <c r="A49" s="98"/>
      <c r="D49" s="98"/>
      <c r="F49" s="91" t="s">
        <v>2</v>
      </c>
    </row>
    <row r="50" spans="1:6" x14ac:dyDescent="0.2">
      <c r="A50" s="98"/>
    </row>
    <row r="51" spans="1:6" x14ac:dyDescent="0.2">
      <c r="F51" s="2" t="s">
        <v>1</v>
      </c>
    </row>
    <row r="52" spans="1:6" x14ac:dyDescent="0.2">
      <c r="F52" s="2" t="s">
        <v>0</v>
      </c>
    </row>
  </sheetData>
  <customSheetViews>
    <customSheetView guid="{6428A7A0-B31B-40C1-A13E-AD0DCC619E51}" fitToPage="1" topLeftCell="A22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Sheet94">
    <pageSetUpPr fitToPage="1"/>
  </sheetPr>
  <dimension ref="A1:F49"/>
  <sheetViews>
    <sheetView topLeftCell="A28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1921</v>
      </c>
      <c r="D9" s="92" t="s">
        <v>1317</v>
      </c>
      <c r="E9" s="91" t="s">
        <v>1924</v>
      </c>
    </row>
    <row r="10" spans="1:6" x14ac:dyDescent="0.2">
      <c r="A10" s="91" t="s">
        <v>1922</v>
      </c>
      <c r="D10" s="92" t="s">
        <v>1329</v>
      </c>
      <c r="E10" s="105" t="s">
        <v>1919</v>
      </c>
    </row>
    <row r="11" spans="1:6" x14ac:dyDescent="0.2">
      <c r="A11" s="91" t="s">
        <v>1561</v>
      </c>
      <c r="D11" s="92" t="s">
        <v>1330</v>
      </c>
      <c r="E11" s="92" t="s">
        <v>1220</v>
      </c>
    </row>
    <row r="12" spans="1:6" x14ac:dyDescent="0.2">
      <c r="A12" s="91" t="s">
        <v>1923</v>
      </c>
      <c r="D12" s="92" t="s">
        <v>1331</v>
      </c>
      <c r="E12" s="92" t="s">
        <v>1925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1920</v>
      </c>
      <c r="B18" s="93" t="s">
        <v>1931</v>
      </c>
      <c r="C18" s="91" t="s">
        <v>1932</v>
      </c>
      <c r="F18" s="91">
        <f>45*3</f>
        <v>135</v>
      </c>
    </row>
    <row r="19" spans="1:6" x14ac:dyDescent="0.2">
      <c r="C19" s="91" t="s">
        <v>1933</v>
      </c>
    </row>
    <row r="21" spans="1:6" x14ac:dyDescent="0.2">
      <c r="A21" s="93" t="s">
        <v>1920</v>
      </c>
      <c r="B21" s="93" t="s">
        <v>1934</v>
      </c>
      <c r="C21" s="91" t="s">
        <v>1935</v>
      </c>
      <c r="F21" s="91">
        <f>8.5*4</f>
        <v>34</v>
      </c>
    </row>
    <row r="22" spans="1:6" x14ac:dyDescent="0.2">
      <c r="A22" s="106"/>
      <c r="C22" s="91" t="s">
        <v>1936</v>
      </c>
    </row>
    <row r="23" spans="1:6" x14ac:dyDescent="0.2">
      <c r="A23" s="106"/>
    </row>
    <row r="25" spans="1:6" x14ac:dyDescent="0.2">
      <c r="A25" s="93"/>
      <c r="C25" s="2" t="s">
        <v>1926</v>
      </c>
    </row>
    <row r="26" spans="1:6" x14ac:dyDescent="0.2">
      <c r="A26" s="93"/>
    </row>
    <row r="27" spans="1:6" x14ac:dyDescent="0.2">
      <c r="A27" s="93" t="s">
        <v>1927</v>
      </c>
      <c r="B27" s="93" t="s">
        <v>1929</v>
      </c>
      <c r="C27" s="91" t="s">
        <v>1928</v>
      </c>
      <c r="F27" s="91">
        <f>8.5*5</f>
        <v>42.5</v>
      </c>
    </row>
    <row r="28" spans="1:6" x14ac:dyDescent="0.2">
      <c r="A28" s="106"/>
      <c r="C28" s="91" t="s">
        <v>1930</v>
      </c>
    </row>
    <row r="29" spans="1:6" ht="13.5" thickBot="1" x14ac:dyDescent="0.25">
      <c r="A29" s="106"/>
      <c r="F29" s="107">
        <f>SUM(F18:F28)</f>
        <v>211.5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1937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22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Sheet95">
    <pageSetUpPr fitToPage="1"/>
  </sheetPr>
  <dimension ref="A1:G55"/>
  <sheetViews>
    <sheetView zoomScaleSheetLayoutView="100" workbookViewId="0">
      <selection activeCell="F34" sqref="F34"/>
    </sheetView>
  </sheetViews>
  <sheetFormatPr defaultRowHeight="16.5" x14ac:dyDescent="0.3"/>
  <cols>
    <col min="1" max="1" width="15.85546875" style="120" customWidth="1"/>
    <col min="2" max="2" width="15.42578125" style="120" customWidth="1"/>
    <col min="3" max="3" width="21" style="120" customWidth="1"/>
    <col min="4" max="4" width="16.42578125" style="120" customWidth="1"/>
    <col min="5" max="5" width="10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 t="s">
        <v>1776</v>
      </c>
      <c r="B9" s="61"/>
      <c r="C9" s="61"/>
      <c r="D9" s="113" t="s">
        <v>1353</v>
      </c>
      <c r="E9" s="91" t="s">
        <v>1902</v>
      </c>
      <c r="F9" s="91"/>
    </row>
    <row r="10" spans="1:7" s="38" customFormat="1" ht="12.75" customHeight="1" x14ac:dyDescent="0.2">
      <c r="A10" s="61" t="s">
        <v>1904</v>
      </c>
      <c r="B10" s="61"/>
      <c r="C10" s="61"/>
      <c r="D10" s="113" t="s">
        <v>1335</v>
      </c>
      <c r="E10" s="92" t="s">
        <v>1898</v>
      </c>
      <c r="F10" s="91"/>
    </row>
    <row r="11" spans="1:7" s="38" customFormat="1" ht="12.75" customHeight="1" x14ac:dyDescent="0.2">
      <c r="A11" s="61"/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/>
      <c r="B12" s="61"/>
      <c r="C12" s="61"/>
      <c r="D12" s="113" t="s">
        <v>1355</v>
      </c>
      <c r="E12" s="92" t="s">
        <v>1903</v>
      </c>
      <c r="F12" s="91"/>
    </row>
    <row r="13" spans="1:7" s="38" customFormat="1" ht="12.75" customHeight="1" x14ac:dyDescent="0.2">
      <c r="A13" s="61"/>
      <c r="B13" s="61"/>
      <c r="C13" s="61"/>
      <c r="D13" s="61"/>
      <c r="E13" s="91"/>
      <c r="F13" s="61"/>
    </row>
    <row r="14" spans="1:7" s="38" customFormat="1" ht="12.75" customHeight="1" x14ac:dyDescent="0.2">
      <c r="A14" s="61"/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 t="s">
        <v>1777</v>
      </c>
      <c r="D18" s="61"/>
      <c r="E18" s="61"/>
      <c r="F18" s="61"/>
      <c r="G18" s="55"/>
    </row>
    <row r="19" spans="1:7" s="38" customFormat="1" ht="12.75" customHeight="1" x14ac:dyDescent="0.2">
      <c r="C19" s="61"/>
      <c r="D19" s="61"/>
      <c r="E19" s="61"/>
      <c r="F19" s="61"/>
      <c r="G19" s="55"/>
    </row>
    <row r="20" spans="1:7" s="38" customFormat="1" ht="12.75" customHeight="1" x14ac:dyDescent="0.2">
      <c r="A20" s="140" t="s">
        <v>1868</v>
      </c>
      <c r="B20" s="142" t="s">
        <v>1905</v>
      </c>
      <c r="C20" s="61" t="s">
        <v>1906</v>
      </c>
      <c r="D20" s="61"/>
      <c r="E20" s="61"/>
      <c r="F20" s="61">
        <v>5000</v>
      </c>
      <c r="G20" s="55"/>
    </row>
    <row r="21" spans="1:7" s="38" customFormat="1" ht="12.75" customHeight="1" x14ac:dyDescent="0.2">
      <c r="A21" s="126"/>
      <c r="B21" s="126"/>
      <c r="C21" s="61"/>
      <c r="D21" s="61"/>
      <c r="E21" s="61"/>
      <c r="F21" s="61"/>
      <c r="G21" s="126"/>
    </row>
    <row r="22" spans="1:7" s="126" customFormat="1" ht="12.75" customHeight="1" x14ac:dyDescent="0.2">
      <c r="A22" s="118"/>
      <c r="B22" s="103"/>
      <c r="C22" s="61"/>
      <c r="D22" s="61"/>
      <c r="E22" s="61"/>
      <c r="F22" s="61"/>
    </row>
    <row r="23" spans="1:7" s="126" customFormat="1" ht="12.75" customHeight="1" x14ac:dyDescent="0.2">
      <c r="C23" s="61"/>
      <c r="F23" s="61"/>
    </row>
    <row r="24" spans="1:7" s="126" customFormat="1" ht="12.75" customHeight="1" x14ac:dyDescent="0.2">
      <c r="A24" s="140"/>
      <c r="B24" s="103"/>
      <c r="C24" s="61"/>
      <c r="D24" s="61"/>
      <c r="E24" s="61"/>
      <c r="F24" s="61"/>
    </row>
    <row r="25" spans="1:7" s="126" customFormat="1" ht="12.75" customHeight="1" x14ac:dyDescent="0.2">
      <c r="A25" s="140"/>
      <c r="B25" s="142"/>
      <c r="C25" s="61"/>
      <c r="D25" s="61"/>
      <c r="E25" s="61"/>
      <c r="F25" s="61"/>
    </row>
    <row r="26" spans="1:7" s="120" customFormat="1" ht="12.75" customHeight="1" x14ac:dyDescent="0.2">
      <c r="A26" s="118"/>
      <c r="B26" s="103"/>
      <c r="C26" s="61"/>
      <c r="D26" s="91"/>
      <c r="E26" s="91"/>
      <c r="F26" s="91"/>
    </row>
    <row r="27" spans="1:7" s="120" customFormat="1" ht="12.75" customHeight="1" x14ac:dyDescent="0.3">
      <c r="A27" s="91"/>
      <c r="B27" s="91"/>
      <c r="C27" s="61"/>
      <c r="D27" s="91"/>
      <c r="E27" s="91"/>
      <c r="F27" s="91"/>
      <c r="G27" s="37"/>
    </row>
    <row r="28" spans="1:7" ht="12.75" customHeight="1" x14ac:dyDescent="0.3">
      <c r="A28" s="91"/>
      <c r="B28" s="91"/>
      <c r="C28" s="61"/>
      <c r="D28" s="91"/>
      <c r="E28" s="91"/>
      <c r="F28" s="91"/>
    </row>
    <row r="29" spans="1:7" s="38" customFormat="1" ht="12.75" customHeight="1" x14ac:dyDescent="0.2">
      <c r="A29" s="52"/>
      <c r="B29" s="52"/>
      <c r="C29" s="52"/>
      <c r="D29" s="52"/>
      <c r="E29" s="52"/>
      <c r="F29" s="52"/>
      <c r="G29" s="55"/>
    </row>
    <row r="30" spans="1:7" s="38" customFormat="1" ht="12.75" customHeight="1" x14ac:dyDescent="0.2">
      <c r="A30" s="118"/>
      <c r="B30" s="103"/>
      <c r="C30" s="61"/>
      <c r="D30" s="61"/>
      <c r="E30" s="61"/>
      <c r="F30" s="61"/>
      <c r="G30" s="55"/>
    </row>
    <row r="31" spans="1:7" s="38" customFormat="1" ht="12.75" customHeight="1" x14ac:dyDescent="0.2">
      <c r="A31" s="118"/>
      <c r="B31" s="103"/>
      <c r="C31" s="61"/>
      <c r="D31" s="61"/>
      <c r="E31" s="61"/>
      <c r="F31" s="61"/>
      <c r="G31" s="55"/>
    </row>
    <row r="32" spans="1:7" s="38" customFormat="1" ht="15.75" customHeight="1" thickBot="1" x14ac:dyDescent="0.25">
      <c r="A32" s="131"/>
      <c r="B32" s="126"/>
      <c r="C32" s="126"/>
      <c r="D32" s="126"/>
      <c r="E32" s="126"/>
      <c r="F32" s="132">
        <f>SUM(F18:F31)</f>
        <v>5000</v>
      </c>
      <c r="G32" s="55"/>
    </row>
    <row r="33" spans="1:7" s="38" customFormat="1" ht="12.75" customHeight="1" thickTop="1" x14ac:dyDescent="0.2">
      <c r="A33" s="131"/>
      <c r="B33" s="126"/>
      <c r="C33" s="126"/>
      <c r="D33" s="126"/>
      <c r="E33" s="126"/>
      <c r="F33" s="126"/>
      <c r="G33" s="55"/>
    </row>
    <row r="34" spans="1:7" ht="20.100000000000001" customHeight="1" thickBot="1" x14ac:dyDescent="0.35">
      <c r="A34" s="96" t="s">
        <v>122</v>
      </c>
      <c r="B34" s="96" t="s">
        <v>1797</v>
      </c>
      <c r="C34" s="121"/>
      <c r="D34" s="121"/>
      <c r="E34" s="121"/>
      <c r="F34" s="203"/>
    </row>
    <row r="35" spans="1:7" ht="12.75" customHeight="1" thickTop="1" x14ac:dyDescent="0.3">
      <c r="A35" s="122"/>
    </row>
    <row r="36" spans="1:7" ht="12.75" customHeight="1" x14ac:dyDescent="0.3">
      <c r="D36" s="218" t="s">
        <v>3975</v>
      </c>
      <c r="E36" s="219"/>
      <c r="F36" s="220"/>
    </row>
    <row r="37" spans="1:7" ht="12.75" customHeight="1" x14ac:dyDescent="0.3"/>
    <row r="38" spans="1:7" ht="12.75" customHeight="1" x14ac:dyDescent="0.3"/>
    <row r="39" spans="1:7" x14ac:dyDescent="0.3">
      <c r="A39" s="120" t="s">
        <v>10</v>
      </c>
      <c r="D39" s="227"/>
      <c r="E39" s="227"/>
      <c r="F39" s="227"/>
    </row>
    <row r="40" spans="1:7" x14ac:dyDescent="0.3">
      <c r="A40" s="119"/>
      <c r="D40" s="228"/>
      <c r="E40" s="229"/>
      <c r="F40" s="229"/>
    </row>
    <row r="41" spans="1:7" ht="12.75" customHeight="1" x14ac:dyDescent="0.3">
      <c r="A41" s="37"/>
      <c r="B41" s="124"/>
      <c r="F41" s="125"/>
    </row>
    <row r="42" spans="1:7" ht="12.75" customHeight="1" x14ac:dyDescent="0.3">
      <c r="A42" s="123"/>
      <c r="F42" s="125"/>
    </row>
    <row r="43" spans="1:7" ht="12.75" customHeight="1" x14ac:dyDescent="0.3">
      <c r="A43" s="119"/>
    </row>
    <row r="44" spans="1:7" ht="12.75" customHeight="1" x14ac:dyDescent="0.3">
      <c r="A44" s="119" t="s">
        <v>8</v>
      </c>
      <c r="D44" s="119" t="s">
        <v>7</v>
      </c>
    </row>
    <row r="45" spans="1:7" ht="12.75" customHeight="1" x14ac:dyDescent="0.3">
      <c r="A45" s="119"/>
    </row>
    <row r="46" spans="1:7" ht="12.75" customHeight="1" x14ac:dyDescent="0.3">
      <c r="A46" s="119"/>
    </row>
    <row r="47" spans="1:7" s="38" customFormat="1" ht="12.75" customHeight="1" x14ac:dyDescent="0.2">
      <c r="A47" s="119" t="s">
        <v>3972</v>
      </c>
      <c r="B47" s="120"/>
      <c r="C47" s="120"/>
      <c r="D47" s="120"/>
      <c r="E47" s="126"/>
      <c r="F47" s="126"/>
    </row>
    <row r="48" spans="1:7" ht="12.75" customHeight="1" x14ac:dyDescent="0.3">
      <c r="A48" s="123"/>
      <c r="B48" s="124"/>
      <c r="D48" s="124"/>
      <c r="E48" s="124"/>
      <c r="F48" s="124"/>
    </row>
    <row r="49" spans="1:4" ht="12.75" customHeight="1" x14ac:dyDescent="0.3">
      <c r="A49" s="127" t="s">
        <v>4066</v>
      </c>
      <c r="B49" s="128"/>
      <c r="C49" s="126"/>
      <c r="D49" s="126" t="s">
        <v>3</v>
      </c>
    </row>
    <row r="50" spans="1:4" ht="12.75" customHeight="1" x14ac:dyDescent="0.3">
      <c r="A50" s="119"/>
      <c r="D50" s="120" t="s">
        <v>2</v>
      </c>
    </row>
    <row r="51" spans="1:4" ht="12.75" customHeight="1" x14ac:dyDescent="0.3"/>
    <row r="52" spans="1:4" ht="12.75" customHeight="1" x14ac:dyDescent="0.3">
      <c r="D52" s="89" t="s">
        <v>1</v>
      </c>
    </row>
    <row r="53" spans="1:4" ht="12.75" customHeight="1" x14ac:dyDescent="0.3">
      <c r="D53" s="89" t="s">
        <v>0</v>
      </c>
    </row>
    <row r="54" spans="1:4" ht="12.75" customHeight="1" x14ac:dyDescent="0.3"/>
    <row r="55" spans="1:4" ht="12.75" customHeight="1" x14ac:dyDescent="0.3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Sheet96">
    <pageSetUpPr fitToPage="1"/>
  </sheetPr>
  <dimension ref="A1:G55"/>
  <sheetViews>
    <sheetView zoomScaleSheetLayoutView="100" workbookViewId="0">
      <selection activeCell="F34" sqref="F34"/>
    </sheetView>
  </sheetViews>
  <sheetFormatPr defaultRowHeight="16.5" x14ac:dyDescent="0.3"/>
  <cols>
    <col min="1" max="1" width="15.85546875" style="120" customWidth="1"/>
    <col min="2" max="2" width="15.42578125" style="120" customWidth="1"/>
    <col min="3" max="3" width="21" style="120" customWidth="1"/>
    <col min="4" max="4" width="16.42578125" style="120" customWidth="1"/>
    <col min="5" max="5" width="10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 t="s">
        <v>1909</v>
      </c>
      <c r="B9" s="61"/>
      <c r="C9" s="61"/>
      <c r="D9" s="113" t="s">
        <v>1353</v>
      </c>
      <c r="E9" s="91" t="s">
        <v>1907</v>
      </c>
      <c r="F9" s="91"/>
    </row>
    <row r="10" spans="1:7" s="38" customFormat="1" ht="12.75" customHeight="1" x14ac:dyDescent="0.2">
      <c r="A10" s="61" t="s">
        <v>1910</v>
      </c>
      <c r="B10" s="61"/>
      <c r="C10" s="61"/>
      <c r="D10" s="113" t="s">
        <v>1335</v>
      </c>
      <c r="E10" s="92" t="s">
        <v>1898</v>
      </c>
      <c r="F10" s="91"/>
    </row>
    <row r="11" spans="1:7" s="38" customFormat="1" ht="12.75" customHeight="1" x14ac:dyDescent="0.2">
      <c r="A11" s="61" t="s">
        <v>1911</v>
      </c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 t="s">
        <v>1508</v>
      </c>
      <c r="B12" s="61"/>
      <c r="C12" s="61"/>
      <c r="D12" s="113" t="s">
        <v>1355</v>
      </c>
      <c r="E12" s="92" t="s">
        <v>1908</v>
      </c>
      <c r="F12" s="91"/>
    </row>
    <row r="13" spans="1:7" s="38" customFormat="1" ht="12.75" customHeight="1" x14ac:dyDescent="0.2">
      <c r="A13" s="61" t="s">
        <v>1912</v>
      </c>
      <c r="B13" s="61"/>
      <c r="C13" s="61"/>
      <c r="D13" s="61"/>
      <c r="E13" s="91"/>
      <c r="F13" s="61"/>
    </row>
    <row r="14" spans="1:7" s="38" customFormat="1" ht="12.75" customHeight="1" x14ac:dyDescent="0.2">
      <c r="A14" s="61" t="s">
        <v>1913</v>
      </c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/>
      <c r="D18" s="61"/>
      <c r="E18" s="61"/>
      <c r="F18" s="61"/>
      <c r="G18" s="55"/>
    </row>
    <row r="19" spans="1:7" s="38" customFormat="1" ht="12.75" customHeight="1" x14ac:dyDescent="0.2">
      <c r="A19" s="140" t="s">
        <v>1914</v>
      </c>
      <c r="B19" s="142" t="s">
        <v>1915</v>
      </c>
      <c r="C19" s="61" t="s">
        <v>1916</v>
      </c>
      <c r="D19" s="61"/>
      <c r="E19" s="61"/>
      <c r="F19" s="61">
        <v>2000</v>
      </c>
      <c r="G19" s="55"/>
    </row>
    <row r="20" spans="1:7" s="38" customFormat="1" ht="12.75" customHeight="1" x14ac:dyDescent="0.2">
      <c r="C20" s="61" t="s">
        <v>1917</v>
      </c>
      <c r="G20" s="55"/>
    </row>
    <row r="21" spans="1:7" s="38" customFormat="1" ht="12.75" customHeight="1" x14ac:dyDescent="0.2">
      <c r="A21" s="126"/>
      <c r="B21" s="126"/>
      <c r="C21" s="61" t="s">
        <v>1918</v>
      </c>
      <c r="D21" s="61"/>
      <c r="E21" s="61"/>
      <c r="F21" s="61"/>
      <c r="G21" s="126"/>
    </row>
    <row r="22" spans="1:7" s="126" customFormat="1" ht="12.75" customHeight="1" x14ac:dyDescent="0.2">
      <c r="A22" s="118"/>
      <c r="B22" s="103"/>
      <c r="C22" s="61"/>
      <c r="D22" s="61"/>
      <c r="E22" s="61"/>
      <c r="F22" s="61"/>
    </row>
    <row r="23" spans="1:7" s="126" customFormat="1" ht="12.75" customHeight="1" x14ac:dyDescent="0.2">
      <c r="C23" s="61"/>
      <c r="F23" s="61"/>
    </row>
    <row r="24" spans="1:7" s="126" customFormat="1" ht="12.75" customHeight="1" x14ac:dyDescent="0.2">
      <c r="A24" s="140"/>
      <c r="B24" s="103"/>
      <c r="C24" s="61"/>
      <c r="D24" s="61"/>
      <c r="E24" s="61"/>
      <c r="F24" s="61"/>
    </row>
    <row r="25" spans="1:7" s="126" customFormat="1" ht="12.75" customHeight="1" x14ac:dyDescent="0.2">
      <c r="A25" s="140"/>
      <c r="B25" s="142"/>
      <c r="C25" s="61"/>
      <c r="D25" s="61"/>
      <c r="E25" s="61"/>
      <c r="F25" s="61"/>
    </row>
    <row r="26" spans="1:7" s="120" customFormat="1" ht="12.75" customHeight="1" x14ac:dyDescent="0.2">
      <c r="A26" s="118"/>
      <c r="B26" s="103"/>
      <c r="C26" s="61"/>
      <c r="D26" s="91"/>
      <c r="E26" s="91"/>
      <c r="F26" s="91"/>
    </row>
    <row r="27" spans="1:7" s="120" customFormat="1" ht="12.75" customHeight="1" x14ac:dyDescent="0.3">
      <c r="A27" s="91"/>
      <c r="B27" s="91"/>
      <c r="C27" s="61"/>
      <c r="D27" s="91"/>
      <c r="E27" s="91"/>
      <c r="F27" s="91"/>
      <c r="G27" s="37"/>
    </row>
    <row r="28" spans="1:7" ht="12.75" customHeight="1" x14ac:dyDescent="0.3">
      <c r="A28" s="91"/>
      <c r="B28" s="91"/>
      <c r="C28" s="61"/>
      <c r="D28" s="91"/>
      <c r="E28" s="91"/>
      <c r="F28" s="91"/>
    </row>
    <row r="29" spans="1:7" s="38" customFormat="1" ht="12.75" customHeight="1" x14ac:dyDescent="0.2">
      <c r="A29" s="52"/>
      <c r="B29" s="52"/>
      <c r="C29" s="52"/>
      <c r="D29" s="52"/>
      <c r="E29" s="52"/>
      <c r="F29" s="52"/>
      <c r="G29" s="55"/>
    </row>
    <row r="30" spans="1:7" s="38" customFormat="1" ht="12.75" customHeight="1" x14ac:dyDescent="0.2">
      <c r="A30" s="118"/>
      <c r="B30" s="103"/>
      <c r="C30" s="61"/>
      <c r="D30" s="61"/>
      <c r="E30" s="61"/>
      <c r="F30" s="61"/>
      <c r="G30" s="55"/>
    </row>
    <row r="31" spans="1:7" s="38" customFormat="1" ht="12.75" customHeight="1" x14ac:dyDescent="0.2">
      <c r="A31" s="118"/>
      <c r="B31" s="103"/>
      <c r="C31" s="61"/>
      <c r="D31" s="61"/>
      <c r="E31" s="61"/>
      <c r="F31" s="61"/>
      <c r="G31" s="55"/>
    </row>
    <row r="32" spans="1:7" s="38" customFormat="1" ht="15.75" customHeight="1" thickBot="1" x14ac:dyDescent="0.25">
      <c r="A32" s="131"/>
      <c r="B32" s="126"/>
      <c r="C32" s="126"/>
      <c r="D32" s="126"/>
      <c r="E32" s="126"/>
      <c r="F32" s="132">
        <f>SUM(F18:F31)</f>
        <v>2000</v>
      </c>
      <c r="G32" s="55"/>
    </row>
    <row r="33" spans="1:7" s="38" customFormat="1" ht="12.75" customHeight="1" thickTop="1" x14ac:dyDescent="0.2">
      <c r="A33" s="131"/>
      <c r="B33" s="126"/>
      <c r="C33" s="126"/>
      <c r="D33" s="126"/>
      <c r="E33" s="126"/>
      <c r="F33" s="126"/>
      <c r="G33" s="55"/>
    </row>
    <row r="34" spans="1:7" ht="20.100000000000001" customHeight="1" x14ac:dyDescent="0.3">
      <c r="A34" s="96" t="s">
        <v>122</v>
      </c>
      <c r="B34" s="96" t="s">
        <v>1635</v>
      </c>
      <c r="C34" s="121"/>
      <c r="D34" s="121"/>
      <c r="E34" s="121"/>
      <c r="F34" s="121"/>
    </row>
    <row r="35" spans="1:7" ht="12.75" customHeight="1" x14ac:dyDescent="0.3">
      <c r="A35" s="122"/>
    </row>
    <row r="36" spans="1:7" ht="12.75" customHeight="1" x14ac:dyDescent="0.3">
      <c r="D36" s="218" t="s">
        <v>3975</v>
      </c>
      <c r="E36" s="219"/>
      <c r="F36" s="220"/>
    </row>
    <row r="37" spans="1:7" ht="12.75" customHeight="1" x14ac:dyDescent="0.3"/>
    <row r="38" spans="1:7" ht="12.75" customHeight="1" x14ac:dyDescent="0.3"/>
    <row r="39" spans="1:7" x14ac:dyDescent="0.3">
      <c r="A39" s="120" t="s">
        <v>10</v>
      </c>
      <c r="D39" s="227"/>
      <c r="E39" s="227"/>
      <c r="F39" s="227"/>
    </row>
    <row r="40" spans="1:7" x14ac:dyDescent="0.3">
      <c r="A40" s="119"/>
      <c r="D40" s="228"/>
      <c r="E40" s="229"/>
      <c r="F40" s="229"/>
    </row>
    <row r="41" spans="1:7" ht="12.75" customHeight="1" x14ac:dyDescent="0.3">
      <c r="A41" s="37"/>
      <c r="F41" s="125"/>
    </row>
    <row r="42" spans="1:7" ht="12.75" customHeight="1" x14ac:dyDescent="0.3">
      <c r="A42" s="123"/>
      <c r="B42" s="124"/>
      <c r="F42" s="125"/>
    </row>
    <row r="43" spans="1:7" ht="12.75" customHeight="1" x14ac:dyDescent="0.3">
      <c r="A43" s="119"/>
    </row>
    <row r="44" spans="1:7" ht="12.75" customHeight="1" x14ac:dyDescent="0.3">
      <c r="A44" s="119" t="s">
        <v>8</v>
      </c>
      <c r="D44" s="119" t="s">
        <v>7</v>
      </c>
    </row>
    <row r="45" spans="1:7" ht="12.75" customHeight="1" x14ac:dyDescent="0.3">
      <c r="A45" s="119"/>
    </row>
    <row r="46" spans="1:7" ht="12.75" customHeight="1" x14ac:dyDescent="0.3">
      <c r="A46" s="119"/>
    </row>
    <row r="47" spans="1:7" s="38" customFormat="1" ht="12.75" customHeight="1" x14ac:dyDescent="0.2">
      <c r="A47" s="119"/>
      <c r="B47" s="120"/>
      <c r="C47" s="120"/>
      <c r="D47" s="120"/>
      <c r="E47" s="126"/>
      <c r="F47" s="126"/>
    </row>
    <row r="48" spans="1:7" ht="12.75" customHeight="1" x14ac:dyDescent="0.3">
      <c r="A48" s="123"/>
      <c r="B48" s="124"/>
      <c r="D48" s="124"/>
      <c r="E48" s="124"/>
      <c r="F48" s="124"/>
    </row>
    <row r="49" spans="1:4" ht="12.75" customHeight="1" x14ac:dyDescent="0.3">
      <c r="A49" s="127" t="s">
        <v>4066</v>
      </c>
      <c r="B49" s="128"/>
      <c r="C49" s="126"/>
      <c r="D49" s="126" t="s">
        <v>3</v>
      </c>
    </row>
    <row r="50" spans="1:4" ht="12.75" customHeight="1" x14ac:dyDescent="0.3">
      <c r="A50" s="119"/>
      <c r="D50" s="120" t="s">
        <v>2</v>
      </c>
    </row>
    <row r="51" spans="1:4" ht="12.75" customHeight="1" x14ac:dyDescent="0.3"/>
    <row r="52" spans="1:4" ht="12.75" customHeight="1" x14ac:dyDescent="0.3">
      <c r="D52" s="89" t="s">
        <v>1</v>
      </c>
    </row>
    <row r="53" spans="1:4" ht="12.75" customHeight="1" x14ac:dyDescent="0.3">
      <c r="D53" s="89" t="s">
        <v>0</v>
      </c>
    </row>
    <row r="54" spans="1:4" ht="12.75" customHeight="1" x14ac:dyDescent="0.3"/>
    <row r="55" spans="1:4" ht="12.75" customHeight="1" x14ac:dyDescent="0.3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Sheet97">
    <pageSetUpPr fitToPage="1"/>
  </sheetPr>
  <dimension ref="A1:F49"/>
  <sheetViews>
    <sheetView topLeftCell="A22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3.42578125" style="91" customWidth="1"/>
    <col min="3" max="3" width="21" style="91" customWidth="1"/>
    <col min="4" max="4" width="16.42578125" style="91" customWidth="1"/>
    <col min="5" max="5" width="8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1870</v>
      </c>
      <c r="D9" s="92" t="s">
        <v>1317</v>
      </c>
      <c r="E9" s="91" t="s">
        <v>1839</v>
      </c>
    </row>
    <row r="10" spans="1:6" x14ac:dyDescent="0.2">
      <c r="A10" s="91" t="s">
        <v>1841</v>
      </c>
      <c r="D10" s="92" t="s">
        <v>1329</v>
      </c>
      <c r="E10" s="105" t="s">
        <v>1838</v>
      </c>
    </row>
    <row r="11" spans="1:6" x14ac:dyDescent="0.2">
      <c r="A11" s="91" t="s">
        <v>1842</v>
      </c>
      <c r="D11" s="92" t="s">
        <v>1330</v>
      </c>
      <c r="E11" s="92" t="s">
        <v>1220</v>
      </c>
    </row>
    <row r="12" spans="1:6" x14ac:dyDescent="0.2">
      <c r="A12" s="91" t="s">
        <v>1843</v>
      </c>
      <c r="D12" s="92" t="s">
        <v>1331</v>
      </c>
      <c r="E12" s="92" t="s">
        <v>1840</v>
      </c>
    </row>
    <row r="13" spans="1:6" x14ac:dyDescent="0.2">
      <c r="A13" s="91" t="s">
        <v>1844</v>
      </c>
    </row>
    <row r="14" spans="1:6" x14ac:dyDescent="0.2">
      <c r="A14" s="91" t="s">
        <v>1845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1846</v>
      </c>
    </row>
    <row r="19" spans="1:6" x14ac:dyDescent="0.2">
      <c r="A19" s="93"/>
      <c r="B19" s="94"/>
    </row>
    <row r="20" spans="1:6" x14ac:dyDescent="0.2">
      <c r="A20" s="137" t="s">
        <v>1847</v>
      </c>
      <c r="B20" s="93" t="s">
        <v>1414</v>
      </c>
      <c r="C20" s="91" t="s">
        <v>1848</v>
      </c>
      <c r="F20" s="91">
        <v>3960</v>
      </c>
    </row>
    <row r="21" spans="1:6" x14ac:dyDescent="0.2">
      <c r="A21" s="93"/>
      <c r="B21" s="94"/>
      <c r="C21" s="91" t="s">
        <v>1849</v>
      </c>
    </row>
    <row r="22" spans="1:6" x14ac:dyDescent="0.2">
      <c r="A22" s="106"/>
      <c r="C22" s="91" t="s">
        <v>1850</v>
      </c>
    </row>
    <row r="23" spans="1:6" x14ac:dyDescent="0.2">
      <c r="A23" s="93"/>
      <c r="B23" s="94"/>
      <c r="C23" s="91" t="s">
        <v>1851</v>
      </c>
    </row>
    <row r="24" spans="1:6" x14ac:dyDescent="0.2">
      <c r="A24" s="106"/>
      <c r="C24" s="91" t="s">
        <v>1852</v>
      </c>
    </row>
    <row r="25" spans="1:6" x14ac:dyDescent="0.2">
      <c r="C25" s="91" t="s">
        <v>1853</v>
      </c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SUM(F18:F28)</f>
        <v>3960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1854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73">
    <pageSetUpPr fitToPage="1"/>
  </sheetPr>
  <dimension ref="A1:H52"/>
  <sheetViews>
    <sheetView workbookViewId="0">
      <selection activeCell="G9" sqref="G9:G12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0.7109375" style="91" customWidth="1"/>
    <col min="4" max="4" width="21" style="91" customWidth="1"/>
    <col min="5" max="5" width="0.425781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7555</v>
      </c>
    </row>
    <row r="10" spans="1:8" x14ac:dyDescent="0.2">
      <c r="A10" s="91" t="s">
        <v>5657</v>
      </c>
      <c r="F10" s="92" t="s">
        <v>1444</v>
      </c>
      <c r="G10" s="92" t="s">
        <v>7556</v>
      </c>
    </row>
    <row r="11" spans="1:8" x14ac:dyDescent="0.2">
      <c r="A11" s="91" t="s">
        <v>5658</v>
      </c>
      <c r="F11" s="92" t="s">
        <v>1431</v>
      </c>
      <c r="G11" s="92" t="s">
        <v>1220</v>
      </c>
    </row>
    <row r="12" spans="1:8" x14ac:dyDescent="0.2">
      <c r="A12" s="91" t="s">
        <v>5659</v>
      </c>
      <c r="F12" s="92" t="s">
        <v>1268</v>
      </c>
      <c r="G12" s="92" t="s">
        <v>7554</v>
      </c>
    </row>
    <row r="13" spans="1:8" x14ac:dyDescent="0.2">
      <c r="A13" s="91" t="s">
        <v>1834</v>
      </c>
    </row>
    <row r="16" spans="1:8" s="14" customFormat="1" ht="20.100000000000001" customHeight="1" x14ac:dyDescent="0.2">
      <c r="A16" s="17" t="s">
        <v>1261</v>
      </c>
      <c r="B16" s="31" t="s">
        <v>1262</v>
      </c>
      <c r="C16" s="40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11" t="s">
        <v>7436</v>
      </c>
      <c r="B18" s="93" t="s">
        <v>7557</v>
      </c>
      <c r="C18" s="93"/>
      <c r="D18" s="91" t="s">
        <v>7558</v>
      </c>
      <c r="H18" s="110">
        <v>5000</v>
      </c>
    </row>
    <row r="19" spans="1:8" x14ac:dyDescent="0.2">
      <c r="D19" s="91" t="s">
        <v>5660</v>
      </c>
      <c r="H19" s="110">
        <v>150</v>
      </c>
    </row>
    <row r="20" spans="1:8" x14ac:dyDescent="0.2">
      <c r="A20" s="111"/>
      <c r="B20" s="93"/>
      <c r="C20" s="93"/>
      <c r="D20" s="91" t="s">
        <v>6886</v>
      </c>
      <c r="H20" s="110">
        <f>SUM(H18+H19)*6%</f>
        <v>309</v>
      </c>
    </row>
    <row r="21" spans="1:8" x14ac:dyDescent="0.2">
      <c r="D21" s="94"/>
      <c r="E21" s="94"/>
    </row>
    <row r="24" spans="1:8" x14ac:dyDescent="0.2">
      <c r="A24" s="108"/>
      <c r="B24" s="94"/>
      <c r="C24" s="94"/>
      <c r="D24" s="2"/>
      <c r="E24" s="2"/>
      <c r="H24" s="110"/>
    </row>
    <row r="25" spans="1:8" x14ac:dyDescent="0.2">
      <c r="A25" s="109"/>
      <c r="B25" s="94"/>
      <c r="C25" s="94"/>
      <c r="D25" s="2"/>
      <c r="E25" s="2"/>
      <c r="H25" s="110"/>
    </row>
    <row r="26" spans="1:8" x14ac:dyDescent="0.2">
      <c r="A26" s="111"/>
      <c r="B26" s="94"/>
      <c r="C26" s="94"/>
    </row>
    <row r="27" spans="1:8" x14ac:dyDescent="0.2">
      <c r="A27" s="108"/>
    </row>
    <row r="28" spans="1:8" x14ac:dyDescent="0.2">
      <c r="A28" s="108"/>
    </row>
    <row r="33" spans="1:8" ht="13.5" thickBot="1" x14ac:dyDescent="0.25">
      <c r="H33" s="95">
        <f>SUM(H18:H31)</f>
        <v>5459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Thousand Four Hundred Fifty-Nine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 t="s">
        <v>11</v>
      </c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121</v>
      </c>
      <c r="D40" s="99"/>
      <c r="E40" s="408"/>
      <c r="F40" s="228"/>
      <c r="G40" s="229"/>
      <c r="H40" s="229"/>
    </row>
    <row r="41" spans="1:8" x14ac:dyDescent="0.2">
      <c r="A41" s="101"/>
      <c r="B41" s="101"/>
      <c r="C41" s="386"/>
    </row>
    <row r="43" spans="1:8" x14ac:dyDescent="0.2">
      <c r="A43" s="98" t="s">
        <v>8</v>
      </c>
      <c r="D43" s="98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61" customFormat="1" ht="17.100000000000001" customHeight="1" x14ac:dyDescent="0.2">
      <c r="A48" s="103" t="s">
        <v>4066</v>
      </c>
      <c r="B48" s="104"/>
      <c r="C48" s="104"/>
      <c r="D48" s="103" t="s">
        <v>50</v>
      </c>
      <c r="F48" s="61" t="s">
        <v>3</v>
      </c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Sheet9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1690</v>
      </c>
      <c r="D9" s="92" t="s">
        <v>1393</v>
      </c>
      <c r="E9" s="91" t="s">
        <v>1679</v>
      </c>
    </row>
    <row r="10" spans="1:6" x14ac:dyDescent="0.2">
      <c r="A10" s="91" t="s">
        <v>1681</v>
      </c>
      <c r="D10" s="92" t="s">
        <v>1356</v>
      </c>
      <c r="E10" s="92" t="s">
        <v>1672</v>
      </c>
    </row>
    <row r="11" spans="1:6" x14ac:dyDescent="0.2">
      <c r="A11" s="91" t="s">
        <v>1682</v>
      </c>
      <c r="D11" s="92" t="s">
        <v>1364</v>
      </c>
      <c r="E11" s="92" t="s">
        <v>1220</v>
      </c>
    </row>
    <row r="12" spans="1:6" x14ac:dyDescent="0.2">
      <c r="A12" s="91" t="s">
        <v>1683</v>
      </c>
      <c r="D12" s="92" t="s">
        <v>1394</v>
      </c>
      <c r="E12" s="92" t="s">
        <v>1680</v>
      </c>
    </row>
    <row r="13" spans="1:6" x14ac:dyDescent="0.2">
      <c r="A13" s="91" t="s">
        <v>1561</v>
      </c>
    </row>
    <row r="14" spans="1:6" x14ac:dyDescent="0.2">
      <c r="A14" s="91" t="s">
        <v>1684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1685</v>
      </c>
    </row>
    <row r="19" spans="1:6" x14ac:dyDescent="0.2">
      <c r="A19" s="111"/>
      <c r="B19" s="93"/>
    </row>
    <row r="20" spans="1:6" x14ac:dyDescent="0.2">
      <c r="A20" s="111" t="s">
        <v>1686</v>
      </c>
      <c r="B20" s="93" t="s">
        <v>1687</v>
      </c>
      <c r="C20" s="91" t="s">
        <v>1688</v>
      </c>
      <c r="F20" s="91">
        <v>600</v>
      </c>
    </row>
    <row r="21" spans="1:6" x14ac:dyDescent="0.2">
      <c r="A21" s="111"/>
      <c r="B21" s="93"/>
      <c r="C21" s="91" t="s">
        <v>1689</v>
      </c>
    </row>
    <row r="22" spans="1:6" x14ac:dyDescent="0.2">
      <c r="A22" s="109"/>
      <c r="B22" s="99"/>
    </row>
    <row r="23" spans="1:6" x14ac:dyDescent="0.2">
      <c r="A23" s="109"/>
      <c r="B23" s="93"/>
    </row>
    <row r="24" spans="1:6" x14ac:dyDescent="0.2">
      <c r="A24" s="109"/>
      <c r="B24" s="93"/>
    </row>
    <row r="25" spans="1:6" x14ac:dyDescent="0.2">
      <c r="A25" s="109"/>
      <c r="B25" s="93"/>
    </row>
    <row r="26" spans="1:6" x14ac:dyDescent="0.2">
      <c r="A26" s="109"/>
      <c r="B26" s="99"/>
    </row>
    <row r="27" spans="1:6" x14ac:dyDescent="0.2">
      <c r="A27" s="109"/>
      <c r="B27" s="99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107">
        <f>SUM(F18:F31)</f>
        <v>600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1326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Sheet99"/>
  <dimension ref="A1:P5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7109375" style="91" customWidth="1"/>
    <col min="4" max="4" width="18.5703125" style="91" customWidth="1"/>
    <col min="5" max="5" width="0.5703125" style="91" customWidth="1"/>
    <col min="6" max="6" width="16.42578125" style="91" customWidth="1"/>
    <col min="7" max="7" width="9" style="91" customWidth="1"/>
    <col min="8" max="8" width="13.28515625" style="91" customWidth="1"/>
    <col min="9" max="12" width="9.140625" style="1"/>
    <col min="13" max="13" width="20" style="1" customWidth="1"/>
    <col min="14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4" x14ac:dyDescent="0.2">
      <c r="A8" s="91" t="s">
        <v>32</v>
      </c>
      <c r="F8" s="22" t="s">
        <v>31</v>
      </c>
      <c r="I8" s="1" t="s">
        <v>8731</v>
      </c>
      <c r="J8" s="1">
        <v>43888</v>
      </c>
      <c r="K8" s="1" t="s">
        <v>8730</v>
      </c>
    </row>
    <row r="9" spans="1:14" x14ac:dyDescent="0.2">
      <c r="A9" s="91" t="s">
        <v>2786</v>
      </c>
      <c r="F9" s="92" t="s">
        <v>1317</v>
      </c>
      <c r="G9" s="155" t="s">
        <v>8731</v>
      </c>
    </row>
    <row r="10" spans="1:14" x14ac:dyDescent="0.2">
      <c r="A10" s="91" t="s">
        <v>2787</v>
      </c>
      <c r="F10" s="92" t="s">
        <v>1329</v>
      </c>
      <c r="G10" s="155" t="s">
        <v>8732</v>
      </c>
    </row>
    <row r="11" spans="1:14" x14ac:dyDescent="0.2">
      <c r="A11" s="91" t="s">
        <v>2109</v>
      </c>
      <c r="F11" s="92" t="s">
        <v>1330</v>
      </c>
      <c r="G11" s="155" t="s">
        <v>1220</v>
      </c>
    </row>
    <row r="12" spans="1:14" x14ac:dyDescent="0.2">
      <c r="A12" s="91" t="s">
        <v>2788</v>
      </c>
      <c r="F12" s="92" t="s">
        <v>1331</v>
      </c>
      <c r="G12" s="94" t="s">
        <v>8730</v>
      </c>
    </row>
    <row r="13" spans="1:14" x14ac:dyDescent="0.2">
      <c r="G13" s="153" t="s">
        <v>7762</v>
      </c>
    </row>
    <row r="15" spans="1:14" x14ac:dyDescent="0.2">
      <c r="K15" s="91" t="s">
        <v>4424</v>
      </c>
      <c r="L15" s="91"/>
      <c r="M15" s="91"/>
      <c r="N15" s="91">
        <f>12*3</f>
        <v>36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424"/>
      <c r="D16" s="18" t="s">
        <v>19</v>
      </c>
      <c r="E16" s="18"/>
      <c r="F16" s="17"/>
      <c r="G16" s="16"/>
      <c r="H16" s="15" t="s">
        <v>18</v>
      </c>
      <c r="K16" s="91" t="s">
        <v>4429</v>
      </c>
      <c r="L16" s="91"/>
      <c r="M16" s="91"/>
      <c r="N16" s="91">
        <f>12*2</f>
        <v>24</v>
      </c>
    </row>
    <row r="17" spans="1:15" x14ac:dyDescent="0.2">
      <c r="A17" s="106"/>
      <c r="K17" s="91" t="s">
        <v>4894</v>
      </c>
      <c r="L17" s="91"/>
      <c r="M17" s="91"/>
      <c r="N17" s="91">
        <f>24*1</f>
        <v>24</v>
      </c>
    </row>
    <row r="18" spans="1:15" x14ac:dyDescent="0.2">
      <c r="D18" s="2" t="s">
        <v>8733</v>
      </c>
      <c r="E18" s="2"/>
      <c r="K18" s="91" t="s">
        <v>4895</v>
      </c>
      <c r="L18" s="91"/>
      <c r="M18" s="91"/>
      <c r="N18" s="91">
        <f>12*1</f>
        <v>12</v>
      </c>
    </row>
    <row r="19" spans="1:15" x14ac:dyDescent="0.2">
      <c r="A19" s="106"/>
      <c r="D19" s="2"/>
      <c r="E19" s="2"/>
      <c r="K19" s="91" t="s">
        <v>4896</v>
      </c>
      <c r="L19" s="91"/>
      <c r="M19" s="91"/>
      <c r="N19" s="91">
        <f>31.2*1</f>
        <v>31.2</v>
      </c>
    </row>
    <row r="20" spans="1:15" x14ac:dyDescent="0.2">
      <c r="A20" s="93" t="s">
        <v>8541</v>
      </c>
      <c r="B20" s="93" t="s">
        <v>8734</v>
      </c>
      <c r="C20" s="93"/>
      <c r="D20" s="91" t="s">
        <v>8735</v>
      </c>
      <c r="H20" s="91">
        <f>16*1</f>
        <v>16</v>
      </c>
    </row>
    <row r="21" spans="1:15" x14ac:dyDescent="0.2">
      <c r="A21" s="93"/>
      <c r="B21" s="94"/>
      <c r="C21" s="94"/>
      <c r="D21" s="91" t="s">
        <v>8736</v>
      </c>
      <c r="H21" s="91">
        <f>16*2</f>
        <v>32</v>
      </c>
      <c r="K21" s="91" t="s">
        <v>4422</v>
      </c>
      <c r="L21" s="91"/>
      <c r="M21" s="91"/>
      <c r="N21" s="91">
        <f>12*1</f>
        <v>12</v>
      </c>
    </row>
    <row r="22" spans="1:15" x14ac:dyDescent="0.2">
      <c r="A22" s="93"/>
      <c r="B22" s="94"/>
      <c r="C22" s="94"/>
      <c r="D22" s="91" t="s">
        <v>8737</v>
      </c>
      <c r="H22" s="91">
        <f>12*2</f>
        <v>24</v>
      </c>
      <c r="K22" s="91" t="s">
        <v>4429</v>
      </c>
      <c r="L22" s="91"/>
      <c r="M22" s="91"/>
      <c r="N22" s="91">
        <v>12</v>
      </c>
    </row>
    <row r="23" spans="1:15" x14ac:dyDescent="0.2">
      <c r="D23" s="91" t="s">
        <v>6184</v>
      </c>
      <c r="H23" s="91">
        <v>31.2</v>
      </c>
      <c r="K23" s="91" t="s">
        <v>4423</v>
      </c>
      <c r="L23" s="91"/>
      <c r="M23" s="91"/>
      <c r="N23" s="91">
        <f>24*1</f>
        <v>24</v>
      </c>
    </row>
    <row r="24" spans="1:15" x14ac:dyDescent="0.2">
      <c r="D24" s="91" t="s">
        <v>8738</v>
      </c>
      <c r="E24" s="2"/>
      <c r="H24" s="91">
        <v>31.2</v>
      </c>
      <c r="K24" s="91" t="s">
        <v>4303</v>
      </c>
      <c r="L24" s="91"/>
      <c r="M24" s="91"/>
      <c r="N24" s="91">
        <f>12*1</f>
        <v>12</v>
      </c>
    </row>
    <row r="25" spans="1:15" x14ac:dyDescent="0.2">
      <c r="A25" s="137"/>
      <c r="B25" s="99"/>
      <c r="C25" s="425"/>
      <c r="K25" s="91"/>
      <c r="L25" s="91"/>
      <c r="M25" s="91"/>
      <c r="N25" s="91"/>
    </row>
    <row r="26" spans="1:15" x14ac:dyDescent="0.2">
      <c r="A26" s="93"/>
      <c r="B26" s="93"/>
      <c r="C26" s="93"/>
      <c r="K26" s="91" t="s">
        <v>4428</v>
      </c>
      <c r="L26" s="91"/>
      <c r="M26" s="91"/>
      <c r="N26" s="91">
        <f>24*2</f>
        <v>48</v>
      </c>
    </row>
    <row r="27" spans="1:15" x14ac:dyDescent="0.2">
      <c r="A27" s="93"/>
      <c r="B27" s="94"/>
      <c r="C27" s="94"/>
      <c r="K27" s="91" t="s">
        <v>4424</v>
      </c>
      <c r="L27" s="91"/>
      <c r="M27" s="91"/>
      <c r="N27" s="91">
        <f>12*3</f>
        <v>36</v>
      </c>
    </row>
    <row r="28" spans="1:15" x14ac:dyDescent="0.2">
      <c r="K28" s="91" t="s">
        <v>4425</v>
      </c>
      <c r="L28" s="91"/>
      <c r="M28" s="91"/>
      <c r="N28" s="91">
        <f>12*2</f>
        <v>24</v>
      </c>
    </row>
    <row r="29" spans="1:15" x14ac:dyDescent="0.2">
      <c r="K29" s="91" t="s">
        <v>4426</v>
      </c>
      <c r="L29" s="91"/>
      <c r="M29" s="91"/>
      <c r="N29" s="91">
        <f>12*3</f>
        <v>36</v>
      </c>
    </row>
    <row r="30" spans="1:15" x14ac:dyDescent="0.2">
      <c r="K30" s="91" t="s">
        <v>4427</v>
      </c>
      <c r="L30" s="91"/>
      <c r="M30" s="91"/>
      <c r="N30" s="91">
        <f>12*2</f>
        <v>24</v>
      </c>
    </row>
    <row r="31" spans="1:15" x14ac:dyDescent="0.2">
      <c r="A31" s="106"/>
      <c r="K31" s="91" t="s">
        <v>5466</v>
      </c>
      <c r="L31" s="93"/>
      <c r="N31" s="91">
        <f>24*1</f>
        <v>24</v>
      </c>
      <c r="O31" s="91"/>
    </row>
    <row r="32" spans="1:15" x14ac:dyDescent="0.2">
      <c r="A32" s="93"/>
      <c r="B32" s="93"/>
      <c r="C32" s="93"/>
      <c r="K32" s="91" t="s">
        <v>4422</v>
      </c>
      <c r="L32" s="94"/>
      <c r="N32" s="91">
        <f>12*1</f>
        <v>12</v>
      </c>
      <c r="O32" s="91"/>
    </row>
    <row r="33" spans="1:16" x14ac:dyDescent="0.2">
      <c r="A33" s="106"/>
      <c r="K33" s="91" t="s">
        <v>5465</v>
      </c>
      <c r="L33" s="94"/>
      <c r="N33" s="91">
        <f>16*4</f>
        <v>64</v>
      </c>
      <c r="O33" s="91"/>
    </row>
    <row r="34" spans="1:16" ht="13.5" thickBot="1" x14ac:dyDescent="0.25">
      <c r="A34" s="106"/>
      <c r="H34" s="107">
        <f>SUM(H19:H33)</f>
        <v>134.4</v>
      </c>
      <c r="K34" s="91" t="s">
        <v>4895</v>
      </c>
      <c r="L34" s="91"/>
      <c r="N34" s="91">
        <v>12</v>
      </c>
      <c r="O34" s="91"/>
    </row>
    <row r="35" spans="1:16" ht="13.5" thickTop="1" x14ac:dyDescent="0.2">
      <c r="A35" s="106"/>
      <c r="H35" s="238"/>
      <c r="K35" s="91" t="s">
        <v>4303</v>
      </c>
      <c r="L35" s="99"/>
      <c r="N35" s="91">
        <v>12</v>
      </c>
      <c r="O35" s="91"/>
    </row>
    <row r="36" spans="1:16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Hundred Thirty-Four and 40/100 -----------</v>
      </c>
      <c r="C36" s="185"/>
      <c r="D36" s="97"/>
      <c r="E36" s="97"/>
      <c r="F36" s="206"/>
      <c r="G36" s="206"/>
      <c r="H36" s="206"/>
      <c r="K36" s="91"/>
      <c r="L36" s="91"/>
      <c r="M36" s="91"/>
      <c r="N36" s="91"/>
      <c r="O36" s="91"/>
      <c r="P36" s="91"/>
    </row>
    <row r="37" spans="1:16" x14ac:dyDescent="0.2">
      <c r="A37" s="94"/>
    </row>
    <row r="38" spans="1:16" ht="25.5" x14ac:dyDescent="0.2">
      <c r="A38" s="91" t="s">
        <v>10</v>
      </c>
      <c r="F38" s="218" t="s">
        <v>3975</v>
      </c>
      <c r="G38" s="219"/>
      <c r="H38" s="220"/>
    </row>
    <row r="39" spans="1:16" x14ac:dyDescent="0.2">
      <c r="F39" s="227"/>
      <c r="G39" s="227"/>
      <c r="H39" s="227"/>
    </row>
    <row r="40" spans="1:16" x14ac:dyDescent="0.2">
      <c r="F40" s="228"/>
      <c r="G40" s="229"/>
      <c r="H40" s="229"/>
    </row>
    <row r="41" spans="1:16" x14ac:dyDescent="0.2">
      <c r="A41" s="1"/>
    </row>
    <row r="42" spans="1:16" x14ac:dyDescent="0.2">
      <c r="A42" s="101"/>
      <c r="B42" s="101"/>
      <c r="C42" s="386"/>
    </row>
    <row r="44" spans="1:16" x14ac:dyDescent="0.2">
      <c r="A44" s="91" t="s">
        <v>8</v>
      </c>
      <c r="D44" s="91" t="s">
        <v>8</v>
      </c>
      <c r="F44" s="98" t="s">
        <v>7</v>
      </c>
      <c r="H44" s="102"/>
    </row>
    <row r="48" spans="1:16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topLeftCell="A13">
      <selection activeCell="B28" sqref="B28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Sheet307">
    <pageSetUpPr fitToPage="1"/>
  </sheetPr>
  <dimension ref="A1:F50"/>
  <sheetViews>
    <sheetView topLeftCell="A16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3568</v>
      </c>
    </row>
    <row r="10" spans="1:6" x14ac:dyDescent="0.2">
      <c r="A10" s="91" t="s">
        <v>3058</v>
      </c>
      <c r="D10" s="92" t="s">
        <v>1329</v>
      </c>
      <c r="E10" s="92" t="s">
        <v>3576</v>
      </c>
    </row>
    <row r="11" spans="1:6" x14ac:dyDescent="0.2">
      <c r="A11" s="91" t="s">
        <v>3059</v>
      </c>
      <c r="D11" s="92" t="s">
        <v>1330</v>
      </c>
      <c r="E11" s="92" t="s">
        <v>1220</v>
      </c>
    </row>
    <row r="12" spans="1:6" x14ac:dyDescent="0.2">
      <c r="A12" s="91" t="s">
        <v>3060</v>
      </c>
      <c r="D12" s="92" t="s">
        <v>1331</v>
      </c>
      <c r="E12" s="92" t="s">
        <v>3569</v>
      </c>
    </row>
    <row r="13" spans="1:6" x14ac:dyDescent="0.2">
      <c r="A13" s="91" t="s">
        <v>1611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3061</v>
      </c>
    </row>
    <row r="19" spans="1:6" x14ac:dyDescent="0.2">
      <c r="A19" s="106"/>
      <c r="C19" s="2"/>
    </row>
    <row r="20" spans="1:6" x14ac:dyDescent="0.2">
      <c r="A20" s="93" t="s">
        <v>3570</v>
      </c>
      <c r="B20" s="99" t="s">
        <v>3571</v>
      </c>
      <c r="C20" s="91" t="s">
        <v>3572</v>
      </c>
      <c r="F20" s="91">
        <v>5000</v>
      </c>
    </row>
    <row r="21" spans="1:6" x14ac:dyDescent="0.2">
      <c r="A21" s="93"/>
      <c r="B21" s="94"/>
    </row>
    <row r="22" spans="1:6" x14ac:dyDescent="0.2">
      <c r="A22" s="93"/>
      <c r="B22" s="94"/>
      <c r="C22" s="91" t="s">
        <v>3573</v>
      </c>
      <c r="F22" s="91">
        <v>3500</v>
      </c>
    </row>
    <row r="23" spans="1:6" x14ac:dyDescent="0.2">
      <c r="A23" s="106"/>
      <c r="C23" s="91" t="s">
        <v>3574</v>
      </c>
    </row>
    <row r="24" spans="1:6" x14ac:dyDescent="0.2">
      <c r="A24" s="106"/>
    </row>
    <row r="25" spans="1:6" x14ac:dyDescent="0.2">
      <c r="A25" s="93"/>
      <c r="B25" s="99"/>
    </row>
    <row r="26" spans="1:6" x14ac:dyDescent="0.2">
      <c r="A26" s="93"/>
      <c r="B26" s="93"/>
    </row>
    <row r="28" spans="1:6" x14ac:dyDescent="0.2">
      <c r="A28" s="1"/>
    </row>
    <row r="29" spans="1:6" x14ac:dyDescent="0.2">
      <c r="A29" s="1"/>
    </row>
    <row r="30" spans="1:6" x14ac:dyDescent="0.2">
      <c r="A30" s="106"/>
    </row>
    <row r="31" spans="1:6" ht="13.5" thickBot="1" x14ac:dyDescent="0.25">
      <c r="A31" s="106"/>
      <c r="F31" s="107">
        <f>SUM(F19:F30)</f>
        <v>8500</v>
      </c>
    </row>
    <row r="32" spans="1:6" ht="13.5" thickTop="1" x14ac:dyDescent="0.2">
      <c r="A32" s="106"/>
    </row>
    <row r="33" spans="1:6" ht="20.100000000000001" customHeight="1" x14ac:dyDescent="0.2">
      <c r="A33" s="96" t="s">
        <v>1248</v>
      </c>
      <c r="B33" s="185" t="s">
        <v>3575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91" t="s">
        <v>120</v>
      </c>
      <c r="C39" s="99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5" spans="1:6" x14ac:dyDescent="0.2">
      <c r="A45" s="101" t="s">
        <v>120</v>
      </c>
      <c r="B45" s="101"/>
      <c r="D45" s="101"/>
      <c r="E45" s="101"/>
      <c r="F45" s="101"/>
    </row>
    <row r="46" spans="1:6" s="3" customFormat="1" ht="17.100000000000001" customHeight="1" x14ac:dyDescent="0.2">
      <c r="A46" s="61" t="s">
        <v>35</v>
      </c>
      <c r="B46" s="104"/>
      <c r="C46" s="61"/>
      <c r="D46" s="61" t="s">
        <v>3</v>
      </c>
      <c r="E46" s="61"/>
      <c r="F46" s="61"/>
    </row>
    <row r="47" spans="1:6" x14ac:dyDescent="0.2">
      <c r="A47" s="91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Sheet100">
    <pageSetUpPr fitToPage="1"/>
  </sheetPr>
  <dimension ref="A1:F53"/>
  <sheetViews>
    <sheetView topLeftCell="A16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4491</v>
      </c>
    </row>
    <row r="10" spans="1:6" x14ac:dyDescent="0.2">
      <c r="A10" s="91" t="s">
        <v>1398</v>
      </c>
      <c r="D10" s="92" t="s">
        <v>1356</v>
      </c>
      <c r="E10" s="92" t="s">
        <v>4486</v>
      </c>
    </row>
    <row r="11" spans="1:6" x14ac:dyDescent="0.2">
      <c r="A11" s="91" t="s">
        <v>1399</v>
      </c>
      <c r="D11" s="92" t="s">
        <v>1364</v>
      </c>
      <c r="E11" s="92" t="s">
        <v>1220</v>
      </c>
    </row>
    <row r="12" spans="1:6" x14ac:dyDescent="0.2">
      <c r="D12" s="92" t="s">
        <v>1394</v>
      </c>
      <c r="E12" s="92" t="s">
        <v>4483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4442</v>
      </c>
    </row>
    <row r="19" spans="1:6" x14ac:dyDescent="0.2">
      <c r="B19" s="93"/>
      <c r="C19" s="2"/>
    </row>
    <row r="20" spans="1:6" x14ac:dyDescent="0.2">
      <c r="A20" s="109"/>
      <c r="B20" s="99"/>
      <c r="C20" s="91" t="s">
        <v>4443</v>
      </c>
    </row>
    <row r="21" spans="1:6" x14ac:dyDescent="0.2">
      <c r="A21" s="109"/>
      <c r="B21" s="93"/>
      <c r="C21" s="91" t="s">
        <v>4444</v>
      </c>
    </row>
    <row r="22" spans="1:6" x14ac:dyDescent="0.2">
      <c r="A22" s="109"/>
      <c r="B22" s="99"/>
      <c r="C22" s="2"/>
    </row>
    <row r="23" spans="1:6" x14ac:dyDescent="0.2">
      <c r="A23" s="136"/>
      <c r="B23" s="93"/>
      <c r="C23" s="91" t="s">
        <v>4445</v>
      </c>
      <c r="F23" s="91">
        <f>6500*5/2</f>
        <v>16250</v>
      </c>
    </row>
    <row r="24" spans="1:6" x14ac:dyDescent="0.2">
      <c r="A24" s="109"/>
      <c r="B24" s="93"/>
    </row>
    <row r="25" spans="1:6" x14ac:dyDescent="0.2">
      <c r="A25" s="109"/>
      <c r="B25" s="93"/>
    </row>
    <row r="26" spans="1:6" x14ac:dyDescent="0.2">
      <c r="A26" s="109"/>
      <c r="B26" s="99"/>
    </row>
    <row r="27" spans="1:6" x14ac:dyDescent="0.2">
      <c r="A27" s="109"/>
      <c r="B27" s="99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  <c r="B31" s="99"/>
    </row>
    <row r="32" spans="1:6" x14ac:dyDescent="0.2">
      <c r="A32" s="109"/>
      <c r="B32" s="99"/>
    </row>
    <row r="33" spans="1:6" x14ac:dyDescent="0.2">
      <c r="A33" s="109"/>
    </row>
    <row r="34" spans="1:6" ht="13.5" thickBot="1" x14ac:dyDescent="0.25">
      <c r="A34" s="109"/>
      <c r="F34" s="107">
        <f>SUM(F18:F33)</f>
        <v>16250</v>
      </c>
    </row>
    <row r="35" spans="1:6" ht="13.5" thickTop="1" x14ac:dyDescent="0.2">
      <c r="A35" s="109"/>
    </row>
    <row r="36" spans="1:6" ht="20.100000000000001" customHeight="1" x14ac:dyDescent="0.2">
      <c r="A36" s="96" t="s">
        <v>122</v>
      </c>
      <c r="B36" s="96" t="s">
        <v>1400</v>
      </c>
      <c r="C36" s="97"/>
      <c r="D36" s="97"/>
      <c r="E36" s="97"/>
      <c r="F36" s="97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40" spans="1:6" x14ac:dyDescent="0.2">
      <c r="D40" s="227"/>
      <c r="E40" s="227"/>
      <c r="F40" s="227"/>
    </row>
    <row r="41" spans="1:6" x14ac:dyDescent="0.2">
      <c r="A41" s="91" t="s">
        <v>120</v>
      </c>
      <c r="C41" s="99"/>
      <c r="D41" s="228"/>
      <c r="E41" s="229"/>
      <c r="F41" s="229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91" t="s">
        <v>4066</v>
      </c>
      <c r="B49" s="104"/>
      <c r="D49" s="61" t="s">
        <v>3</v>
      </c>
    </row>
    <row r="50" spans="1:4" x14ac:dyDescent="0.2"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Sheet101">
    <pageSetUpPr fitToPage="1"/>
  </sheetPr>
  <dimension ref="A1:I55"/>
  <sheetViews>
    <sheetView topLeftCell="A4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91" t="s">
        <v>8850</v>
      </c>
      <c r="I9" s="61"/>
    </row>
    <row r="10" spans="1:9" x14ac:dyDescent="0.2">
      <c r="A10" s="91" t="s">
        <v>1383</v>
      </c>
      <c r="F10" s="92" t="s">
        <v>1335</v>
      </c>
      <c r="G10" s="92" t="s">
        <v>8852</v>
      </c>
      <c r="I10" s="113"/>
    </row>
    <row r="11" spans="1:9" x14ac:dyDescent="0.2">
      <c r="A11" s="91" t="s">
        <v>1384</v>
      </c>
      <c r="F11" s="92" t="s">
        <v>1333</v>
      </c>
      <c r="G11" s="92" t="s">
        <v>1220</v>
      </c>
      <c r="I11" s="113"/>
    </row>
    <row r="12" spans="1:9" x14ac:dyDescent="0.2">
      <c r="A12" s="91" t="s">
        <v>1385</v>
      </c>
      <c r="F12" s="92" t="s">
        <v>1331</v>
      </c>
      <c r="G12" s="92" t="s">
        <v>8851</v>
      </c>
      <c r="I12" s="113"/>
    </row>
    <row r="13" spans="1:9" x14ac:dyDescent="0.2">
      <c r="A13" s="91" t="s">
        <v>1386</v>
      </c>
      <c r="G13" s="91" t="s">
        <v>7931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 t="s">
        <v>8853</v>
      </c>
      <c r="B18" s="93" t="s">
        <v>8854</v>
      </c>
      <c r="D18" s="91" t="s">
        <v>8855</v>
      </c>
      <c r="H18" s="91">
        <v>1890</v>
      </c>
    </row>
    <row r="19" spans="1:8" x14ac:dyDescent="0.2">
      <c r="A19" s="93"/>
      <c r="B19" s="93"/>
      <c r="C19" s="93"/>
    </row>
    <row r="20" spans="1:8" x14ac:dyDescent="0.2">
      <c r="A20" s="93" t="s">
        <v>8853</v>
      </c>
      <c r="B20" s="93" t="s">
        <v>8856</v>
      </c>
      <c r="D20" s="91" t="s">
        <v>8857</v>
      </c>
      <c r="H20" s="91">
        <f>0.85*2000</f>
        <v>1700</v>
      </c>
    </row>
    <row r="22" spans="1:8" x14ac:dyDescent="0.2">
      <c r="A22" s="93"/>
      <c r="B22" s="93"/>
    </row>
    <row r="23" spans="1:8" x14ac:dyDescent="0.2">
      <c r="A23" s="93"/>
      <c r="B23" s="93"/>
    </row>
    <row r="24" spans="1:8" x14ac:dyDescent="0.2">
      <c r="A24" s="93"/>
      <c r="B24" s="93"/>
    </row>
    <row r="25" spans="1:8" x14ac:dyDescent="0.2">
      <c r="A25" s="93"/>
      <c r="B25" s="93"/>
    </row>
    <row r="26" spans="1:8" x14ac:dyDescent="0.2">
      <c r="A26" s="111"/>
      <c r="B26" s="93"/>
      <c r="C26" s="93"/>
      <c r="H26" s="110"/>
    </row>
    <row r="27" spans="1:8" x14ac:dyDescent="0.2">
      <c r="A27" s="111"/>
      <c r="B27" s="93"/>
      <c r="C27" s="93"/>
      <c r="D27" s="2"/>
      <c r="H27" s="110"/>
    </row>
    <row r="28" spans="1:8" x14ac:dyDescent="0.2">
      <c r="A28" s="111"/>
      <c r="B28" s="93"/>
      <c r="C28" s="93"/>
      <c r="H28" s="110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09"/>
      <c r="B34" s="99"/>
      <c r="C34" s="99"/>
    </row>
    <row r="36" spans="1:8" ht="13.5" thickBot="1" x14ac:dyDescent="0.25">
      <c r="H36" s="107">
        <f>SUM(H18:H34)</f>
        <v>3590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Five Hundred Ninety and NO/100 -----------</v>
      </c>
      <c r="C38" s="185"/>
      <c r="D38" s="97"/>
      <c r="E38" s="97"/>
      <c r="F38" s="97"/>
      <c r="G38" s="97"/>
      <c r="H38" s="97"/>
    </row>
    <row r="39" spans="1:8" ht="20.100000000000001" customHeight="1" x14ac:dyDescent="0.2">
      <c r="A39" s="113"/>
      <c r="B39" s="103"/>
      <c r="C39" s="103"/>
      <c r="D39" s="61"/>
      <c r="E39" s="61"/>
      <c r="F39" s="61"/>
      <c r="G39" s="61"/>
      <c r="H39" s="61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99"/>
      <c r="E42" s="99"/>
    </row>
    <row r="43" spans="1:8" x14ac:dyDescent="0.2">
      <c r="A43" s="91" t="s">
        <v>121</v>
      </c>
      <c r="D43" s="99"/>
      <c r="E43" s="99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 topLeftCell="A4">
      <selection activeCell="D29" sqref="D2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Sheet17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1334</v>
      </c>
      <c r="E9" s="91" t="s">
        <v>2930</v>
      </c>
    </row>
    <row r="10" spans="1:6" x14ac:dyDescent="0.2">
      <c r="A10" s="91" t="s">
        <v>1383</v>
      </c>
      <c r="D10" s="92" t="s">
        <v>1335</v>
      </c>
      <c r="E10" s="92" t="s">
        <v>2908</v>
      </c>
    </row>
    <row r="11" spans="1:6" x14ac:dyDescent="0.2">
      <c r="A11" s="91" t="s">
        <v>1384</v>
      </c>
      <c r="D11" s="92" t="s">
        <v>1333</v>
      </c>
      <c r="E11" s="92" t="s">
        <v>1220</v>
      </c>
    </row>
    <row r="12" spans="1:6" x14ac:dyDescent="0.2">
      <c r="A12" s="91" t="s">
        <v>1385</v>
      </c>
      <c r="D12" s="92" t="s">
        <v>1331</v>
      </c>
      <c r="E12" s="92" t="s">
        <v>2931</v>
      </c>
    </row>
    <row r="13" spans="1:6" x14ac:dyDescent="0.2">
      <c r="A13" s="91" t="s">
        <v>1386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2932</v>
      </c>
    </row>
    <row r="19" spans="1:6" x14ac:dyDescent="0.2">
      <c r="A19" s="93"/>
      <c r="B19" s="111"/>
      <c r="C19" s="2"/>
    </row>
    <row r="20" spans="1:6" x14ac:dyDescent="0.2">
      <c r="A20" s="93" t="s">
        <v>2918</v>
      </c>
      <c r="B20" s="111" t="s">
        <v>2933</v>
      </c>
      <c r="C20" s="91" t="s">
        <v>2934</v>
      </c>
      <c r="F20" s="94">
        <v>1200</v>
      </c>
    </row>
    <row r="21" spans="1:6" x14ac:dyDescent="0.2">
      <c r="A21" s="93"/>
      <c r="B21" s="111"/>
      <c r="C21" s="91" t="s">
        <v>2935</v>
      </c>
    </row>
    <row r="22" spans="1:6" x14ac:dyDescent="0.2">
      <c r="A22" s="93"/>
      <c r="B22" s="111"/>
    </row>
    <row r="23" spans="1:6" x14ac:dyDescent="0.2">
      <c r="A23" s="93"/>
      <c r="B23" s="111"/>
    </row>
    <row r="24" spans="1:6" x14ac:dyDescent="0.2">
      <c r="A24" s="111"/>
      <c r="B24" s="93"/>
      <c r="F24" s="151"/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8" spans="1:6" x14ac:dyDescent="0.2">
      <c r="A28" s="108"/>
    </row>
    <row r="29" spans="1:6" x14ac:dyDescent="0.2">
      <c r="A29" s="111"/>
      <c r="B29" s="93"/>
      <c r="F29" s="110"/>
    </row>
    <row r="30" spans="1:6" x14ac:dyDescent="0.2">
      <c r="A30" s="93"/>
      <c r="B30" s="93"/>
    </row>
    <row r="32" spans="1:6" ht="13.5" thickBot="1" x14ac:dyDescent="0.25">
      <c r="F32" s="95">
        <f>SUM(F18:F31)</f>
        <v>1200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2936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Sheet1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924</v>
      </c>
    </row>
    <row r="10" spans="1:6" x14ac:dyDescent="0.2">
      <c r="A10" s="1" t="s">
        <v>923</v>
      </c>
      <c r="D10" s="20" t="s">
        <v>27</v>
      </c>
      <c r="E10" s="20" t="s">
        <v>922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921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21"/>
    </row>
    <row r="21" spans="1:6" x14ac:dyDescent="0.2">
      <c r="C21" s="21"/>
    </row>
    <row r="23" spans="1:6" x14ac:dyDescent="0.2">
      <c r="A23" s="1" t="s">
        <v>920</v>
      </c>
      <c r="C23" s="1" t="s">
        <v>919</v>
      </c>
      <c r="F23" s="1">
        <v>320</v>
      </c>
    </row>
    <row r="24" spans="1:6" x14ac:dyDescent="0.2">
      <c r="C24" s="1" t="s">
        <v>918</v>
      </c>
    </row>
    <row r="26" spans="1:6" x14ac:dyDescent="0.2">
      <c r="C26" s="21"/>
    </row>
    <row r="27" spans="1:6" x14ac:dyDescent="0.2">
      <c r="C27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SUM(F19:F32)</f>
        <v>320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917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Sheet18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881</v>
      </c>
    </row>
    <row r="10" spans="1:6" x14ac:dyDescent="0.2">
      <c r="A10" s="1" t="s">
        <v>880</v>
      </c>
      <c r="D10" s="20" t="s">
        <v>27</v>
      </c>
      <c r="E10" s="20" t="s">
        <v>879</v>
      </c>
    </row>
    <row r="11" spans="1:6" x14ac:dyDescent="0.2">
      <c r="A11" s="1" t="s">
        <v>878</v>
      </c>
      <c r="D11" s="20" t="s">
        <v>24</v>
      </c>
      <c r="E11" s="20" t="s">
        <v>23</v>
      </c>
    </row>
    <row r="12" spans="1:6" x14ac:dyDescent="0.2">
      <c r="A12" s="1" t="s">
        <v>877</v>
      </c>
      <c r="D12" s="20" t="s">
        <v>22</v>
      </c>
      <c r="E12" s="19" t="s">
        <v>876</v>
      </c>
    </row>
    <row r="13" spans="1:6" x14ac:dyDescent="0.2">
      <c r="A13" s="1" t="s">
        <v>875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874</v>
      </c>
    </row>
    <row r="21" spans="1:6" x14ac:dyDescent="0.2">
      <c r="C21" s="13" t="s">
        <v>873</v>
      </c>
    </row>
    <row r="22" spans="1:6" x14ac:dyDescent="0.2">
      <c r="C22" s="21"/>
    </row>
    <row r="23" spans="1:6" x14ac:dyDescent="0.2">
      <c r="A23" s="1" t="s">
        <v>872</v>
      </c>
      <c r="C23" s="1" t="s">
        <v>871</v>
      </c>
      <c r="F23" s="1">
        <v>800</v>
      </c>
    </row>
    <row r="25" spans="1:6" x14ac:dyDescent="0.2">
      <c r="C25" s="21"/>
    </row>
    <row r="26" spans="1:6" x14ac:dyDescent="0.2">
      <c r="C26" s="21"/>
    </row>
    <row r="27" spans="1:6" x14ac:dyDescent="0.2">
      <c r="C27" s="21"/>
      <c r="F27" s="13"/>
    </row>
    <row r="28" spans="1:6" x14ac:dyDescent="0.2">
      <c r="B28" s="8"/>
    </row>
    <row r="29" spans="1:6" x14ac:dyDescent="0.2">
      <c r="B29" s="8"/>
    </row>
    <row r="31" spans="1:6" ht="13.5" thickBot="1" x14ac:dyDescent="0.25">
      <c r="F31" s="25">
        <f>SUM(F19:F30)</f>
        <v>800</v>
      </c>
    </row>
    <row r="32" spans="1:6" ht="13.5" thickTop="1" x14ac:dyDescent="0.2"/>
    <row r="33" spans="1:6" ht="20.100000000000001" customHeight="1" x14ac:dyDescent="0.2">
      <c r="A33" s="10" t="s">
        <v>422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Sheet7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740</v>
      </c>
    </row>
    <row r="10" spans="1:6" x14ac:dyDescent="0.2">
      <c r="A10" s="1" t="s">
        <v>739</v>
      </c>
      <c r="D10" s="20" t="s">
        <v>27</v>
      </c>
      <c r="E10" s="20" t="s">
        <v>173</v>
      </c>
    </row>
    <row r="11" spans="1:6" x14ac:dyDescent="0.2">
      <c r="A11" s="1" t="s">
        <v>738</v>
      </c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737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C18" s="13" t="s">
        <v>736</v>
      </c>
    </row>
    <row r="19" spans="1:6" x14ac:dyDescent="0.2">
      <c r="C19" s="21"/>
    </row>
    <row r="20" spans="1:6" x14ac:dyDescent="0.2">
      <c r="A20" s="1" t="s">
        <v>735</v>
      </c>
      <c r="C20" s="21" t="s">
        <v>734</v>
      </c>
      <c r="F20" s="1">
        <v>655</v>
      </c>
    </row>
    <row r="21" spans="1:6" x14ac:dyDescent="0.2">
      <c r="A21" s="1" t="s">
        <v>733</v>
      </c>
      <c r="C21" s="21" t="s">
        <v>732</v>
      </c>
      <c r="F21" s="1">
        <v>430</v>
      </c>
    </row>
    <row r="22" spans="1:6" x14ac:dyDescent="0.2">
      <c r="A22" s="1" t="s">
        <v>731</v>
      </c>
      <c r="C22" s="21" t="s">
        <v>730</v>
      </c>
      <c r="F22" s="1">
        <v>677</v>
      </c>
    </row>
    <row r="23" spans="1:6" x14ac:dyDescent="0.2">
      <c r="A23" s="1" t="s">
        <v>729</v>
      </c>
      <c r="C23" s="21" t="s">
        <v>728</v>
      </c>
      <c r="F23" s="1">
        <v>635</v>
      </c>
    </row>
    <row r="24" spans="1:6" x14ac:dyDescent="0.2">
      <c r="A24" s="1" t="s">
        <v>727</v>
      </c>
      <c r="C24" s="21" t="s">
        <v>726</v>
      </c>
      <c r="F24" s="1">
        <v>625</v>
      </c>
    </row>
    <row r="25" spans="1:6" x14ac:dyDescent="0.2">
      <c r="C25" s="21"/>
    </row>
    <row r="26" spans="1:6" x14ac:dyDescent="0.2">
      <c r="A26" s="1" t="s">
        <v>725</v>
      </c>
      <c r="C26" s="21" t="s">
        <v>724</v>
      </c>
      <c r="F26" s="1">
        <v>638</v>
      </c>
    </row>
    <row r="27" spans="1:6" x14ac:dyDescent="0.2">
      <c r="A27" s="1" t="s">
        <v>723</v>
      </c>
      <c r="C27" s="21" t="s">
        <v>722</v>
      </c>
      <c r="F27" s="1">
        <v>710</v>
      </c>
    </row>
    <row r="28" spans="1:6" x14ac:dyDescent="0.2">
      <c r="A28" s="1" t="s">
        <v>721</v>
      </c>
      <c r="C28" s="21" t="s">
        <v>720</v>
      </c>
      <c r="F28" s="1">
        <v>673</v>
      </c>
    </row>
    <row r="29" spans="1:6" x14ac:dyDescent="0.2">
      <c r="A29" s="1" t="s">
        <v>719</v>
      </c>
      <c r="C29" s="21" t="s">
        <v>718</v>
      </c>
      <c r="F29" s="1">
        <v>635</v>
      </c>
    </row>
    <row r="30" spans="1:6" x14ac:dyDescent="0.2">
      <c r="A30" s="1" t="s">
        <v>717</v>
      </c>
      <c r="C30" s="21" t="s">
        <v>716</v>
      </c>
      <c r="F30" s="1">
        <v>700</v>
      </c>
    </row>
    <row r="32" spans="1:6" ht="13.5" thickBot="1" x14ac:dyDescent="0.25">
      <c r="F32" s="11">
        <f>SUM(F18:F31)</f>
        <v>6378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715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Sheet1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870</v>
      </c>
    </row>
    <row r="10" spans="1:6" x14ac:dyDescent="0.2">
      <c r="A10" s="1" t="s">
        <v>869</v>
      </c>
      <c r="D10" s="20" t="s">
        <v>27</v>
      </c>
      <c r="E10" s="20" t="s">
        <v>48</v>
      </c>
    </row>
    <row r="11" spans="1:6" x14ac:dyDescent="0.2">
      <c r="A11" s="1" t="s">
        <v>868</v>
      </c>
      <c r="D11" s="20" t="s">
        <v>24</v>
      </c>
      <c r="E11" s="20" t="s">
        <v>23</v>
      </c>
    </row>
    <row r="12" spans="1:6" x14ac:dyDescent="0.2">
      <c r="A12" s="1" t="s">
        <v>867</v>
      </c>
      <c r="D12" s="20" t="s">
        <v>22</v>
      </c>
      <c r="E12" s="19" t="s">
        <v>866</v>
      </c>
    </row>
    <row r="13" spans="1:6" x14ac:dyDescent="0.2">
      <c r="A13" s="1" t="s">
        <v>865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8" spans="1:6" x14ac:dyDescent="0.2">
      <c r="C18" s="21"/>
    </row>
    <row r="19" spans="1:6" x14ac:dyDescent="0.2">
      <c r="C19" s="13" t="s">
        <v>864</v>
      </c>
    </row>
    <row r="20" spans="1:6" x14ac:dyDescent="0.2">
      <c r="C20" s="13" t="s">
        <v>863</v>
      </c>
    </row>
    <row r="22" spans="1:6" x14ac:dyDescent="0.2">
      <c r="A22" s="1" t="s">
        <v>862</v>
      </c>
      <c r="C22" s="1" t="s">
        <v>861</v>
      </c>
      <c r="F22" s="1">
        <v>4000</v>
      </c>
    </row>
    <row r="23" spans="1:6" x14ac:dyDescent="0.2">
      <c r="C23" s="1" t="s">
        <v>860</v>
      </c>
    </row>
    <row r="25" spans="1:6" x14ac:dyDescent="0.2">
      <c r="A25" s="8" t="s">
        <v>859</v>
      </c>
      <c r="C25" s="1" t="s">
        <v>858</v>
      </c>
      <c r="F25" s="1">
        <v>3000</v>
      </c>
    </row>
    <row r="26" spans="1:6" x14ac:dyDescent="0.2">
      <c r="C26" s="1" t="s">
        <v>857</v>
      </c>
    </row>
    <row r="27" spans="1:6" x14ac:dyDescent="0.2">
      <c r="C27" s="1" t="s">
        <v>856</v>
      </c>
    </row>
    <row r="32" spans="1:6" ht="13.5" thickBot="1" x14ac:dyDescent="0.25">
      <c r="F32" s="11">
        <f>SUM(F19:F31)</f>
        <v>7000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855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65">
    <pageSetUpPr fitToPage="1"/>
  </sheetPr>
  <dimension ref="A1:H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0.85546875" style="91" customWidth="1"/>
    <col min="4" max="4" width="21" style="91" customWidth="1"/>
    <col min="5" max="5" width="1.28515625" style="91" customWidth="1"/>
    <col min="6" max="6" width="16.42578125" style="91" customWidth="1"/>
    <col min="7" max="7" width="12.5703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5632</v>
      </c>
      <c r="F9" s="92" t="s">
        <v>1358</v>
      </c>
      <c r="G9" s="91" t="s">
        <v>5630</v>
      </c>
    </row>
    <row r="10" spans="1:8" x14ac:dyDescent="0.2">
      <c r="A10" s="91" t="s">
        <v>5633</v>
      </c>
      <c r="F10" s="92" t="s">
        <v>1357</v>
      </c>
      <c r="G10" s="92" t="s">
        <v>5628</v>
      </c>
    </row>
    <row r="11" spans="1:8" x14ac:dyDescent="0.2">
      <c r="A11" s="91" t="s">
        <v>5634</v>
      </c>
      <c r="F11" s="92" t="s">
        <v>1330</v>
      </c>
      <c r="G11" s="92" t="s">
        <v>1220</v>
      </c>
    </row>
    <row r="12" spans="1:8" x14ac:dyDescent="0.2">
      <c r="A12" s="91" t="s">
        <v>4477</v>
      </c>
      <c r="F12" s="92" t="s">
        <v>1224</v>
      </c>
      <c r="G12" s="92" t="s">
        <v>5631</v>
      </c>
    </row>
    <row r="13" spans="1:8" x14ac:dyDescent="0.2">
      <c r="A13" s="91" t="s">
        <v>5635</v>
      </c>
    </row>
    <row r="14" spans="1:8" x14ac:dyDescent="0.2">
      <c r="A14" s="91" t="s">
        <v>5636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B18" s="99"/>
      <c r="C18" s="99"/>
      <c r="D18" s="91" t="s">
        <v>5637</v>
      </c>
      <c r="E18" s="2"/>
      <c r="H18" s="91">
        <v>47169.81</v>
      </c>
    </row>
    <row r="19" spans="1:8" x14ac:dyDescent="0.2">
      <c r="B19" s="93"/>
      <c r="C19" s="93"/>
      <c r="D19" s="91" t="s">
        <v>2147</v>
      </c>
      <c r="H19" s="91">
        <f>H18*6%</f>
        <v>2830.1886</v>
      </c>
    </row>
    <row r="20" spans="1:8" x14ac:dyDescent="0.2">
      <c r="A20" s="93"/>
      <c r="B20" s="93"/>
      <c r="C20" s="93"/>
    </row>
    <row r="21" spans="1:8" x14ac:dyDescent="0.2">
      <c r="D21" s="191"/>
      <c r="E21" s="191"/>
    </row>
    <row r="22" spans="1:8" x14ac:dyDescent="0.2">
      <c r="B22" s="93"/>
      <c r="C22" s="93"/>
      <c r="H22" s="94"/>
    </row>
    <row r="23" spans="1:8" x14ac:dyDescent="0.2">
      <c r="B23" s="99"/>
      <c r="C23" s="99"/>
    </row>
    <row r="24" spans="1:8" x14ac:dyDescent="0.2">
      <c r="B24" s="99"/>
      <c r="C24" s="99"/>
    </row>
    <row r="25" spans="1:8" x14ac:dyDescent="0.2">
      <c r="B25" s="99"/>
      <c r="C25" s="99"/>
    </row>
    <row r="26" spans="1:8" x14ac:dyDescent="0.2">
      <c r="B26" s="99"/>
      <c r="C26" s="99"/>
    </row>
    <row r="27" spans="1:8" x14ac:dyDescent="0.2">
      <c r="B27" s="93"/>
      <c r="C27" s="93"/>
    </row>
    <row r="28" spans="1:8" x14ac:dyDescent="0.2">
      <c r="B28" s="99"/>
      <c r="C28" s="99"/>
    </row>
    <row r="29" spans="1:8" x14ac:dyDescent="0.2">
      <c r="B29" s="99"/>
      <c r="C29" s="99"/>
      <c r="H29" s="2"/>
    </row>
    <row r="30" spans="1:8" x14ac:dyDescent="0.2">
      <c r="B30" s="93"/>
      <c r="C30" s="93"/>
    </row>
    <row r="31" spans="1:8" x14ac:dyDescent="0.2">
      <c r="B31" s="94"/>
      <c r="C31" s="94"/>
    </row>
    <row r="33" spans="1:8" ht="13.5" thickBot="1" x14ac:dyDescent="0.25">
      <c r="H33" s="95">
        <f>SUM(H18:H32)</f>
        <v>49999.998599999999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Forty-Nine Thousand Nine Hundred Ninety-Nine and 100/100 -----------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  <c r="H36" s="209"/>
    </row>
    <row r="37" spans="1:8" ht="25.5" x14ac:dyDescent="0.2">
      <c r="A37" s="98" t="s">
        <v>10</v>
      </c>
      <c r="F37" s="218" t="s">
        <v>3975</v>
      </c>
      <c r="G37" s="219"/>
      <c r="H37" s="220"/>
    </row>
    <row r="38" spans="1:8" x14ac:dyDescent="0.2">
      <c r="A38" s="98"/>
    </row>
    <row r="39" spans="1:8" x14ac:dyDescent="0.2">
      <c r="A39" s="98"/>
    </row>
    <row r="40" spans="1:8" x14ac:dyDescent="0.2">
      <c r="A40" s="98"/>
    </row>
    <row r="41" spans="1:8" x14ac:dyDescent="0.2">
      <c r="A41" s="100"/>
      <c r="B41" s="101"/>
      <c r="D41" s="99"/>
      <c r="E41" s="99"/>
      <c r="F41" s="227"/>
      <c r="G41" s="227"/>
      <c r="H41" s="227"/>
    </row>
    <row r="42" spans="1:8" x14ac:dyDescent="0.2">
      <c r="A42" s="98"/>
      <c r="F42" s="228"/>
      <c r="G42" s="229"/>
      <c r="H42" s="229"/>
    </row>
    <row r="43" spans="1:8" x14ac:dyDescent="0.2">
      <c r="A43" s="91" t="s">
        <v>8</v>
      </c>
      <c r="D43" s="91" t="s">
        <v>8</v>
      </c>
    </row>
    <row r="44" spans="1:8" x14ac:dyDescent="0.2">
      <c r="A44" s="98"/>
      <c r="D44" s="98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100"/>
      <c r="B47" s="101"/>
      <c r="D47" s="100"/>
      <c r="F47" s="101"/>
      <c r="G47" s="101"/>
      <c r="H47" s="101"/>
    </row>
    <row r="48" spans="1:8" s="61" customFormat="1" ht="17.100000000000001" customHeight="1" x14ac:dyDescent="0.2">
      <c r="A48" s="103" t="s">
        <v>4066</v>
      </c>
      <c r="B48" s="104"/>
      <c r="C48" s="104"/>
      <c r="D48" s="103" t="s">
        <v>50</v>
      </c>
      <c r="F48" s="61" t="s">
        <v>3</v>
      </c>
    </row>
    <row r="49" spans="1:6" x14ac:dyDescent="0.2">
      <c r="A49" s="98"/>
      <c r="D49" s="98"/>
      <c r="F49" s="91" t="s">
        <v>2</v>
      </c>
    </row>
    <row r="50" spans="1:6" x14ac:dyDescent="0.2">
      <c r="A50" s="98"/>
    </row>
    <row r="51" spans="1:6" x14ac:dyDescent="0.2">
      <c r="F51" s="2" t="s">
        <v>1</v>
      </c>
    </row>
    <row r="52" spans="1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Sheet57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365</v>
      </c>
    </row>
    <row r="10" spans="1:6" x14ac:dyDescent="0.2">
      <c r="A10" s="1" t="s">
        <v>364</v>
      </c>
      <c r="D10" s="20" t="s">
        <v>27</v>
      </c>
      <c r="E10" s="20" t="s">
        <v>275</v>
      </c>
    </row>
    <row r="11" spans="1:6" x14ac:dyDescent="0.2">
      <c r="A11" s="1" t="s">
        <v>363</v>
      </c>
      <c r="D11" s="20" t="s">
        <v>24</v>
      </c>
      <c r="E11" s="20" t="s">
        <v>23</v>
      </c>
    </row>
    <row r="12" spans="1:6" x14ac:dyDescent="0.2">
      <c r="A12" s="1" t="s">
        <v>362</v>
      </c>
      <c r="D12" s="20" t="s">
        <v>22</v>
      </c>
      <c r="E12" s="20" t="s">
        <v>361</v>
      </c>
    </row>
    <row r="13" spans="1:6" x14ac:dyDescent="0.2">
      <c r="A13" s="1" t="s">
        <v>360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1" spans="1:6" x14ac:dyDescent="0.2">
      <c r="C21" s="13" t="s">
        <v>359</v>
      </c>
    </row>
    <row r="22" spans="1:6" x14ac:dyDescent="0.2">
      <c r="C22" s="13" t="s">
        <v>358</v>
      </c>
    </row>
    <row r="23" spans="1:6" x14ac:dyDescent="0.2">
      <c r="C23" s="21"/>
    </row>
    <row r="24" spans="1:6" x14ac:dyDescent="0.2">
      <c r="C24" s="1" t="s">
        <v>357</v>
      </c>
      <c r="F24" s="1">
        <v>5000</v>
      </c>
    </row>
    <row r="26" spans="1:6" x14ac:dyDescent="0.2">
      <c r="C26" s="8"/>
    </row>
    <row r="32" spans="1:6" ht="13.5" thickBot="1" x14ac:dyDescent="0.25">
      <c r="F32" s="11">
        <f>SUM(F19:F31)</f>
        <v>5000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225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Sheet9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547</v>
      </c>
    </row>
    <row r="10" spans="1:6" x14ac:dyDescent="0.2">
      <c r="A10" s="1" t="s">
        <v>546</v>
      </c>
      <c r="D10" s="20" t="s">
        <v>27</v>
      </c>
      <c r="E10" s="20" t="s">
        <v>211</v>
      </c>
    </row>
    <row r="11" spans="1:6" x14ac:dyDescent="0.2">
      <c r="A11" s="1" t="s">
        <v>545</v>
      </c>
      <c r="D11" s="20" t="s">
        <v>24</v>
      </c>
      <c r="E11" s="20" t="s">
        <v>23</v>
      </c>
    </row>
    <row r="12" spans="1:6" x14ac:dyDescent="0.2">
      <c r="A12" s="1" t="s">
        <v>209</v>
      </c>
      <c r="D12" s="20" t="s">
        <v>22</v>
      </c>
      <c r="E12" s="19" t="s">
        <v>544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/>
    </row>
    <row r="20" spans="1:6" x14ac:dyDescent="0.2">
      <c r="C20" s="21"/>
    </row>
    <row r="22" spans="1:6" x14ac:dyDescent="0.2">
      <c r="C22" s="1" t="s">
        <v>543</v>
      </c>
    </row>
    <row r="24" spans="1:6" x14ac:dyDescent="0.2">
      <c r="A24" s="1" t="s">
        <v>542</v>
      </c>
      <c r="C24" s="1" t="s">
        <v>541</v>
      </c>
      <c r="F24" s="1">
        <v>113.28</v>
      </c>
    </row>
    <row r="32" spans="1:6" ht="13.5" thickBot="1" x14ac:dyDescent="0.25">
      <c r="F32" s="11">
        <f>SUM(F18:F31)</f>
        <v>113.28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540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Sheet102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175</v>
      </c>
    </row>
    <row r="10" spans="1:6" x14ac:dyDescent="0.2">
      <c r="A10" s="21" t="s">
        <v>174</v>
      </c>
      <c r="D10" s="20" t="s">
        <v>27</v>
      </c>
      <c r="E10" s="20" t="s">
        <v>173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172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7" spans="1:6" s="14" customFormat="1" x14ac:dyDescent="0.2">
      <c r="A17" s="34"/>
      <c r="B17" s="34"/>
      <c r="C17" s="35"/>
      <c r="D17" s="34"/>
      <c r="E17" s="33"/>
      <c r="F17" s="32"/>
    </row>
    <row r="18" spans="1:6" s="14" customFormat="1" x14ac:dyDescent="0.2">
      <c r="A18" s="34"/>
      <c r="B18" s="34"/>
      <c r="D18" s="34"/>
      <c r="E18" s="33"/>
      <c r="F18" s="32"/>
    </row>
    <row r="19" spans="1:6" x14ac:dyDescent="0.2">
      <c r="C19" s="13" t="s">
        <v>171</v>
      </c>
    </row>
    <row r="20" spans="1:6" x14ac:dyDescent="0.2">
      <c r="C20" s="13" t="s">
        <v>170</v>
      </c>
    </row>
    <row r="21" spans="1:6" x14ac:dyDescent="0.2">
      <c r="A21" s="21"/>
      <c r="C21" s="21"/>
    </row>
    <row r="22" spans="1:6" x14ac:dyDescent="0.2">
      <c r="C22" s="21"/>
    </row>
    <row r="23" spans="1:6" x14ac:dyDescent="0.2">
      <c r="C23" s="21"/>
    </row>
    <row r="24" spans="1:6" x14ac:dyDescent="0.2">
      <c r="A24" s="21"/>
      <c r="C24" s="21"/>
    </row>
    <row r="25" spans="1:6" x14ac:dyDescent="0.2">
      <c r="C25" s="12" t="s">
        <v>169</v>
      </c>
      <c r="F25" s="1">
        <v>26040.5</v>
      </c>
    </row>
    <row r="26" spans="1:6" x14ac:dyDescent="0.2">
      <c r="C26" s="21" t="s">
        <v>168</v>
      </c>
    </row>
    <row r="27" spans="1:6" x14ac:dyDescent="0.2">
      <c r="C27" s="21"/>
    </row>
    <row r="33" spans="1:6" ht="13.5" thickBot="1" x14ac:dyDescent="0.25">
      <c r="F33" s="25">
        <f>SUM(F19:F32)</f>
        <v>26040.5</v>
      </c>
    </row>
    <row r="34" spans="1:6" ht="14.25" thickTop="1" thickBot="1" x14ac:dyDescent="0.25">
      <c r="F34" s="11"/>
    </row>
    <row r="35" spans="1:6" ht="13.5" thickTop="1" x14ac:dyDescent="0.2"/>
    <row r="36" spans="1:6" ht="20.100000000000001" customHeight="1" x14ac:dyDescent="0.2">
      <c r="A36" s="24" t="s">
        <v>167</v>
      </c>
      <c r="B36" s="10"/>
      <c r="C36" s="9"/>
      <c r="D36" s="218" t="s">
        <v>3975</v>
      </c>
      <c r="E36" s="219"/>
      <c r="F36" s="220"/>
    </row>
    <row r="37" spans="1:6" x14ac:dyDescent="0.2">
      <c r="A37" s="8" t="s">
        <v>11</v>
      </c>
    </row>
    <row r="38" spans="1:6" x14ac:dyDescent="0.2">
      <c r="A38" s="8"/>
    </row>
    <row r="39" spans="1:6" x14ac:dyDescent="0.2">
      <c r="A39" s="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4" spans="1:6" x14ac:dyDescent="0.2">
      <c r="A44" s="6" t="s">
        <v>8</v>
      </c>
      <c r="D44" s="6" t="s">
        <v>7</v>
      </c>
      <c r="F44" s="5"/>
    </row>
    <row r="47" spans="1:6" x14ac:dyDescent="0.2">
      <c r="A47" s="1" t="s">
        <v>3972</v>
      </c>
    </row>
    <row r="48" spans="1:6" x14ac:dyDescent="0.2">
      <c r="A48" s="1" t="s">
        <v>6</v>
      </c>
      <c r="D48" s="1" t="s">
        <v>5</v>
      </c>
    </row>
    <row r="49" spans="1:4" s="3" customFormat="1" ht="17.100000000000001" customHeight="1" x14ac:dyDescent="0.2">
      <c r="A49" s="4" t="s">
        <v>4066</v>
      </c>
      <c r="B49" s="4"/>
      <c r="D49" s="3" t="s">
        <v>3</v>
      </c>
    </row>
    <row r="50" spans="1:4" x14ac:dyDescent="0.2">
      <c r="D50" s="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Sheet11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571</v>
      </c>
    </row>
    <row r="10" spans="1:6" x14ac:dyDescent="0.2">
      <c r="A10" s="1" t="s">
        <v>570</v>
      </c>
      <c r="D10" s="20" t="s">
        <v>27</v>
      </c>
      <c r="E10" s="20" t="s">
        <v>526</v>
      </c>
    </row>
    <row r="11" spans="1:6" x14ac:dyDescent="0.2">
      <c r="A11" s="1" t="s">
        <v>569</v>
      </c>
      <c r="D11" s="20" t="s">
        <v>24</v>
      </c>
      <c r="E11" s="20" t="s">
        <v>23</v>
      </c>
    </row>
    <row r="12" spans="1:6" x14ac:dyDescent="0.2">
      <c r="A12" s="1" t="s">
        <v>548</v>
      </c>
      <c r="D12" s="20" t="s">
        <v>22</v>
      </c>
      <c r="E12" s="20" t="s">
        <v>568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21"/>
    </row>
    <row r="20" spans="2:6" x14ac:dyDescent="0.2">
      <c r="C20" s="12"/>
    </row>
    <row r="21" spans="2:6" x14ac:dyDescent="0.2">
      <c r="C21" s="13" t="s">
        <v>567</v>
      </c>
    </row>
    <row r="22" spans="2:6" x14ac:dyDescent="0.2">
      <c r="B22" s="8"/>
    </row>
    <row r="23" spans="2:6" x14ac:dyDescent="0.2">
      <c r="C23" s="1" t="s">
        <v>566</v>
      </c>
      <c r="F23" s="1">
        <v>240</v>
      </c>
    </row>
    <row r="24" spans="2:6" x14ac:dyDescent="0.2">
      <c r="B24" s="8"/>
      <c r="C24" s="1" t="s">
        <v>565</v>
      </c>
      <c r="F24" s="1">
        <v>400</v>
      </c>
    </row>
    <row r="25" spans="2:6" x14ac:dyDescent="0.2">
      <c r="B25" s="8"/>
    </row>
    <row r="26" spans="2:6" x14ac:dyDescent="0.2">
      <c r="C26" s="8"/>
    </row>
    <row r="27" spans="2:6" x14ac:dyDescent="0.2">
      <c r="B27" s="8"/>
    </row>
    <row r="28" spans="2:6" x14ac:dyDescent="0.2">
      <c r="B28" s="8"/>
    </row>
    <row r="32" spans="2:6" ht="13.5" thickBot="1" x14ac:dyDescent="0.25">
      <c r="F32" s="11">
        <f>SUM(F18:F31)</f>
        <v>640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564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Sheet103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1657</v>
      </c>
      <c r="D9" s="92" t="s">
        <v>1317</v>
      </c>
      <c r="E9" s="91" t="s">
        <v>1655</v>
      </c>
    </row>
    <row r="10" spans="1:6" x14ac:dyDescent="0.2">
      <c r="A10" s="91" t="s">
        <v>1658</v>
      </c>
      <c r="D10" s="92" t="s">
        <v>1329</v>
      </c>
      <c r="E10" s="105" t="s">
        <v>1643</v>
      </c>
    </row>
    <row r="11" spans="1:6" x14ac:dyDescent="0.2">
      <c r="A11" s="91" t="s">
        <v>1659</v>
      </c>
      <c r="D11" s="92" t="s">
        <v>1330</v>
      </c>
      <c r="E11" s="92" t="s">
        <v>1220</v>
      </c>
    </row>
    <row r="12" spans="1:6" x14ac:dyDescent="0.2">
      <c r="A12" s="91" t="s">
        <v>1660</v>
      </c>
      <c r="D12" s="92" t="s">
        <v>1331</v>
      </c>
      <c r="E12" s="92" t="s">
        <v>1656</v>
      </c>
    </row>
    <row r="13" spans="1:6" x14ac:dyDescent="0.2">
      <c r="A13" s="91" t="s">
        <v>1661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  <c r="C17" s="2"/>
    </row>
    <row r="18" spans="1:6" x14ac:dyDescent="0.2">
      <c r="A18" s="93"/>
      <c r="B18" s="94"/>
      <c r="C18" s="2" t="s">
        <v>1665</v>
      </c>
    </row>
    <row r="19" spans="1:6" x14ac:dyDescent="0.2">
      <c r="A19" s="93"/>
      <c r="B19" s="93"/>
    </row>
    <row r="20" spans="1:6" x14ac:dyDescent="0.2">
      <c r="A20" s="93" t="s">
        <v>1662</v>
      </c>
      <c r="B20" s="93" t="s">
        <v>1663</v>
      </c>
      <c r="C20" s="91" t="s">
        <v>1664</v>
      </c>
      <c r="F20" s="91">
        <v>200</v>
      </c>
    </row>
    <row r="21" spans="1:6" x14ac:dyDescent="0.2">
      <c r="A21" s="93"/>
      <c r="B21" s="94"/>
    </row>
    <row r="22" spans="1:6" x14ac:dyDescent="0.2">
      <c r="A22" s="106"/>
      <c r="C22" s="91" t="s">
        <v>1666</v>
      </c>
      <c r="F22" s="91">
        <v>300</v>
      </c>
    </row>
    <row r="23" spans="1:6" x14ac:dyDescent="0.2">
      <c r="A23" s="93"/>
      <c r="B23" s="94"/>
    </row>
    <row r="24" spans="1:6" x14ac:dyDescent="0.2">
      <c r="A24" s="106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500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1437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Sheet12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158</v>
      </c>
    </row>
    <row r="10" spans="1:6" x14ac:dyDescent="0.2">
      <c r="A10" s="1" t="s">
        <v>157</v>
      </c>
      <c r="D10" s="20" t="s">
        <v>27</v>
      </c>
      <c r="E10" s="20" t="s">
        <v>156</v>
      </c>
    </row>
    <row r="11" spans="1:6" x14ac:dyDescent="0.2">
      <c r="A11" s="1" t="s">
        <v>155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154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153</v>
      </c>
    </row>
    <row r="20" spans="1:6" x14ac:dyDescent="0.2">
      <c r="C20" s="13" t="s">
        <v>152</v>
      </c>
    </row>
    <row r="23" spans="1:6" x14ac:dyDescent="0.2">
      <c r="A23" s="1" t="s">
        <v>151</v>
      </c>
      <c r="C23" s="1" t="s">
        <v>150</v>
      </c>
      <c r="F23" s="1">
        <v>80.650000000000006</v>
      </c>
    </row>
    <row r="32" spans="1:6" ht="13.5" thickBot="1" x14ac:dyDescent="0.25">
      <c r="F32" s="11">
        <f>SUM(F18:F31)</f>
        <v>80.650000000000006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149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Sheet222">
    <pageSetUpPr fitToPage="1"/>
  </sheetPr>
  <dimension ref="A1:H56"/>
  <sheetViews>
    <sheetView topLeftCell="A4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61" t="s">
        <v>2795</v>
      </c>
      <c r="G9" s="61"/>
    </row>
    <row r="10" spans="1:7" x14ac:dyDescent="0.2">
      <c r="A10" s="91" t="s">
        <v>2300</v>
      </c>
      <c r="D10" s="92" t="s">
        <v>1335</v>
      </c>
      <c r="E10" s="113" t="s">
        <v>2794</v>
      </c>
      <c r="G10" s="113"/>
    </row>
    <row r="11" spans="1:7" x14ac:dyDescent="0.2">
      <c r="A11" s="91" t="s">
        <v>2301</v>
      </c>
      <c r="D11" s="92" t="s">
        <v>1333</v>
      </c>
      <c r="E11" s="113" t="s">
        <v>1220</v>
      </c>
      <c r="G11" s="113"/>
    </row>
    <row r="12" spans="1:7" x14ac:dyDescent="0.2">
      <c r="A12" s="91" t="s">
        <v>2302</v>
      </c>
      <c r="D12" s="92" t="s">
        <v>1331</v>
      </c>
      <c r="E12" s="113" t="s">
        <v>2796</v>
      </c>
      <c r="G12" s="113"/>
    </row>
    <row r="13" spans="1:7" x14ac:dyDescent="0.2">
      <c r="A13" s="91" t="s">
        <v>2303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8" x14ac:dyDescent="0.2">
      <c r="A18" s="93"/>
      <c r="C18" s="2" t="s">
        <v>2797</v>
      </c>
    </row>
    <row r="19" spans="1:8" x14ac:dyDescent="0.2">
      <c r="A19" s="93"/>
      <c r="B19" s="111"/>
      <c r="C19" s="143"/>
    </row>
    <row r="20" spans="1:8" x14ac:dyDescent="0.2">
      <c r="A20" s="93" t="s">
        <v>2773</v>
      </c>
      <c r="B20" s="111" t="s">
        <v>2798</v>
      </c>
      <c r="C20" s="91" t="s">
        <v>2501</v>
      </c>
    </row>
    <row r="21" spans="1:8" x14ac:dyDescent="0.2">
      <c r="A21" s="93"/>
      <c r="B21" s="111"/>
      <c r="C21" s="91" t="s">
        <v>2539</v>
      </c>
      <c r="F21" s="151">
        <v>30</v>
      </c>
    </row>
    <row r="22" spans="1:8" x14ac:dyDescent="0.2">
      <c r="A22" s="93"/>
      <c r="B22" s="111"/>
      <c r="C22" s="91" t="s">
        <v>2540</v>
      </c>
      <c r="F22" s="110">
        <v>60</v>
      </c>
    </row>
    <row r="23" spans="1:8" x14ac:dyDescent="0.2">
      <c r="A23" s="93"/>
      <c r="B23" s="111"/>
      <c r="C23" s="91" t="s">
        <v>1987</v>
      </c>
      <c r="F23" s="91">
        <v>40</v>
      </c>
    </row>
    <row r="24" spans="1:8" x14ac:dyDescent="0.2">
      <c r="A24" s="111"/>
      <c r="B24" s="93"/>
    </row>
    <row r="25" spans="1:8" x14ac:dyDescent="0.2">
      <c r="A25" s="93"/>
      <c r="B25" s="93"/>
      <c r="C25" s="2" t="s">
        <v>2801</v>
      </c>
    </row>
    <row r="26" spans="1:8" x14ac:dyDescent="0.2">
      <c r="A26" s="93"/>
      <c r="B26" s="111"/>
    </row>
    <row r="27" spans="1:8" x14ac:dyDescent="0.2">
      <c r="A27" s="93" t="s">
        <v>2799</v>
      </c>
      <c r="B27" s="93" t="s">
        <v>2800</v>
      </c>
      <c r="C27" s="91" t="s">
        <v>2501</v>
      </c>
    </row>
    <row r="28" spans="1:8" x14ac:dyDescent="0.2">
      <c r="A28" s="93"/>
      <c r="B28" s="111"/>
      <c r="C28" s="91" t="s">
        <v>2802</v>
      </c>
      <c r="F28" s="151">
        <v>50</v>
      </c>
      <c r="G28" s="186"/>
      <c r="H28" s="186"/>
    </row>
    <row r="29" spans="1:8" x14ac:dyDescent="0.2">
      <c r="A29" s="111"/>
      <c r="B29" s="93"/>
      <c r="C29" s="91" t="s">
        <v>2540</v>
      </c>
      <c r="F29" s="110">
        <v>60</v>
      </c>
    </row>
    <row r="30" spans="1:8" x14ac:dyDescent="0.2">
      <c r="A30" s="108"/>
      <c r="C30" s="91" t="s">
        <v>2805</v>
      </c>
      <c r="D30" s="1"/>
      <c r="E30" s="1"/>
      <c r="F30" s="110">
        <v>15</v>
      </c>
    </row>
    <row r="31" spans="1:8" x14ac:dyDescent="0.2">
      <c r="A31" s="108"/>
      <c r="C31" s="91" t="s">
        <v>1987</v>
      </c>
      <c r="F31" s="91">
        <v>40</v>
      </c>
    </row>
    <row r="32" spans="1:8" x14ac:dyDescent="0.2">
      <c r="A32" s="108"/>
    </row>
    <row r="33" spans="1:6" x14ac:dyDescent="0.2">
      <c r="A33" s="93" t="s">
        <v>2799</v>
      </c>
      <c r="B33" s="93" t="s">
        <v>2803</v>
      </c>
      <c r="C33" s="91" t="s">
        <v>2502</v>
      </c>
    </row>
    <row r="34" spans="1:6" ht="13.5" thickBot="1" x14ac:dyDescent="0.25">
      <c r="C34" s="91" t="s">
        <v>2503</v>
      </c>
      <c r="F34" s="107">
        <v>50</v>
      </c>
    </row>
    <row r="35" spans="1:6" ht="13.5" thickTop="1" x14ac:dyDescent="0.2">
      <c r="C35" s="91" t="s">
        <v>2804</v>
      </c>
      <c r="F35" s="189" t="s">
        <v>2504</v>
      </c>
    </row>
    <row r="36" spans="1:6" ht="25.5" x14ac:dyDescent="0.2">
      <c r="C36" s="91" t="s">
        <v>1987</v>
      </c>
      <c r="D36" s="218" t="s">
        <v>3975</v>
      </c>
      <c r="E36" s="219"/>
      <c r="F36" s="220"/>
    </row>
    <row r="37" spans="1:6" x14ac:dyDescent="0.2">
      <c r="F37" s="223">
        <f>SUM(F19:F36)</f>
        <v>345</v>
      </c>
    </row>
    <row r="38" spans="1:6" x14ac:dyDescent="0.2">
      <c r="F38" s="223"/>
    </row>
    <row r="39" spans="1:6" x14ac:dyDescent="0.2">
      <c r="C39" s="1"/>
      <c r="D39" s="227"/>
      <c r="E39" s="227"/>
      <c r="F39" s="227"/>
    </row>
    <row r="40" spans="1:6" x14ac:dyDescent="0.2">
      <c r="A40" s="94" t="s">
        <v>11</v>
      </c>
      <c r="D40" s="228"/>
      <c r="E40" s="229"/>
      <c r="F40" s="229"/>
    </row>
    <row r="41" spans="1:6" x14ac:dyDescent="0.2">
      <c r="A41" s="1"/>
    </row>
    <row r="44" spans="1:6" x14ac:dyDescent="0.2">
      <c r="A44" s="91" t="s">
        <v>121</v>
      </c>
      <c r="C44" s="99"/>
    </row>
    <row r="45" spans="1:6" x14ac:dyDescent="0.2">
      <c r="A45" s="101"/>
      <c r="B45" s="101"/>
    </row>
    <row r="47" spans="1:6" x14ac:dyDescent="0.2">
      <c r="A47" s="98" t="s">
        <v>3972</v>
      </c>
      <c r="D47" s="98" t="s">
        <v>7</v>
      </c>
      <c r="F47" s="102"/>
    </row>
    <row r="49" spans="1:6" x14ac:dyDescent="0.2">
      <c r="A49" s="91" t="s">
        <v>4066</v>
      </c>
    </row>
    <row r="51" spans="1:6" x14ac:dyDescent="0.2">
      <c r="A51" s="101" t="s">
        <v>120</v>
      </c>
      <c r="B51" s="101"/>
      <c r="D51" s="101"/>
      <c r="E51" s="101"/>
      <c r="F51" s="101"/>
    </row>
    <row r="52" spans="1:6" s="3" customFormat="1" ht="17.100000000000001" customHeight="1" x14ac:dyDescent="0.2">
      <c r="A52" s="104" t="s">
        <v>35</v>
      </c>
      <c r="B52" s="104"/>
      <c r="C52" s="61"/>
      <c r="D52" s="61" t="s">
        <v>3</v>
      </c>
      <c r="E52" s="61"/>
      <c r="F52" s="61"/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Sheet223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2452</v>
      </c>
      <c r="G9" s="61"/>
    </row>
    <row r="10" spans="1:7" x14ac:dyDescent="0.2">
      <c r="A10" s="91" t="s">
        <v>2454</v>
      </c>
      <c r="D10" s="92" t="s">
        <v>1335</v>
      </c>
      <c r="E10" s="98" t="s">
        <v>2449</v>
      </c>
      <c r="G10" s="113"/>
    </row>
    <row r="11" spans="1:7" x14ac:dyDescent="0.2">
      <c r="A11" s="91" t="s">
        <v>2455</v>
      </c>
      <c r="D11" s="92" t="s">
        <v>1333</v>
      </c>
      <c r="E11" s="92" t="s">
        <v>1220</v>
      </c>
      <c r="G11" s="113"/>
    </row>
    <row r="12" spans="1:7" x14ac:dyDescent="0.2">
      <c r="A12" s="91" t="s">
        <v>2456</v>
      </c>
      <c r="D12" s="92" t="s">
        <v>1331</v>
      </c>
      <c r="E12" s="92" t="s">
        <v>2453</v>
      </c>
      <c r="G12" s="113"/>
    </row>
    <row r="13" spans="1:7" x14ac:dyDescent="0.2">
      <c r="A13" s="91" t="s">
        <v>2457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2358</v>
      </c>
    </row>
    <row r="19" spans="1:6" x14ac:dyDescent="0.2">
      <c r="A19" s="93"/>
      <c r="B19" s="111"/>
    </row>
    <row r="20" spans="1:6" x14ac:dyDescent="0.2">
      <c r="A20" s="93" t="s">
        <v>2394</v>
      </c>
      <c r="B20" s="109" t="s">
        <v>2458</v>
      </c>
      <c r="C20" s="91" t="s">
        <v>2459</v>
      </c>
      <c r="F20" s="91">
        <v>60000</v>
      </c>
    </row>
    <row r="21" spans="1:6" x14ac:dyDescent="0.2">
      <c r="A21" s="93"/>
      <c r="B21" s="111"/>
      <c r="C21" s="91" t="s">
        <v>2451</v>
      </c>
    </row>
    <row r="22" spans="1:6" x14ac:dyDescent="0.2">
      <c r="C22" s="91" t="s">
        <v>2460</v>
      </c>
    </row>
    <row r="23" spans="1:6" x14ac:dyDescent="0.2">
      <c r="A23" s="93"/>
      <c r="B23" s="111"/>
      <c r="C23" s="91" t="s">
        <v>2461</v>
      </c>
    </row>
    <row r="24" spans="1:6" x14ac:dyDescent="0.2">
      <c r="A24" s="93"/>
      <c r="B24" s="109"/>
      <c r="C24" s="91" t="s">
        <v>2462</v>
      </c>
      <c r="F24" s="151"/>
    </row>
    <row r="25" spans="1:6" x14ac:dyDescent="0.2">
      <c r="A25" s="93"/>
      <c r="B25" s="93"/>
      <c r="C25" s="2"/>
    </row>
    <row r="26" spans="1:6" x14ac:dyDescent="0.2">
      <c r="C26" s="2"/>
    </row>
    <row r="27" spans="1:6" x14ac:dyDescent="0.2">
      <c r="A27" s="111"/>
      <c r="B27" s="93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ht="13.5" thickBot="1" x14ac:dyDescent="0.25">
      <c r="F34" s="11"/>
    </row>
    <row r="35" spans="1:6" ht="14.25" thickTop="1" thickBot="1" x14ac:dyDescent="0.25">
      <c r="F35" s="95">
        <f>SUM(F18:F33)</f>
        <v>60000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">
        <v>2463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Sheet224">
    <pageSetUpPr fitToPage="1"/>
  </sheetPr>
  <dimension ref="A1:H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53" t="s">
        <v>4491</v>
      </c>
      <c r="G9" s="61"/>
    </row>
    <row r="10" spans="1:7" x14ac:dyDescent="0.2">
      <c r="A10" s="91" t="s">
        <v>2505</v>
      </c>
      <c r="D10" s="92" t="s">
        <v>1335</v>
      </c>
      <c r="E10" s="155" t="s">
        <v>4486</v>
      </c>
      <c r="G10" s="113"/>
    </row>
    <row r="11" spans="1:7" x14ac:dyDescent="0.2">
      <c r="A11" s="91" t="s">
        <v>2506</v>
      </c>
      <c r="D11" s="92" t="s">
        <v>1333</v>
      </c>
      <c r="E11" s="155" t="s">
        <v>1220</v>
      </c>
      <c r="G11" s="113"/>
    </row>
    <row r="12" spans="1:7" x14ac:dyDescent="0.2">
      <c r="D12" s="92" t="s">
        <v>1331</v>
      </c>
      <c r="E12" s="155" t="s">
        <v>4492</v>
      </c>
      <c r="G12" s="113"/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8" x14ac:dyDescent="0.2">
      <c r="A18" s="93"/>
      <c r="C18" s="2" t="s">
        <v>4493</v>
      </c>
    </row>
    <row r="19" spans="1:8" x14ac:dyDescent="0.2">
      <c r="A19" s="93"/>
      <c r="B19" s="111"/>
      <c r="C19" s="143"/>
    </row>
    <row r="20" spans="1:8" x14ac:dyDescent="0.2">
      <c r="A20" s="93"/>
      <c r="B20" s="111"/>
      <c r="C20" s="91" t="s">
        <v>4494</v>
      </c>
      <c r="F20" s="91">
        <v>400</v>
      </c>
    </row>
    <row r="21" spans="1:8" x14ac:dyDescent="0.2">
      <c r="A21" s="93"/>
      <c r="B21" s="111"/>
      <c r="F21" s="151"/>
    </row>
    <row r="22" spans="1:8" x14ac:dyDescent="0.2">
      <c r="A22" s="93"/>
      <c r="B22" s="111"/>
      <c r="C22" s="91" t="s">
        <v>4495</v>
      </c>
      <c r="F22" s="110">
        <v>200</v>
      </c>
    </row>
    <row r="23" spans="1:8" x14ac:dyDescent="0.2">
      <c r="A23" s="93"/>
      <c r="B23" s="111"/>
    </row>
    <row r="24" spans="1:8" x14ac:dyDescent="0.2">
      <c r="A24" s="111"/>
      <c r="B24" s="93"/>
    </row>
    <row r="25" spans="1:8" x14ac:dyDescent="0.2">
      <c r="A25" s="111"/>
      <c r="B25" s="93"/>
      <c r="F25" s="110"/>
    </row>
    <row r="26" spans="1:8" x14ac:dyDescent="0.2">
      <c r="A26" s="93"/>
      <c r="B26" s="93"/>
    </row>
    <row r="27" spans="1:8" x14ac:dyDescent="0.2">
      <c r="A27" s="93"/>
      <c r="B27" s="111"/>
    </row>
    <row r="28" spans="1:8" x14ac:dyDescent="0.2">
      <c r="A28" s="111"/>
      <c r="B28" s="93"/>
      <c r="D28" s="143"/>
      <c r="E28" s="143"/>
      <c r="F28" s="189"/>
      <c r="G28" s="186"/>
      <c r="H28" s="186"/>
    </row>
    <row r="29" spans="1:8" x14ac:dyDescent="0.2">
      <c r="A29" s="108"/>
    </row>
    <row r="30" spans="1:8" x14ac:dyDescent="0.2">
      <c r="A30" s="93"/>
      <c r="B30" s="93"/>
      <c r="F30" s="110"/>
    </row>
    <row r="33" spans="1:6" ht="13.5" thickBot="1" x14ac:dyDescent="0.25">
      <c r="F33" s="95">
        <f>SUM(F18:F31)</f>
        <v>600</v>
      </c>
    </row>
    <row r="34" spans="1:6" ht="13.5" thickTop="1" x14ac:dyDescent="0.2">
      <c r="F34" s="238"/>
    </row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Hundred and NO/100 -----------</v>
      </c>
      <c r="C35" s="97"/>
      <c r="D35" s="97"/>
      <c r="E35" s="97"/>
      <c r="F35" s="9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Sheet253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4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2727</v>
      </c>
      <c r="D9" s="92" t="s">
        <v>1358</v>
      </c>
      <c r="E9" s="91" t="s">
        <v>2725</v>
      </c>
    </row>
    <row r="10" spans="1:6" x14ac:dyDescent="0.2">
      <c r="A10" s="91" t="s">
        <v>2498</v>
      </c>
      <c r="D10" s="92" t="s">
        <v>1357</v>
      </c>
      <c r="E10" s="92" t="s">
        <v>2719</v>
      </c>
    </row>
    <row r="11" spans="1:6" x14ac:dyDescent="0.2">
      <c r="A11" s="91" t="s">
        <v>2728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2726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/>
    </row>
    <row r="19" spans="1:6" x14ac:dyDescent="0.2">
      <c r="A19" s="94" t="s">
        <v>2729</v>
      </c>
      <c r="B19" s="93" t="s">
        <v>2730</v>
      </c>
      <c r="C19" s="91" t="s">
        <v>2731</v>
      </c>
      <c r="F19" s="91">
        <v>200</v>
      </c>
    </row>
    <row r="20" spans="1:6" x14ac:dyDescent="0.2">
      <c r="A20" s="93"/>
      <c r="B20" s="93"/>
      <c r="C20" s="91" t="s">
        <v>2732</v>
      </c>
    </row>
    <row r="21" spans="1:6" x14ac:dyDescent="0.2">
      <c r="B21" s="99"/>
    </row>
    <row r="22" spans="1:6" x14ac:dyDescent="0.2">
      <c r="B22" s="93"/>
      <c r="C22" s="2"/>
    </row>
    <row r="23" spans="1:6" x14ac:dyDescent="0.2">
      <c r="B23" s="99"/>
    </row>
    <row r="24" spans="1:6" x14ac:dyDescent="0.2">
      <c r="A24" s="93"/>
      <c r="B24" s="93"/>
    </row>
    <row r="25" spans="1:6" x14ac:dyDescent="0.2">
      <c r="B25" s="93"/>
    </row>
    <row r="26" spans="1:6" x14ac:dyDescent="0.2">
      <c r="B26" s="99"/>
    </row>
    <row r="27" spans="1:6" x14ac:dyDescent="0.2">
      <c r="B27" s="99"/>
      <c r="F27" s="2"/>
    </row>
    <row r="28" spans="1:6" x14ac:dyDescent="0.2">
      <c r="B28" s="93"/>
    </row>
    <row r="29" spans="1:6" x14ac:dyDescent="0.2">
      <c r="B29" s="94"/>
    </row>
    <row r="31" spans="1:6" ht="13.5" thickBot="1" x14ac:dyDescent="0.25">
      <c r="F31" s="95">
        <f>SUM(F18:F30)</f>
        <v>200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2132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50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512">
    <pageSetUpPr fitToPage="1"/>
  </sheetPr>
  <dimension ref="A1:H55"/>
  <sheetViews>
    <sheetView topLeftCell="A25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5287</v>
      </c>
    </row>
    <row r="10" spans="1:8" x14ac:dyDescent="0.2">
      <c r="A10" s="91" t="s">
        <v>5288</v>
      </c>
      <c r="F10" s="92" t="s">
        <v>1329</v>
      </c>
      <c r="G10" s="92" t="s">
        <v>5261</v>
      </c>
    </row>
    <row r="11" spans="1:8" x14ac:dyDescent="0.2">
      <c r="A11" s="91" t="s">
        <v>5289</v>
      </c>
      <c r="F11" s="92" t="s">
        <v>1330</v>
      </c>
      <c r="G11" s="92" t="s">
        <v>1220</v>
      </c>
    </row>
    <row r="12" spans="1:8" x14ac:dyDescent="0.2">
      <c r="A12" s="91" t="s">
        <v>5290</v>
      </c>
      <c r="F12" s="92" t="s">
        <v>1377</v>
      </c>
      <c r="G12" s="92" t="s">
        <v>770</v>
      </c>
    </row>
    <row r="13" spans="1:8" x14ac:dyDescent="0.2">
      <c r="A13" s="91" t="s">
        <v>5291</v>
      </c>
    </row>
    <row r="14" spans="1:8" x14ac:dyDescent="0.2">
      <c r="A14" s="91" t="s">
        <v>5292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4311</v>
      </c>
      <c r="E18" s="2"/>
    </row>
    <row r="19" spans="1:8" x14ac:dyDescent="0.2">
      <c r="A19" s="106"/>
    </row>
    <row r="20" spans="1:8" x14ac:dyDescent="0.2">
      <c r="A20" s="93" t="s">
        <v>5293</v>
      </c>
      <c r="B20" s="93" t="s">
        <v>5294</v>
      </c>
      <c r="C20" s="93"/>
      <c r="D20" s="91" t="s">
        <v>5295</v>
      </c>
      <c r="H20" s="91">
        <f>7600*5.687</f>
        <v>43221.200000000004</v>
      </c>
    </row>
    <row r="21" spans="1:8" x14ac:dyDescent="0.2">
      <c r="A21" s="93"/>
      <c r="B21" s="93"/>
      <c r="C21" s="93"/>
      <c r="D21" s="91" t="s">
        <v>5296</v>
      </c>
    </row>
    <row r="22" spans="1:8" x14ac:dyDescent="0.2">
      <c r="A22" s="106"/>
    </row>
    <row r="23" spans="1:8" x14ac:dyDescent="0.2">
      <c r="A23" s="106"/>
      <c r="D23" s="94" t="s">
        <v>52</v>
      </c>
      <c r="E23" s="94"/>
      <c r="H23" s="91">
        <v>30</v>
      </c>
    </row>
    <row r="24" spans="1:8" x14ac:dyDescent="0.2">
      <c r="A24" s="106"/>
      <c r="F24" s="1"/>
      <c r="G24" s="1"/>
      <c r="H24" s="1"/>
    </row>
    <row r="25" spans="1:8" x14ac:dyDescent="0.2">
      <c r="A25" s="106"/>
      <c r="D25" s="91" t="s">
        <v>2147</v>
      </c>
      <c r="H25" s="91">
        <v>1.8</v>
      </c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1" spans="1:8" x14ac:dyDescent="0.2">
      <c r="A31" s="93"/>
      <c r="B31" s="93"/>
      <c r="C31" s="93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06"/>
      <c r="H35" s="1"/>
    </row>
    <row r="36" spans="1:8" ht="13.5" thickBot="1" x14ac:dyDescent="0.25">
      <c r="A36" s="106"/>
      <c r="H36" s="107">
        <f>SUM(H19:H34)</f>
        <v>43253.000000000007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Forty-Three Thousand Two Hundred Fifty-Three and NO/100 -----------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99"/>
      <c r="E42" s="99"/>
    </row>
    <row r="43" spans="1:8" x14ac:dyDescent="0.2">
      <c r="A43" s="91" t="s">
        <v>120</v>
      </c>
      <c r="D43" s="99"/>
      <c r="E43" s="99"/>
    </row>
    <row r="44" spans="1:8" x14ac:dyDescent="0.2">
      <c r="A44" s="101"/>
      <c r="B44" s="101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Sheet254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5.5703125" style="1" customWidth="1"/>
    <col min="2" max="2" width="14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30</v>
      </c>
      <c r="E9" s="91" t="s">
        <v>2775</v>
      </c>
      <c r="F9" s="91"/>
    </row>
    <row r="10" spans="1:6" x14ac:dyDescent="0.2">
      <c r="A10" s="91" t="s">
        <v>2777</v>
      </c>
      <c r="B10" s="91"/>
      <c r="C10" s="91"/>
      <c r="D10" s="92" t="s">
        <v>27</v>
      </c>
      <c r="E10" s="98" t="s">
        <v>2762</v>
      </c>
      <c r="F10" s="91"/>
    </row>
    <row r="11" spans="1:6" x14ac:dyDescent="0.2">
      <c r="A11" s="91"/>
      <c r="B11" s="91"/>
      <c r="C11" s="91"/>
      <c r="D11" s="92" t="s">
        <v>24</v>
      </c>
      <c r="E11" s="92" t="s">
        <v>1220</v>
      </c>
      <c r="F11" s="91"/>
    </row>
    <row r="12" spans="1:6" x14ac:dyDescent="0.2">
      <c r="A12" s="91"/>
      <c r="B12" s="91"/>
      <c r="C12" s="91"/>
      <c r="D12" s="92" t="s">
        <v>22</v>
      </c>
      <c r="E12" s="92" t="s">
        <v>2776</v>
      </c>
      <c r="F12" s="91"/>
    </row>
    <row r="13" spans="1:6" x14ac:dyDescent="0.2">
      <c r="A13" s="91"/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67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2778</v>
      </c>
      <c r="D18" s="91"/>
      <c r="E18" s="91"/>
      <c r="F18" s="91"/>
    </row>
    <row r="19" spans="1:6" x14ac:dyDescent="0.2">
      <c r="A19" s="106"/>
      <c r="B19" s="91"/>
      <c r="C19" s="2"/>
      <c r="D19" s="91"/>
      <c r="E19" s="91"/>
      <c r="F19" s="91"/>
    </row>
    <row r="20" spans="1:6" x14ac:dyDescent="0.2">
      <c r="A20" s="105" t="s">
        <v>2780</v>
      </c>
      <c r="B20" s="137"/>
      <c r="C20" s="91" t="s">
        <v>2779</v>
      </c>
      <c r="D20" s="91"/>
      <c r="E20" s="91"/>
      <c r="F20" s="91">
        <f>25*40</f>
        <v>1000</v>
      </c>
    </row>
    <row r="21" spans="1:6" x14ac:dyDescent="0.2">
      <c r="A21" s="91"/>
      <c r="B21" s="91"/>
      <c r="C21" s="91"/>
      <c r="D21" s="91"/>
      <c r="E21" s="91"/>
      <c r="F21" s="91"/>
    </row>
    <row r="22" spans="1:6" x14ac:dyDescent="0.2">
      <c r="A22" s="91"/>
      <c r="B22" s="91"/>
      <c r="C22" s="91"/>
      <c r="D22" s="91"/>
      <c r="E22" s="91"/>
      <c r="F22" s="91"/>
    </row>
    <row r="23" spans="1:6" x14ac:dyDescent="0.2">
      <c r="A23" s="91"/>
      <c r="B23" s="91"/>
      <c r="C23" s="94"/>
      <c r="D23" s="91"/>
      <c r="E23" s="91"/>
      <c r="F23" s="91"/>
    </row>
    <row r="24" spans="1:6" x14ac:dyDescent="0.2">
      <c r="A24" s="91"/>
      <c r="B24" s="91"/>
      <c r="C24" s="91"/>
      <c r="D24" s="91"/>
      <c r="E24" s="91"/>
      <c r="F24" s="91"/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4"/>
      <c r="C29" s="91"/>
      <c r="D29" s="91"/>
      <c r="E29" s="91"/>
      <c r="F29" s="91"/>
    </row>
    <row r="30" spans="1:6" x14ac:dyDescent="0.2">
      <c r="A30" s="91"/>
      <c r="B30" s="94"/>
      <c r="C30" s="91"/>
      <c r="D30" s="91"/>
      <c r="E30" s="91"/>
      <c r="F30" s="91"/>
    </row>
    <row r="31" spans="1:6" x14ac:dyDescent="0.2">
      <c r="A31" s="91"/>
      <c r="B31" s="94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  <c r="F32" s="91"/>
    </row>
    <row r="33" spans="1:6" ht="13.5" thickBot="1" x14ac:dyDescent="0.25">
      <c r="A33" s="91"/>
      <c r="B33" s="91"/>
      <c r="C33" s="91"/>
      <c r="D33" s="91"/>
      <c r="E33" s="91"/>
      <c r="F33" s="95">
        <f>SUM(F20:F32)</f>
        <v>1000</v>
      </c>
    </row>
    <row r="34" spans="1:6" ht="14.25" thickTop="1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336</v>
      </c>
      <c r="B35" s="185" t="s">
        <v>2332</v>
      </c>
      <c r="C35" s="97"/>
      <c r="D35" s="97"/>
      <c r="E35" s="97"/>
      <c r="F35" s="97"/>
    </row>
    <row r="36" spans="1:6" ht="25.5" x14ac:dyDescent="0.2">
      <c r="A36" s="94"/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Sheet279">
    <pageSetUpPr fitToPage="1"/>
  </sheetPr>
  <dimension ref="A1:F50"/>
  <sheetViews>
    <sheetView topLeftCell="A7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2786</v>
      </c>
      <c r="D9" s="92" t="s">
        <v>1317</v>
      </c>
      <c r="E9" s="91" t="s">
        <v>2879</v>
      </c>
    </row>
    <row r="10" spans="1:6" x14ac:dyDescent="0.2">
      <c r="A10" s="91" t="s">
        <v>2787</v>
      </c>
      <c r="D10" s="92" t="s">
        <v>1329</v>
      </c>
      <c r="E10" s="98" t="s">
        <v>2858</v>
      </c>
    </row>
    <row r="11" spans="1:6" x14ac:dyDescent="0.2">
      <c r="A11" s="91" t="s">
        <v>2109</v>
      </c>
      <c r="D11" s="92" t="s">
        <v>1330</v>
      </c>
      <c r="E11" s="92" t="s">
        <v>1220</v>
      </c>
    </row>
    <row r="12" spans="1:6" x14ac:dyDescent="0.2">
      <c r="A12" s="91" t="s">
        <v>2788</v>
      </c>
      <c r="D12" s="92" t="s">
        <v>1331</v>
      </c>
      <c r="E12" s="92" t="s">
        <v>2880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2881</v>
      </c>
    </row>
    <row r="19" spans="1:6" x14ac:dyDescent="0.2">
      <c r="A19" s="106"/>
      <c r="C19" s="2"/>
    </row>
    <row r="20" spans="1:6" x14ac:dyDescent="0.2">
      <c r="A20" s="93" t="s">
        <v>2840</v>
      </c>
      <c r="B20" s="93"/>
      <c r="C20" s="91" t="s">
        <v>2882</v>
      </c>
      <c r="F20" s="91">
        <v>1000</v>
      </c>
    </row>
    <row r="21" spans="1:6" x14ac:dyDescent="0.2">
      <c r="A21" s="93"/>
      <c r="B21" s="94"/>
    </row>
    <row r="22" spans="1:6" x14ac:dyDescent="0.2">
      <c r="A22" s="93"/>
      <c r="B22" s="94"/>
    </row>
    <row r="23" spans="1:6" x14ac:dyDescent="0.2">
      <c r="A23" s="106"/>
    </row>
    <row r="24" spans="1:6" x14ac:dyDescent="0.2">
      <c r="A24" s="106"/>
      <c r="C24" s="2"/>
    </row>
    <row r="25" spans="1:6" x14ac:dyDescent="0.2">
      <c r="A25" s="93"/>
      <c r="B25" s="99"/>
    </row>
    <row r="26" spans="1:6" x14ac:dyDescent="0.2">
      <c r="A26" s="93"/>
      <c r="B26" s="93"/>
    </row>
    <row r="28" spans="1:6" x14ac:dyDescent="0.2">
      <c r="A28" s="1"/>
    </row>
    <row r="29" spans="1:6" x14ac:dyDescent="0.2">
      <c r="A29" s="1"/>
    </row>
    <row r="30" spans="1:6" x14ac:dyDescent="0.2">
      <c r="A30" s="106"/>
    </row>
    <row r="31" spans="1:6" ht="13.5" thickBot="1" x14ac:dyDescent="0.25">
      <c r="A31" s="106"/>
      <c r="F31" s="107">
        <f>SUM(F19:F30)</f>
        <v>1000</v>
      </c>
    </row>
    <row r="32" spans="1:6" ht="13.5" thickTop="1" x14ac:dyDescent="0.2">
      <c r="A32" s="106"/>
    </row>
    <row r="33" spans="1:6" ht="20.100000000000001" customHeight="1" x14ac:dyDescent="0.2">
      <c r="A33" s="96" t="s">
        <v>1248</v>
      </c>
      <c r="B33" s="96" t="s">
        <v>2332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91" t="s">
        <v>120</v>
      </c>
      <c r="C39" s="99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5" spans="1:6" x14ac:dyDescent="0.2">
      <c r="A45" s="101" t="s">
        <v>120</v>
      </c>
      <c r="B45" s="101"/>
      <c r="D45" s="101"/>
      <c r="E45" s="101"/>
      <c r="F45" s="101"/>
    </row>
    <row r="46" spans="1:6" s="3" customFormat="1" ht="17.100000000000001" customHeight="1" x14ac:dyDescent="0.2">
      <c r="A46" s="61" t="s">
        <v>35</v>
      </c>
      <c r="B46" s="104"/>
      <c r="C46" s="61"/>
      <c r="D46" s="61" t="s">
        <v>3</v>
      </c>
      <c r="E46" s="61"/>
      <c r="F46" s="61"/>
    </row>
    <row r="47" spans="1:6" x14ac:dyDescent="0.2">
      <c r="A47" s="91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 codeName="Sheet280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2883</v>
      </c>
    </row>
    <row r="10" spans="1:6" x14ac:dyDescent="0.2">
      <c r="A10" s="91" t="s">
        <v>2885</v>
      </c>
      <c r="D10" s="92" t="s">
        <v>1329</v>
      </c>
      <c r="E10" s="98" t="s">
        <v>2858</v>
      </c>
    </row>
    <row r="11" spans="1:6" x14ac:dyDescent="0.2">
      <c r="A11" s="91" t="s">
        <v>2886</v>
      </c>
      <c r="D11" s="92" t="s">
        <v>1330</v>
      </c>
      <c r="E11" s="92" t="s">
        <v>1220</v>
      </c>
    </row>
    <row r="12" spans="1:6" x14ac:dyDescent="0.2">
      <c r="A12" s="91" t="s">
        <v>2887</v>
      </c>
      <c r="D12" s="92" t="s">
        <v>1331</v>
      </c>
      <c r="E12" s="92" t="s">
        <v>2884</v>
      </c>
    </row>
    <row r="13" spans="1:6" x14ac:dyDescent="0.2">
      <c r="A13" s="91" t="s">
        <v>2888</v>
      </c>
    </row>
    <row r="14" spans="1:6" x14ac:dyDescent="0.2">
      <c r="A14" s="91" t="s">
        <v>2889</v>
      </c>
    </row>
    <row r="15" spans="1:6" x14ac:dyDescent="0.2">
      <c r="A15" s="91" t="s">
        <v>2890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2891</v>
      </c>
    </row>
    <row r="19" spans="1:6" x14ac:dyDescent="0.2">
      <c r="A19" s="106"/>
      <c r="C19" s="2"/>
    </row>
    <row r="20" spans="1:6" x14ac:dyDescent="0.2">
      <c r="A20" s="93" t="s">
        <v>2892</v>
      </c>
      <c r="B20" s="93"/>
      <c r="C20" s="91" t="s">
        <v>2893</v>
      </c>
      <c r="F20" s="91">
        <v>850</v>
      </c>
    </row>
    <row r="21" spans="1:6" x14ac:dyDescent="0.2">
      <c r="A21" s="93"/>
      <c r="B21" s="94"/>
      <c r="C21" s="91" t="s">
        <v>2894</v>
      </c>
    </row>
    <row r="22" spans="1:6" x14ac:dyDescent="0.2">
      <c r="A22" s="93"/>
      <c r="B22" s="94"/>
    </row>
    <row r="23" spans="1:6" x14ac:dyDescent="0.2">
      <c r="A23" s="106"/>
    </row>
    <row r="24" spans="1:6" x14ac:dyDescent="0.2">
      <c r="A24" s="106"/>
      <c r="C24" s="2"/>
    </row>
    <row r="25" spans="1:6" x14ac:dyDescent="0.2">
      <c r="A25" s="93"/>
      <c r="B25" s="99"/>
    </row>
    <row r="26" spans="1:6" x14ac:dyDescent="0.2">
      <c r="A26" s="93"/>
      <c r="B26" s="93"/>
    </row>
    <row r="28" spans="1:6" x14ac:dyDescent="0.2">
      <c r="A28" s="1"/>
    </row>
    <row r="29" spans="1:6" x14ac:dyDescent="0.2">
      <c r="A29" s="1"/>
    </row>
    <row r="30" spans="1:6" x14ac:dyDescent="0.2">
      <c r="A30" s="106"/>
    </row>
    <row r="31" spans="1:6" ht="13.5" thickBot="1" x14ac:dyDescent="0.25">
      <c r="A31" s="106"/>
      <c r="F31" s="107">
        <f>SUM(F19:F30)</f>
        <v>850</v>
      </c>
    </row>
    <row r="32" spans="1:6" ht="13.5" thickTop="1" x14ac:dyDescent="0.2">
      <c r="A32" s="106"/>
    </row>
    <row r="33" spans="1:6" ht="20.100000000000001" customHeight="1" x14ac:dyDescent="0.2">
      <c r="A33" s="96" t="s">
        <v>1248</v>
      </c>
      <c r="B33" s="96" t="s">
        <v>2895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91" t="s">
        <v>120</v>
      </c>
      <c r="C39" s="99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5" spans="1:6" x14ac:dyDescent="0.2">
      <c r="A45" s="101" t="s">
        <v>120</v>
      </c>
      <c r="B45" s="101"/>
      <c r="D45" s="101"/>
      <c r="E45" s="101"/>
      <c r="F45" s="101"/>
    </row>
    <row r="46" spans="1:6" s="3" customFormat="1" ht="17.100000000000001" customHeight="1" x14ac:dyDescent="0.2">
      <c r="A46" s="61" t="s">
        <v>35</v>
      </c>
      <c r="B46" s="104"/>
      <c r="C46" s="61"/>
      <c r="D46" s="61" t="s">
        <v>3</v>
      </c>
      <c r="E46" s="61"/>
      <c r="F46" s="61"/>
    </row>
    <row r="47" spans="1:6" x14ac:dyDescent="0.2">
      <c r="A47" s="91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 codeName="Sheet293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4.42578125" style="91" customWidth="1"/>
    <col min="2" max="2" width="15.710937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61" t="s">
        <v>4487</v>
      </c>
      <c r="G9" s="61"/>
    </row>
    <row r="10" spans="1:7" x14ac:dyDescent="0.2">
      <c r="A10" s="91" t="s">
        <v>3034</v>
      </c>
      <c r="D10" s="92" t="s">
        <v>1335</v>
      </c>
      <c r="E10" s="113" t="s">
        <v>4486</v>
      </c>
      <c r="G10" s="113"/>
    </row>
    <row r="11" spans="1:7" x14ac:dyDescent="0.2">
      <c r="A11" s="91" t="s">
        <v>3035</v>
      </c>
      <c r="D11" s="92" t="s">
        <v>1333</v>
      </c>
      <c r="E11" s="113" t="s">
        <v>1220</v>
      </c>
      <c r="G11" s="113"/>
    </row>
    <row r="12" spans="1:7" x14ac:dyDescent="0.2">
      <c r="A12" s="91" t="s">
        <v>3036</v>
      </c>
      <c r="D12" s="92" t="s">
        <v>1331</v>
      </c>
      <c r="E12" s="113" t="s">
        <v>4484</v>
      </c>
      <c r="G12" s="113"/>
    </row>
    <row r="13" spans="1:7" x14ac:dyDescent="0.2">
      <c r="A13" s="91" t="s">
        <v>124</v>
      </c>
    </row>
    <row r="14" spans="1:7" x14ac:dyDescent="0.2">
      <c r="A14" s="91" t="s">
        <v>1314</v>
      </c>
    </row>
    <row r="15" spans="1:7" x14ac:dyDescent="0.2">
      <c r="A15" s="91" t="s">
        <v>3037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4488</v>
      </c>
    </row>
    <row r="19" spans="1:6" x14ac:dyDescent="0.2">
      <c r="A19" s="93"/>
      <c r="B19" s="111"/>
      <c r="C19" s="143"/>
    </row>
    <row r="20" spans="1:6" x14ac:dyDescent="0.2">
      <c r="A20" s="93" t="s">
        <v>4489</v>
      </c>
      <c r="B20" s="111" t="s">
        <v>4490</v>
      </c>
      <c r="C20" s="91" t="s">
        <v>3845</v>
      </c>
      <c r="F20" s="91">
        <f>100*2</f>
        <v>200</v>
      </c>
    </row>
    <row r="23" spans="1:6" x14ac:dyDescent="0.2">
      <c r="A23" s="93"/>
      <c r="B23" s="111"/>
      <c r="C23" s="143"/>
    </row>
    <row r="24" spans="1:6" x14ac:dyDescent="0.2">
      <c r="A24" s="93"/>
      <c r="B24" s="109"/>
      <c r="F24" s="151"/>
    </row>
    <row r="25" spans="1:6" x14ac:dyDescent="0.2">
      <c r="A25" s="93"/>
      <c r="B25" s="93"/>
    </row>
    <row r="26" spans="1:6" x14ac:dyDescent="0.2">
      <c r="A26" s="93"/>
      <c r="B26" s="99"/>
      <c r="C26" s="2"/>
    </row>
    <row r="27" spans="1:6" x14ac:dyDescent="0.2">
      <c r="A27" s="111"/>
      <c r="B27" s="93"/>
      <c r="C27" s="2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5" spans="1:6" ht="13.5" thickBot="1" x14ac:dyDescent="0.25">
      <c r="F35" s="95">
        <f>SUM(F18:F34)</f>
        <v>200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4046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 codeName="Sheet30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2.85546875" style="91" customWidth="1"/>
    <col min="3" max="3" width="10.28515625" style="91" customWidth="1"/>
    <col min="4" max="4" width="16.42578125" style="91" customWidth="1"/>
    <col min="5" max="5" width="12.42578125" style="91" customWidth="1"/>
    <col min="6" max="6" width="15.8554687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61" t="s">
        <v>3924</v>
      </c>
    </row>
    <row r="10" spans="1:6" x14ac:dyDescent="0.2">
      <c r="A10" s="91" t="s">
        <v>3931</v>
      </c>
      <c r="E10" s="92" t="s">
        <v>1356</v>
      </c>
      <c r="F10" s="113" t="s">
        <v>3899</v>
      </c>
    </row>
    <row r="11" spans="1:6" x14ac:dyDescent="0.2">
      <c r="A11" s="91" t="s">
        <v>3105</v>
      </c>
      <c r="E11" s="92" t="s">
        <v>1364</v>
      </c>
      <c r="F11" s="113" t="s">
        <v>1220</v>
      </c>
    </row>
    <row r="12" spans="1:6" x14ac:dyDescent="0.2">
      <c r="A12" s="91" t="s">
        <v>1245</v>
      </c>
      <c r="E12" s="92" t="s">
        <v>1394</v>
      </c>
      <c r="F12" s="113" t="s">
        <v>3925</v>
      </c>
    </row>
    <row r="13" spans="1:6" x14ac:dyDescent="0.2">
      <c r="A13" s="91" t="s">
        <v>3106</v>
      </c>
      <c r="E13" s="92"/>
    </row>
    <row r="16" spans="1:6" s="14" customFormat="1" ht="20.100000000000001" customHeight="1" x14ac:dyDescent="0.2">
      <c r="A16" s="17" t="s">
        <v>1247</v>
      </c>
      <c r="B16" s="31" t="s">
        <v>128</v>
      </c>
      <c r="C16" s="528" t="s">
        <v>19</v>
      </c>
      <c r="D16" s="528"/>
      <c r="E16" s="528"/>
      <c r="F16" s="15" t="s">
        <v>18</v>
      </c>
    </row>
    <row r="18" spans="1:6" x14ac:dyDescent="0.2">
      <c r="A18" s="93"/>
      <c r="B18" s="93"/>
      <c r="C18" s="2" t="s">
        <v>3926</v>
      </c>
      <c r="D18" s="2"/>
    </row>
    <row r="19" spans="1:6" x14ac:dyDescent="0.2">
      <c r="A19" s="94"/>
      <c r="C19" s="2"/>
      <c r="D19" s="2"/>
    </row>
    <row r="20" spans="1:6" x14ac:dyDescent="0.2">
      <c r="C20" s="91" t="s">
        <v>3930</v>
      </c>
      <c r="F20" s="91">
        <v>200</v>
      </c>
    </row>
    <row r="21" spans="1:6" x14ac:dyDescent="0.2">
      <c r="A21" s="92"/>
      <c r="B21" s="195"/>
      <c r="C21" s="91" t="s">
        <v>3927</v>
      </c>
    </row>
    <row r="22" spans="1:6" x14ac:dyDescent="0.2">
      <c r="B22" s="94"/>
      <c r="C22" s="91" t="s">
        <v>3928</v>
      </c>
    </row>
    <row r="23" spans="1:6" x14ac:dyDescent="0.2">
      <c r="B23" s="94"/>
      <c r="C23" s="91" t="s">
        <v>3410</v>
      </c>
    </row>
    <row r="24" spans="1:6" x14ac:dyDescent="0.2">
      <c r="A24" s="93"/>
      <c r="B24" s="93"/>
      <c r="C24" s="91" t="s">
        <v>3929</v>
      </c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29" spans="1:6" x14ac:dyDescent="0.2">
      <c r="B29" s="94"/>
      <c r="C29" s="2"/>
      <c r="D29" s="2"/>
    </row>
    <row r="30" spans="1:6" x14ac:dyDescent="0.2">
      <c r="B30" s="94"/>
    </row>
    <row r="31" spans="1:6" x14ac:dyDescent="0.2">
      <c r="B31" s="94"/>
    </row>
    <row r="32" spans="1:6" x14ac:dyDescent="0.2">
      <c r="B32" s="94"/>
    </row>
    <row r="33" spans="1:6" ht="13.5" thickBot="1" x14ac:dyDescent="0.25">
      <c r="F33" s="107">
        <f>SUM(F18:F31)</f>
        <v>200</v>
      </c>
    </row>
    <row r="34" spans="1:6" ht="13.5" thickTop="1" x14ac:dyDescent="0.2"/>
    <row r="35" spans="1:6" ht="20.100000000000001" customHeight="1" x14ac:dyDescent="0.2">
      <c r="A35" s="96" t="s">
        <v>1465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and NO/100 -----------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E43" s="98" t="s">
        <v>7</v>
      </c>
      <c r="F43" s="102"/>
    </row>
    <row r="47" spans="1:6" x14ac:dyDescent="0.2">
      <c r="A47" s="101" t="s">
        <v>3972</v>
      </c>
      <c r="B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E48" s="61" t="s">
        <v>3</v>
      </c>
    </row>
    <row r="49" spans="1:5" x14ac:dyDescent="0.2">
      <c r="A49" s="91" t="s">
        <v>4066</v>
      </c>
      <c r="E49" s="91" t="s">
        <v>2</v>
      </c>
    </row>
    <row r="51" spans="1:5" x14ac:dyDescent="0.2">
      <c r="E51" s="2" t="s">
        <v>1</v>
      </c>
    </row>
    <row r="52" spans="1:5" x14ac:dyDescent="0.2">
      <c r="E52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5">
    <mergeCell ref="A1:F1"/>
    <mergeCell ref="A2:F2"/>
    <mergeCell ref="A3:F3"/>
    <mergeCell ref="A4:F4"/>
    <mergeCell ref="C16:E16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 codeName="Sheet309">
    <pageSetUpPr fitToPage="1"/>
  </sheetPr>
  <dimension ref="A1:F52"/>
  <sheetViews>
    <sheetView topLeftCell="A4" workbookViewId="0">
      <selection activeCell="C28" sqref="C28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2152</v>
      </c>
      <c r="D9" s="92" t="s">
        <v>1317</v>
      </c>
      <c r="E9" s="91" t="s">
        <v>3689</v>
      </c>
    </row>
    <row r="10" spans="1:6" x14ac:dyDescent="0.2">
      <c r="A10" s="91" t="s">
        <v>2153</v>
      </c>
      <c r="D10" s="92" t="s">
        <v>1329</v>
      </c>
      <c r="E10" s="92" t="s">
        <v>3661</v>
      </c>
    </row>
    <row r="11" spans="1:6" x14ac:dyDescent="0.2">
      <c r="A11" s="91" t="s">
        <v>2154</v>
      </c>
      <c r="D11" s="92" t="s">
        <v>1330</v>
      </c>
      <c r="E11" s="92" t="s">
        <v>1220</v>
      </c>
    </row>
    <row r="12" spans="1:6" x14ac:dyDescent="0.2">
      <c r="A12" s="91" t="s">
        <v>3055</v>
      </c>
      <c r="D12" s="92" t="s">
        <v>1331</v>
      </c>
      <c r="E12" s="92" t="s">
        <v>3690</v>
      </c>
    </row>
    <row r="13" spans="1:6" x14ac:dyDescent="0.2">
      <c r="A13" s="91" t="s">
        <v>3056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3057</v>
      </c>
    </row>
    <row r="19" spans="1:6" x14ac:dyDescent="0.2">
      <c r="C19" s="2"/>
    </row>
    <row r="20" spans="1:6" x14ac:dyDescent="0.2">
      <c r="A20" s="93" t="s">
        <v>3110</v>
      </c>
      <c r="B20" s="99" t="s">
        <v>3111</v>
      </c>
      <c r="C20" s="91" t="s">
        <v>3118</v>
      </c>
      <c r="F20" s="91">
        <v>328.99</v>
      </c>
    </row>
    <row r="21" spans="1:6" x14ac:dyDescent="0.2">
      <c r="A21" s="93" t="s">
        <v>3110</v>
      </c>
      <c r="B21" s="99" t="s">
        <v>3113</v>
      </c>
      <c r="C21" s="91" t="s">
        <v>3112</v>
      </c>
      <c r="F21" s="91">
        <v>230</v>
      </c>
    </row>
    <row r="22" spans="1:6" x14ac:dyDescent="0.2">
      <c r="A22" s="93" t="s">
        <v>3110</v>
      </c>
      <c r="B22" s="99" t="s">
        <v>3114</v>
      </c>
      <c r="C22" s="91" t="s">
        <v>3112</v>
      </c>
      <c r="F22" s="91">
        <v>230</v>
      </c>
    </row>
    <row r="23" spans="1:6" x14ac:dyDescent="0.2">
      <c r="A23" s="137" t="s">
        <v>3110</v>
      </c>
      <c r="B23" s="99" t="s">
        <v>3115</v>
      </c>
      <c r="C23" s="91" t="s">
        <v>3116</v>
      </c>
      <c r="F23" s="91">
        <v>230</v>
      </c>
    </row>
    <row r="24" spans="1:6" x14ac:dyDescent="0.2">
      <c r="A24" s="137" t="s">
        <v>3110</v>
      </c>
      <c r="B24" s="99" t="s">
        <v>3117</v>
      </c>
      <c r="C24" s="91" t="s">
        <v>3119</v>
      </c>
      <c r="F24" s="91">
        <v>328.99</v>
      </c>
    </row>
    <row r="25" spans="1:6" x14ac:dyDescent="0.2">
      <c r="A25" s="137" t="s">
        <v>3110</v>
      </c>
      <c r="B25" s="99" t="s">
        <v>3120</v>
      </c>
      <c r="C25" s="91" t="s">
        <v>3119</v>
      </c>
      <c r="F25" s="91">
        <v>328.99</v>
      </c>
    </row>
    <row r="26" spans="1:6" x14ac:dyDescent="0.2">
      <c r="A26" s="137" t="s">
        <v>3110</v>
      </c>
      <c r="B26" s="99" t="s">
        <v>3121</v>
      </c>
      <c r="C26" s="91" t="s">
        <v>3122</v>
      </c>
      <c r="F26" s="91">
        <v>230</v>
      </c>
    </row>
    <row r="27" spans="1:6" x14ac:dyDescent="0.2">
      <c r="A27" s="137" t="s">
        <v>3110</v>
      </c>
      <c r="B27" s="99" t="s">
        <v>3123</v>
      </c>
      <c r="C27" s="91" t="s">
        <v>3124</v>
      </c>
      <c r="F27" s="91">
        <v>230</v>
      </c>
    </row>
    <row r="28" spans="1:6" x14ac:dyDescent="0.2">
      <c r="A28" s="137" t="s">
        <v>3110</v>
      </c>
      <c r="B28" s="93" t="s">
        <v>3125</v>
      </c>
      <c r="C28" s="91" t="s">
        <v>3126</v>
      </c>
      <c r="F28" s="91">
        <v>328.99</v>
      </c>
    </row>
    <row r="29" spans="1:6" x14ac:dyDescent="0.2">
      <c r="A29" s="137" t="s">
        <v>3110</v>
      </c>
      <c r="B29" s="93" t="s">
        <v>3127</v>
      </c>
      <c r="C29" s="91" t="s">
        <v>3128</v>
      </c>
      <c r="F29" s="91">
        <f>230*2</f>
        <v>460</v>
      </c>
    </row>
    <row r="30" spans="1:6" x14ac:dyDescent="0.2">
      <c r="A30" s="137"/>
      <c r="B30" s="93"/>
    </row>
    <row r="31" spans="1:6" x14ac:dyDescent="0.2">
      <c r="A31" s="1"/>
      <c r="B31" s="1"/>
      <c r="C31" s="1"/>
      <c r="D31" s="1"/>
      <c r="E31" s="1"/>
      <c r="F31" s="1"/>
    </row>
    <row r="32" spans="1:6" ht="13.5" thickBot="1" x14ac:dyDescent="0.25">
      <c r="A32" s="106"/>
      <c r="F32" s="107">
        <f>SUM(F18:F31)</f>
        <v>2925.96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96" t="s">
        <v>3129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61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 codeName="Sheet310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3223</v>
      </c>
      <c r="D9" s="92" t="s">
        <v>1317</v>
      </c>
      <c r="E9" s="91" t="s">
        <v>4235</v>
      </c>
    </row>
    <row r="10" spans="1:6" x14ac:dyDescent="0.2">
      <c r="A10" s="91" t="s">
        <v>3224</v>
      </c>
      <c r="D10" s="92" t="s">
        <v>1329</v>
      </c>
      <c r="E10" s="91" t="s">
        <v>4234</v>
      </c>
    </row>
    <row r="11" spans="1:6" x14ac:dyDescent="0.2">
      <c r="A11" s="91" t="s">
        <v>3225</v>
      </c>
      <c r="D11" s="92" t="s">
        <v>1330</v>
      </c>
      <c r="E11" s="91" t="s">
        <v>1220</v>
      </c>
    </row>
    <row r="12" spans="1:6" x14ac:dyDescent="0.2">
      <c r="A12" s="91" t="s">
        <v>3226</v>
      </c>
      <c r="D12" s="92" t="s">
        <v>1331</v>
      </c>
      <c r="E12" s="94" t="s">
        <v>4236</v>
      </c>
    </row>
    <row r="13" spans="1:6" x14ac:dyDescent="0.2">
      <c r="A13" s="91" t="s">
        <v>3227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9"/>
      <c r="C18" s="2" t="s">
        <v>3936</v>
      </c>
    </row>
    <row r="20" spans="1:6" x14ac:dyDescent="0.2">
      <c r="A20" s="93" t="s">
        <v>4237</v>
      </c>
      <c r="B20" s="93" t="s">
        <v>4238</v>
      </c>
      <c r="C20" s="91" t="s">
        <v>4239</v>
      </c>
      <c r="F20" s="91">
        <v>1500</v>
      </c>
    </row>
    <row r="21" spans="1:6" x14ac:dyDescent="0.2">
      <c r="A21" s="93"/>
      <c r="B21" s="94"/>
      <c r="C21" s="91" t="s">
        <v>4240</v>
      </c>
    </row>
    <row r="22" spans="1:6" x14ac:dyDescent="0.2">
      <c r="A22" s="93"/>
      <c r="B22" s="99"/>
    </row>
    <row r="27" spans="1:6" x14ac:dyDescent="0.2">
      <c r="A27" s="137"/>
      <c r="B27" s="99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SUM(F20:F33)</f>
        <v>1500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Five Hundred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 codeName="Sheet335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3300</v>
      </c>
    </row>
    <row r="10" spans="1:6" x14ac:dyDescent="0.2">
      <c r="A10" s="91" t="s">
        <v>3306</v>
      </c>
      <c r="D10" s="92" t="s">
        <v>1357</v>
      </c>
      <c r="E10" s="92" t="s">
        <v>3302</v>
      </c>
    </row>
    <row r="11" spans="1:6" x14ac:dyDescent="0.2">
      <c r="A11" s="91" t="s">
        <v>3307</v>
      </c>
      <c r="D11" s="92" t="s">
        <v>1330</v>
      </c>
      <c r="E11" s="92" t="s">
        <v>1220</v>
      </c>
    </row>
    <row r="12" spans="1:6" x14ac:dyDescent="0.2">
      <c r="A12" s="91" t="s">
        <v>3308</v>
      </c>
      <c r="D12" s="92" t="s">
        <v>1224</v>
      </c>
      <c r="E12" s="92" t="s">
        <v>3301</v>
      </c>
    </row>
    <row r="13" spans="1:6" x14ac:dyDescent="0.2">
      <c r="A13" s="91" t="s">
        <v>3309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3303</v>
      </c>
    </row>
    <row r="19" spans="1:6" x14ac:dyDescent="0.2">
      <c r="C19" s="146"/>
    </row>
    <row r="20" spans="1:6" x14ac:dyDescent="0.2">
      <c r="A20" s="111"/>
      <c r="B20" s="138"/>
      <c r="C20" s="91" t="s">
        <v>3304</v>
      </c>
      <c r="F20" s="91">
        <v>428.05</v>
      </c>
    </row>
    <row r="21" spans="1:6" x14ac:dyDescent="0.2">
      <c r="A21" s="147"/>
      <c r="B21" s="138"/>
    </row>
    <row r="22" spans="1:6" x14ac:dyDescent="0.2">
      <c r="A22" s="108"/>
      <c r="B22" s="138"/>
    </row>
    <row r="26" spans="1:6" x14ac:dyDescent="0.2">
      <c r="A26" s="136"/>
      <c r="B26" s="94"/>
    </row>
    <row r="28" spans="1:6" x14ac:dyDescent="0.2">
      <c r="A28" s="108"/>
    </row>
    <row r="31" spans="1:6" ht="13.5" thickBot="1" x14ac:dyDescent="0.25">
      <c r="F31" s="95">
        <f>SUM(F18:F30)</f>
        <v>428.05</v>
      </c>
    </row>
    <row r="32" spans="1:6" ht="13.5" thickTop="1" x14ac:dyDescent="0.2"/>
    <row r="34" spans="1:6" ht="20.100000000000001" customHeight="1" thickBot="1" x14ac:dyDescent="0.25">
      <c r="A34" s="96" t="s">
        <v>336</v>
      </c>
      <c r="B34" s="185" t="s">
        <v>3305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 codeName="Sheet336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</row>
    <row r="10" spans="1:6" x14ac:dyDescent="0.2">
      <c r="A10" s="91" t="s">
        <v>3373</v>
      </c>
      <c r="D10" s="92" t="s">
        <v>1357</v>
      </c>
      <c r="E10" s="98" t="s">
        <v>3372</v>
      </c>
    </row>
    <row r="11" spans="1:6" x14ac:dyDescent="0.2">
      <c r="A11" s="91" t="s">
        <v>3374</v>
      </c>
      <c r="D11" s="92" t="s">
        <v>1330</v>
      </c>
      <c r="E11" s="92" t="s">
        <v>1220</v>
      </c>
    </row>
    <row r="12" spans="1:6" x14ac:dyDescent="0.2">
      <c r="A12" s="91" t="s">
        <v>3375</v>
      </c>
      <c r="D12" s="92" t="s">
        <v>1224</v>
      </c>
      <c r="E12" s="94"/>
    </row>
    <row r="13" spans="1:6" x14ac:dyDescent="0.2">
      <c r="A13" s="91" t="s">
        <v>3376</v>
      </c>
    </row>
    <row r="14" spans="1:6" x14ac:dyDescent="0.2">
      <c r="A14" s="91" t="s">
        <v>3377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3378</v>
      </c>
    </row>
    <row r="19" spans="1:6" x14ac:dyDescent="0.2">
      <c r="C19" s="2" t="s">
        <v>3379</v>
      </c>
    </row>
    <row r="20" spans="1:6" x14ac:dyDescent="0.2">
      <c r="A20" s="93"/>
      <c r="B20" s="99"/>
    </row>
    <row r="21" spans="1:6" x14ac:dyDescent="0.2">
      <c r="A21" s="93" t="s">
        <v>3380</v>
      </c>
      <c r="B21" s="99"/>
      <c r="C21" s="91" t="s">
        <v>3382</v>
      </c>
      <c r="F21" s="91">
        <v>25000</v>
      </c>
    </row>
    <row r="22" spans="1:6" x14ac:dyDescent="0.2">
      <c r="C22" s="91" t="s">
        <v>3381</v>
      </c>
    </row>
    <row r="27" spans="1:6" x14ac:dyDescent="0.2">
      <c r="A27" s="93"/>
      <c r="B27" s="93"/>
    </row>
    <row r="29" spans="1:6" x14ac:dyDescent="0.2">
      <c r="B29" s="94"/>
    </row>
    <row r="34" spans="1:6" ht="13.5" thickBot="1" x14ac:dyDescent="0.25"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9" spans="1:6" x14ac:dyDescent="0.2">
      <c r="A39" s="96" t="s">
        <v>1075</v>
      </c>
      <c r="B39" s="185" t="s">
        <v>2519</v>
      </c>
      <c r="C39" s="97"/>
      <c r="D39" s="227"/>
      <c r="E39" s="227"/>
      <c r="F39" s="227"/>
    </row>
    <row r="40" spans="1:6" x14ac:dyDescent="0.2">
      <c r="A40" s="98" t="s">
        <v>10</v>
      </c>
      <c r="D40" s="228"/>
      <c r="E40" s="229"/>
      <c r="F40" s="229"/>
    </row>
    <row r="42" spans="1:6" x14ac:dyDescent="0.2">
      <c r="A42" s="98"/>
    </row>
    <row r="43" spans="1:6" x14ac:dyDescent="0.2">
      <c r="A43" s="98"/>
      <c r="C43" s="99"/>
    </row>
    <row r="44" spans="1:6" x14ac:dyDescent="0.2">
      <c r="A44" s="100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 t="s">
        <v>3972</v>
      </c>
    </row>
    <row r="48" spans="1:6" x14ac:dyDescent="0.2">
      <c r="A48" s="98"/>
    </row>
    <row r="49" spans="1:6" x14ac:dyDescent="0.2">
      <c r="A49" s="98" t="s">
        <v>4066</v>
      </c>
    </row>
    <row r="50" spans="1:6" x14ac:dyDescent="0.2">
      <c r="A50" s="100"/>
      <c r="B50" s="101"/>
      <c r="D50" s="101"/>
      <c r="E50" s="101"/>
      <c r="F50" s="101"/>
    </row>
    <row r="51" spans="1:6" s="61" customFormat="1" ht="17.100000000000001" customHeight="1" x14ac:dyDescent="0.2">
      <c r="A51" s="103" t="s">
        <v>35</v>
      </c>
      <c r="B51" s="104"/>
      <c r="D51" s="61" t="s">
        <v>3</v>
      </c>
    </row>
    <row r="52" spans="1:6" x14ac:dyDescent="0.2">
      <c r="A52" s="98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 codeName="Sheet337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5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3436</v>
      </c>
    </row>
    <row r="10" spans="1:6" x14ac:dyDescent="0.2">
      <c r="A10" s="91" t="s">
        <v>3438</v>
      </c>
      <c r="D10" s="92" t="s">
        <v>1357</v>
      </c>
      <c r="E10" s="98" t="s">
        <v>3427</v>
      </c>
    </row>
    <row r="11" spans="1:6" x14ac:dyDescent="0.2">
      <c r="A11" s="91" t="s">
        <v>3439</v>
      </c>
      <c r="D11" s="92" t="s">
        <v>1330</v>
      </c>
      <c r="E11" s="92" t="s">
        <v>1220</v>
      </c>
    </row>
    <row r="12" spans="1:6" x14ac:dyDescent="0.2">
      <c r="A12" s="91" t="s">
        <v>3440</v>
      </c>
      <c r="D12" s="92" t="s">
        <v>1224</v>
      </c>
      <c r="E12" s="94" t="s">
        <v>3437</v>
      </c>
    </row>
    <row r="13" spans="1:6" x14ac:dyDescent="0.2">
      <c r="A13" s="91" t="s">
        <v>3441</v>
      </c>
    </row>
    <row r="14" spans="1:6" x14ac:dyDescent="0.2">
      <c r="A14" s="91" t="s">
        <v>2244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/>
    </row>
    <row r="19" spans="1:6" x14ac:dyDescent="0.2">
      <c r="A19" s="93" t="s">
        <v>3442</v>
      </c>
      <c r="B19" s="93" t="s">
        <v>3443</v>
      </c>
      <c r="C19" s="91" t="s">
        <v>3444</v>
      </c>
      <c r="F19" s="91">
        <v>990</v>
      </c>
    </row>
    <row r="20" spans="1:6" x14ac:dyDescent="0.2">
      <c r="A20" s="93"/>
      <c r="B20" s="93"/>
      <c r="C20" s="91" t="s">
        <v>3445</v>
      </c>
    </row>
    <row r="21" spans="1:6" x14ac:dyDescent="0.2">
      <c r="B21" s="99"/>
      <c r="C21" s="91" t="s">
        <v>3446</v>
      </c>
    </row>
    <row r="22" spans="1:6" x14ac:dyDescent="0.2">
      <c r="B22" s="93"/>
    </row>
    <row r="23" spans="1:6" x14ac:dyDescent="0.2">
      <c r="B23" s="99"/>
    </row>
    <row r="24" spans="1:6" x14ac:dyDescent="0.2">
      <c r="A24" s="93"/>
      <c r="B24" s="93"/>
    </row>
    <row r="25" spans="1:6" x14ac:dyDescent="0.2">
      <c r="B25" s="93"/>
    </row>
    <row r="26" spans="1:6" x14ac:dyDescent="0.2">
      <c r="B26" s="99"/>
      <c r="C26" s="2"/>
    </row>
    <row r="27" spans="1:6" x14ac:dyDescent="0.2">
      <c r="B27" s="99"/>
      <c r="F27" s="2"/>
    </row>
    <row r="28" spans="1:6" x14ac:dyDescent="0.2">
      <c r="A28" s="93"/>
      <c r="B28" s="93"/>
    </row>
    <row r="29" spans="1:6" x14ac:dyDescent="0.2">
      <c r="B29" s="94"/>
    </row>
    <row r="31" spans="1:6" ht="13.5" thickBot="1" x14ac:dyDescent="0.25">
      <c r="F31" s="95">
        <f>SUM(F18:F30)</f>
        <v>990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3447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50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543">
    <pageSetUpPr fitToPage="1"/>
  </sheetPr>
  <dimension ref="A1:H56"/>
  <sheetViews>
    <sheetView workbookViewId="0">
      <selection activeCell="D26" sqref="D26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11" width="9.140625" style="152"/>
    <col min="12" max="12" width="10.42578125" style="152" bestFit="1" customWidth="1"/>
    <col min="13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F9" s="155" t="s">
        <v>1317</v>
      </c>
      <c r="G9" s="91" t="s">
        <v>8461</v>
      </c>
    </row>
    <row r="10" spans="1:8" x14ac:dyDescent="0.2">
      <c r="A10" s="153" t="s">
        <v>3191</v>
      </c>
      <c r="F10" s="155" t="s">
        <v>1329</v>
      </c>
      <c r="G10" s="92" t="s">
        <v>8443</v>
      </c>
    </row>
    <row r="11" spans="1:8" x14ac:dyDescent="0.2">
      <c r="A11" s="153" t="s">
        <v>5340</v>
      </c>
      <c r="F11" s="155" t="s">
        <v>1330</v>
      </c>
      <c r="G11" s="92" t="s">
        <v>2625</v>
      </c>
    </row>
    <row r="12" spans="1:8" x14ac:dyDescent="0.2">
      <c r="A12" s="153" t="s">
        <v>5341</v>
      </c>
      <c r="F12" s="155" t="s">
        <v>1331</v>
      </c>
      <c r="G12" s="94" t="s">
        <v>8467</v>
      </c>
    </row>
    <row r="13" spans="1:8" x14ac:dyDescent="0.2">
      <c r="A13" s="153" t="s">
        <v>5342</v>
      </c>
    </row>
    <row r="14" spans="1:8" x14ac:dyDescent="0.2">
      <c r="A14" s="153" t="s">
        <v>5343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C18" s="168"/>
      <c r="D18" s="163" t="s">
        <v>6075</v>
      </c>
      <c r="E18" s="163"/>
    </row>
    <row r="19" spans="1:8" x14ac:dyDescent="0.2">
      <c r="A19" s="164"/>
      <c r="E19" s="163"/>
    </row>
    <row r="20" spans="1:8" x14ac:dyDescent="0.2">
      <c r="A20" s="291" t="s">
        <v>8351</v>
      </c>
      <c r="B20" s="285" t="s">
        <v>8458</v>
      </c>
      <c r="D20" s="153" t="s">
        <v>8459</v>
      </c>
      <c r="H20" s="153">
        <v>150000</v>
      </c>
    </row>
    <row r="21" spans="1:8" x14ac:dyDescent="0.2">
      <c r="A21" s="164"/>
      <c r="D21" s="153" t="s">
        <v>8460</v>
      </c>
    </row>
    <row r="22" spans="1:8" x14ac:dyDescent="0.2">
      <c r="A22" s="164"/>
    </row>
    <row r="23" spans="1:8" x14ac:dyDescent="0.2">
      <c r="A23" s="168"/>
      <c r="B23" s="173"/>
      <c r="E23" s="163"/>
    </row>
    <row r="24" spans="1:8" x14ac:dyDescent="0.2">
      <c r="A24" s="166"/>
      <c r="B24" s="168"/>
      <c r="C24" s="168"/>
    </row>
    <row r="25" spans="1:8" x14ac:dyDescent="0.2">
      <c r="A25" s="164"/>
    </row>
    <row r="26" spans="1:8" x14ac:dyDescent="0.2">
      <c r="A26" s="164"/>
    </row>
    <row r="27" spans="1:8" x14ac:dyDescent="0.2">
      <c r="A27" s="164"/>
    </row>
    <row r="28" spans="1:8" x14ac:dyDescent="0.2">
      <c r="A28" s="164"/>
    </row>
    <row r="29" spans="1:8" x14ac:dyDescent="0.2">
      <c r="A29" s="164"/>
    </row>
    <row r="30" spans="1:8" x14ac:dyDescent="0.2">
      <c r="A30" s="168"/>
      <c r="D30" s="163"/>
      <c r="E30" s="163"/>
    </row>
    <row r="32" spans="1:8" x14ac:dyDescent="0.2">
      <c r="A32" s="168"/>
    </row>
    <row r="33" spans="1:8" x14ac:dyDescent="0.2">
      <c r="A33" s="168"/>
      <c r="B33" s="152"/>
      <c r="C33" s="152"/>
    </row>
    <row r="34" spans="1:8" x14ac:dyDescent="0.2">
      <c r="A34" s="152"/>
      <c r="B34" s="152"/>
      <c r="C34" s="152"/>
      <c r="D34" s="152"/>
      <c r="E34" s="152"/>
      <c r="F34" s="152"/>
      <c r="G34" s="152"/>
      <c r="H34" s="152"/>
    </row>
    <row r="35" spans="1:8" x14ac:dyDescent="0.2">
      <c r="A35" s="164"/>
      <c r="H35" s="152"/>
    </row>
    <row r="36" spans="1:8" ht="13.5" thickBot="1" x14ac:dyDescent="0.25">
      <c r="A36" s="164"/>
      <c r="H36" s="170">
        <f>SUM(H18:H34)</f>
        <v>150000</v>
      </c>
    </row>
    <row r="37" spans="1:8" ht="13.5" thickTop="1" x14ac:dyDescent="0.2">
      <c r="A37" s="164"/>
    </row>
    <row r="38" spans="1:8" ht="20.100000000000001" customHeight="1" x14ac:dyDescent="0.2">
      <c r="A38" s="171" t="s">
        <v>1248</v>
      </c>
      <c r="B38" s="213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>One Hundred Fifty Thousand and NO/100 -----------</v>
      </c>
      <c r="C38" s="213"/>
      <c r="D38" s="172"/>
      <c r="E38" s="172"/>
      <c r="F38" s="172"/>
      <c r="G38" s="172"/>
      <c r="H38" s="172"/>
    </row>
    <row r="39" spans="1:8" x14ac:dyDescent="0.2">
      <c r="A39" s="169"/>
    </row>
    <row r="40" spans="1:8" ht="25.5" x14ac:dyDescent="0.2">
      <c r="A40" s="156" t="s">
        <v>10</v>
      </c>
      <c r="D40" s="153" t="s">
        <v>8</v>
      </c>
      <c r="F40" s="242" t="s">
        <v>3975</v>
      </c>
      <c r="G40" s="243"/>
      <c r="H40" s="244"/>
    </row>
    <row r="42" spans="1:8" x14ac:dyDescent="0.2">
      <c r="F42" s="258"/>
      <c r="G42" s="258"/>
      <c r="H42" s="258"/>
    </row>
    <row r="43" spans="1:8" x14ac:dyDescent="0.2">
      <c r="A43" s="153" t="s">
        <v>120</v>
      </c>
      <c r="E43" s="173"/>
      <c r="F43" s="259"/>
      <c r="G43" s="260"/>
      <c r="H43" s="260"/>
    </row>
    <row r="44" spans="1:8" x14ac:dyDescent="0.2">
      <c r="A44" s="250"/>
      <c r="B44" s="174"/>
      <c r="D44" s="174"/>
    </row>
    <row r="45" spans="1:8" x14ac:dyDescent="0.2">
      <c r="D45" s="153" t="s">
        <v>50</v>
      </c>
    </row>
    <row r="47" spans="1:8" x14ac:dyDescent="0.2">
      <c r="A47" s="153" t="s">
        <v>8</v>
      </c>
      <c r="D47" s="153" t="s">
        <v>8</v>
      </c>
      <c r="F47" s="175" t="s">
        <v>7</v>
      </c>
      <c r="H47" s="176"/>
    </row>
    <row r="51" spans="1:8" x14ac:dyDescent="0.2">
      <c r="A51" s="174"/>
      <c r="B51" s="174"/>
      <c r="D51" s="174"/>
      <c r="F51" s="174"/>
      <c r="G51" s="174"/>
      <c r="H51" s="174"/>
    </row>
    <row r="52" spans="1:8" s="178" customFormat="1" ht="17.100000000000001" customHeight="1" x14ac:dyDescent="0.2">
      <c r="A52" s="153" t="s">
        <v>4066</v>
      </c>
      <c r="B52" s="177"/>
      <c r="C52" s="177"/>
      <c r="D52" s="153" t="s">
        <v>50</v>
      </c>
      <c r="E52" s="156"/>
      <c r="F52" s="156" t="s">
        <v>3</v>
      </c>
      <c r="G52" s="156"/>
      <c r="H52" s="156"/>
    </row>
    <row r="53" spans="1:8" x14ac:dyDescent="0.2">
      <c r="F53" s="153" t="s">
        <v>2</v>
      </c>
    </row>
    <row r="55" spans="1:8" x14ac:dyDescent="0.2">
      <c r="F55" s="163" t="s">
        <v>1</v>
      </c>
    </row>
    <row r="56" spans="1:8" x14ac:dyDescent="0.2">
      <c r="F56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 codeName="Sheet338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5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3495</v>
      </c>
      <c r="D9" s="92" t="s">
        <v>1358</v>
      </c>
      <c r="E9" s="91" t="s">
        <v>3507</v>
      </c>
    </row>
    <row r="10" spans="1:6" x14ac:dyDescent="0.2">
      <c r="A10" s="91" t="s">
        <v>3496</v>
      </c>
      <c r="D10" s="92" t="s">
        <v>1357</v>
      </c>
      <c r="E10" s="98" t="s">
        <v>3468</v>
      </c>
    </row>
    <row r="11" spans="1:6" x14ac:dyDescent="0.2">
      <c r="D11" s="92" t="s">
        <v>1330</v>
      </c>
      <c r="E11" s="92" t="s">
        <v>1220</v>
      </c>
    </row>
    <row r="12" spans="1:6" x14ac:dyDescent="0.2">
      <c r="D12" s="92" t="s">
        <v>1224</v>
      </c>
      <c r="E12" s="94" t="s">
        <v>3508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 t="s">
        <v>3497</v>
      </c>
    </row>
    <row r="19" spans="1:6" x14ac:dyDescent="0.2">
      <c r="B19" s="93"/>
    </row>
    <row r="20" spans="1:6" x14ac:dyDescent="0.2">
      <c r="A20" s="93" t="s">
        <v>3428</v>
      </c>
      <c r="B20" s="93"/>
      <c r="C20" s="91" t="s">
        <v>3498</v>
      </c>
      <c r="F20" s="91">
        <v>90</v>
      </c>
    </row>
    <row r="21" spans="1:6" x14ac:dyDescent="0.2">
      <c r="B21" s="99"/>
    </row>
    <row r="22" spans="1:6" x14ac:dyDescent="0.2">
      <c r="A22" s="93" t="s">
        <v>3451</v>
      </c>
      <c r="B22" s="93"/>
      <c r="C22" s="91" t="s">
        <v>3499</v>
      </c>
      <c r="F22" s="91">
        <v>90</v>
      </c>
    </row>
    <row r="23" spans="1:6" x14ac:dyDescent="0.2">
      <c r="B23" s="99"/>
    </row>
    <row r="24" spans="1:6" x14ac:dyDescent="0.2">
      <c r="A24" s="93"/>
      <c r="B24" s="93"/>
    </row>
    <row r="25" spans="1:6" x14ac:dyDescent="0.2">
      <c r="B25" s="93"/>
    </row>
    <row r="26" spans="1:6" x14ac:dyDescent="0.2">
      <c r="B26" s="99"/>
      <c r="C26" s="2"/>
    </row>
    <row r="27" spans="1:6" x14ac:dyDescent="0.2">
      <c r="B27" s="99"/>
      <c r="F27" s="2"/>
    </row>
    <row r="28" spans="1:6" x14ac:dyDescent="0.2">
      <c r="A28" s="93"/>
      <c r="B28" s="93"/>
    </row>
    <row r="29" spans="1:6" x14ac:dyDescent="0.2">
      <c r="B29" s="94"/>
    </row>
    <row r="31" spans="1:6" ht="13.5" thickBot="1" x14ac:dyDescent="0.25">
      <c r="F31" s="95">
        <f>SUM(F18:F30)</f>
        <v>180</v>
      </c>
    </row>
    <row r="32" spans="1:6" ht="13.5" thickTop="1" x14ac:dyDescent="0.2"/>
    <row r="33" spans="1:6" ht="20.100000000000001" customHeight="1" x14ac:dyDescent="0.2">
      <c r="A33" s="96" t="s">
        <v>336</v>
      </c>
      <c r="B33" s="185" t="s">
        <v>2136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50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 codeName="Sheet368"/>
  <dimension ref="A1:F52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3623</v>
      </c>
      <c r="D9" s="92" t="s">
        <v>1317</v>
      </c>
      <c r="E9" s="91" t="s">
        <v>3621</v>
      </c>
    </row>
    <row r="10" spans="1:6" x14ac:dyDescent="0.2">
      <c r="A10" s="91" t="s">
        <v>3624</v>
      </c>
      <c r="D10" s="92" t="s">
        <v>1329</v>
      </c>
      <c r="E10" s="98" t="s">
        <v>3620</v>
      </c>
    </row>
    <row r="11" spans="1:6" x14ac:dyDescent="0.2">
      <c r="A11" s="91" t="s">
        <v>3625</v>
      </c>
      <c r="D11" s="92" t="s">
        <v>1330</v>
      </c>
      <c r="E11" s="92" t="s">
        <v>1220</v>
      </c>
    </row>
    <row r="12" spans="1:6" x14ac:dyDescent="0.2">
      <c r="D12" s="92" t="s">
        <v>1331</v>
      </c>
      <c r="E12" s="94" t="s">
        <v>3622</v>
      </c>
    </row>
    <row r="13" spans="1:6" x14ac:dyDescent="0.2">
      <c r="A13" s="91" t="s">
        <v>3626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3640</v>
      </c>
    </row>
    <row r="19" spans="1:6" x14ac:dyDescent="0.2">
      <c r="A19" s="106"/>
      <c r="C19" s="2" t="s">
        <v>3627</v>
      </c>
    </row>
    <row r="20" spans="1:6" x14ac:dyDescent="0.2">
      <c r="A20" s="93"/>
      <c r="B20" s="99"/>
    </row>
    <row r="21" spans="1:6" x14ac:dyDescent="0.2">
      <c r="A21" s="93" t="s">
        <v>3628</v>
      </c>
      <c r="B21" s="93" t="s">
        <v>3629</v>
      </c>
      <c r="C21" s="91" t="s">
        <v>3630</v>
      </c>
      <c r="F21" s="91">
        <v>1850</v>
      </c>
    </row>
    <row r="22" spans="1:6" x14ac:dyDescent="0.2">
      <c r="C22" s="91" t="s">
        <v>3633</v>
      </c>
      <c r="F22" s="91">
        <v>2150</v>
      </c>
    </row>
    <row r="23" spans="1:6" x14ac:dyDescent="0.2">
      <c r="C23" s="91" t="s">
        <v>3641</v>
      </c>
      <c r="F23" s="91">
        <v>4260</v>
      </c>
    </row>
    <row r="24" spans="1:6" x14ac:dyDescent="0.2">
      <c r="A24" s="137"/>
      <c r="B24" s="99"/>
      <c r="C24" s="91" t="s">
        <v>3631</v>
      </c>
      <c r="F24" s="91">
        <v>400</v>
      </c>
    </row>
    <row r="25" spans="1:6" x14ac:dyDescent="0.2">
      <c r="C25" s="91" t="s">
        <v>3632</v>
      </c>
      <c r="F25" s="91">
        <v>150</v>
      </c>
    </row>
    <row r="26" spans="1:6" x14ac:dyDescent="0.2">
      <c r="C26" s="91" t="s">
        <v>3634</v>
      </c>
      <c r="F26" s="91">
        <v>220</v>
      </c>
    </row>
    <row r="27" spans="1:6" x14ac:dyDescent="0.2">
      <c r="C27" s="91" t="s">
        <v>3635</v>
      </c>
      <c r="F27" s="91">
        <v>780.8</v>
      </c>
    </row>
    <row r="28" spans="1:6" x14ac:dyDescent="0.2">
      <c r="A28" s="93"/>
      <c r="B28" s="99"/>
    </row>
    <row r="29" spans="1:6" x14ac:dyDescent="0.2">
      <c r="A29" s="137" t="s">
        <v>3628</v>
      </c>
      <c r="B29" s="93" t="s">
        <v>3636</v>
      </c>
      <c r="C29" s="91" t="s">
        <v>3637</v>
      </c>
      <c r="F29" s="91">
        <v>600</v>
      </c>
    </row>
    <row r="30" spans="1:6" x14ac:dyDescent="0.2">
      <c r="A30" s="137"/>
      <c r="B30" s="94"/>
      <c r="C30" s="91" t="s">
        <v>3638</v>
      </c>
    </row>
    <row r="31" spans="1:6" x14ac:dyDescent="0.2">
      <c r="A31" s="137"/>
      <c r="B31" s="94"/>
    </row>
    <row r="32" spans="1:6" x14ac:dyDescent="0.2">
      <c r="A32" s="7"/>
      <c r="B32" s="1"/>
      <c r="C32" s="80"/>
      <c r="D32" s="1"/>
      <c r="E32" s="1"/>
      <c r="F32" s="1"/>
    </row>
    <row r="33" spans="1:6" ht="13.5" thickBot="1" x14ac:dyDescent="0.25">
      <c r="A33" s="106"/>
      <c r="F33" s="107">
        <f>SUM(F19:F32)</f>
        <v>10410.799999999999</v>
      </c>
    </row>
    <row r="34" spans="1:6" ht="14.25" thickTop="1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185" t="s">
        <v>3639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61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 codeName="Sheet369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3757</v>
      </c>
      <c r="G9" s="61"/>
    </row>
    <row r="10" spans="1:7" x14ac:dyDescent="0.2">
      <c r="A10" s="91" t="s">
        <v>3759</v>
      </c>
      <c r="D10" s="92" t="s">
        <v>1335</v>
      </c>
      <c r="E10" s="92" t="s">
        <v>3739</v>
      </c>
      <c r="G10" s="113"/>
    </row>
    <row r="11" spans="1:7" x14ac:dyDescent="0.2">
      <c r="A11" s="91" t="s">
        <v>3760</v>
      </c>
      <c r="D11" s="92" t="s">
        <v>1333</v>
      </c>
      <c r="E11" s="92" t="s">
        <v>1220</v>
      </c>
      <c r="G11" s="113"/>
    </row>
    <row r="12" spans="1:7" x14ac:dyDescent="0.2">
      <c r="A12" s="91" t="s">
        <v>3761</v>
      </c>
      <c r="D12" s="92" t="s">
        <v>1331</v>
      </c>
      <c r="E12" s="92" t="s">
        <v>3758</v>
      </c>
      <c r="G12" s="113"/>
    </row>
    <row r="13" spans="1:7" x14ac:dyDescent="0.2">
      <c r="A13" s="91" t="s">
        <v>1284</v>
      </c>
    </row>
    <row r="14" spans="1:7" x14ac:dyDescent="0.2">
      <c r="A14" s="91" t="s">
        <v>3762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3763</v>
      </c>
    </row>
    <row r="19" spans="1:6" x14ac:dyDescent="0.2">
      <c r="A19" s="93"/>
      <c r="B19" s="111"/>
      <c r="C19" s="2"/>
    </row>
    <row r="20" spans="1:6" x14ac:dyDescent="0.2">
      <c r="A20" s="93" t="s">
        <v>3745</v>
      </c>
      <c r="B20" s="111" t="s">
        <v>3764</v>
      </c>
      <c r="C20" s="91" t="s">
        <v>3765</v>
      </c>
      <c r="F20" s="91">
        <v>558</v>
      </c>
    </row>
    <row r="21" spans="1:6" x14ac:dyDescent="0.2">
      <c r="A21" s="93"/>
      <c r="B21" s="111"/>
    </row>
    <row r="22" spans="1:6" x14ac:dyDescent="0.2">
      <c r="C22" s="91" t="s">
        <v>3766</v>
      </c>
      <c r="F22" s="91">
        <v>1733</v>
      </c>
    </row>
    <row r="23" spans="1:6" x14ac:dyDescent="0.2">
      <c r="A23" s="93"/>
      <c r="B23" s="111"/>
      <c r="C23" s="143"/>
    </row>
    <row r="24" spans="1:6" x14ac:dyDescent="0.2">
      <c r="A24" s="93"/>
      <c r="B24" s="93"/>
    </row>
    <row r="26" spans="1:6" x14ac:dyDescent="0.2">
      <c r="A26" s="93"/>
      <c r="B26" s="99"/>
      <c r="C26" s="2"/>
    </row>
    <row r="27" spans="1:6" x14ac:dyDescent="0.2">
      <c r="A27" s="111"/>
      <c r="B27" s="93"/>
      <c r="C27" s="2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5" spans="1:6" ht="13.5" thickBot="1" x14ac:dyDescent="0.25">
      <c r="F35" s="95">
        <f>SUM(F18:F33)</f>
        <v>2291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Two Hundred Ninety-One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 codeName="Sheet370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13" t="s">
        <v>3793</v>
      </c>
      <c r="G9" s="61"/>
    </row>
    <row r="10" spans="1:7" x14ac:dyDescent="0.2">
      <c r="A10" s="91" t="s">
        <v>3795</v>
      </c>
      <c r="D10" s="92" t="s">
        <v>1335</v>
      </c>
      <c r="E10" s="98" t="s">
        <v>3787</v>
      </c>
      <c r="G10" s="113"/>
    </row>
    <row r="11" spans="1:7" x14ac:dyDescent="0.2">
      <c r="A11" s="91" t="s">
        <v>3796</v>
      </c>
      <c r="D11" s="92" t="s">
        <v>1333</v>
      </c>
      <c r="E11" s="92" t="s">
        <v>1220</v>
      </c>
      <c r="G11" s="113"/>
    </row>
    <row r="12" spans="1:7" x14ac:dyDescent="0.2">
      <c r="A12" s="91" t="s">
        <v>3716</v>
      </c>
      <c r="D12" s="92" t="s">
        <v>1331</v>
      </c>
      <c r="E12" s="94" t="s">
        <v>3794</v>
      </c>
      <c r="G12" s="113"/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3797</v>
      </c>
    </row>
    <row r="19" spans="1:6" x14ac:dyDescent="0.2">
      <c r="A19" s="93"/>
      <c r="B19" s="111"/>
      <c r="C19" s="2"/>
    </row>
    <row r="20" spans="1:6" x14ac:dyDescent="0.2">
      <c r="A20" s="92" t="s">
        <v>3798</v>
      </c>
      <c r="B20" s="210"/>
      <c r="C20" s="91" t="s">
        <v>3799</v>
      </c>
      <c r="F20" s="91">
        <v>1500</v>
      </c>
    </row>
    <row r="22" spans="1:6" x14ac:dyDescent="0.2">
      <c r="A22" s="93"/>
      <c r="B22" s="111"/>
    </row>
    <row r="25" spans="1:6" x14ac:dyDescent="0.2">
      <c r="A25" s="93"/>
      <c r="B25" s="109"/>
      <c r="F25" s="151"/>
    </row>
    <row r="26" spans="1:6" x14ac:dyDescent="0.2">
      <c r="A26" s="93"/>
      <c r="B26" s="93"/>
      <c r="C26" s="2"/>
    </row>
    <row r="27" spans="1:6" x14ac:dyDescent="0.2">
      <c r="A27" s="111"/>
      <c r="B27" s="93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208">
        <f>SUM(F18:F33)</f>
        <v>1500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 codeName="Sheet373">
    <pageSetUpPr fitToPage="1"/>
  </sheetPr>
  <dimension ref="A1:H52"/>
  <sheetViews>
    <sheetView topLeftCell="A13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.140625" style="91" customWidth="1"/>
    <col min="4" max="4" width="21" style="91" customWidth="1"/>
    <col min="5" max="5" width="1.42578125" style="91" customWidth="1"/>
    <col min="6" max="6" width="12.710937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5955</v>
      </c>
    </row>
    <row r="10" spans="1:8" x14ac:dyDescent="0.2">
      <c r="A10" s="91" t="s">
        <v>3951</v>
      </c>
      <c r="F10" s="92" t="s">
        <v>1357</v>
      </c>
      <c r="G10" s="98" t="s">
        <v>5956</v>
      </c>
    </row>
    <row r="11" spans="1:8" x14ac:dyDescent="0.2">
      <c r="A11" s="91" t="s">
        <v>5957</v>
      </c>
      <c r="F11" s="92" t="s">
        <v>1330</v>
      </c>
      <c r="G11" s="92" t="s">
        <v>1220</v>
      </c>
    </row>
    <row r="12" spans="1:8" x14ac:dyDescent="0.2">
      <c r="A12" s="91" t="s">
        <v>5958</v>
      </c>
      <c r="F12" s="92" t="s">
        <v>1224</v>
      </c>
      <c r="G12" s="94" t="s">
        <v>770</v>
      </c>
    </row>
    <row r="13" spans="1:8" x14ac:dyDescent="0.2">
      <c r="A13" s="91" t="s">
        <v>5959</v>
      </c>
    </row>
    <row r="16" spans="1:8" s="14" customFormat="1" ht="20.100000000000001" customHeight="1" x14ac:dyDescent="0.2">
      <c r="A16" s="31" t="s">
        <v>1261</v>
      </c>
      <c r="B16" s="31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14" t="s">
        <v>5960</v>
      </c>
      <c r="E18" s="14"/>
    </row>
    <row r="19" spans="1:8" x14ac:dyDescent="0.2">
      <c r="A19" s="93"/>
      <c r="B19" s="99"/>
      <c r="C19" s="99"/>
      <c r="D19" s="14"/>
      <c r="E19" s="14"/>
    </row>
    <row r="20" spans="1:8" x14ac:dyDescent="0.2">
      <c r="A20" s="93" t="s">
        <v>5961</v>
      </c>
      <c r="B20" s="93" t="s">
        <v>5962</v>
      </c>
      <c r="C20" s="93"/>
      <c r="D20" s="91" t="s">
        <v>5963</v>
      </c>
      <c r="H20" s="91">
        <f>67331.25*0.546844</f>
        <v>36819.690074999999</v>
      </c>
    </row>
    <row r="21" spans="1:8" x14ac:dyDescent="0.2">
      <c r="D21" s="91" t="s">
        <v>5964</v>
      </c>
    </row>
    <row r="23" spans="1:8" x14ac:dyDescent="0.2">
      <c r="A23" s="99"/>
      <c r="B23" s="93"/>
      <c r="C23" s="93"/>
      <c r="D23" s="91" t="s">
        <v>52</v>
      </c>
      <c r="H23" s="91">
        <v>30</v>
      </c>
    </row>
    <row r="24" spans="1:8" x14ac:dyDescent="0.2">
      <c r="A24" s="99"/>
      <c r="B24" s="93"/>
      <c r="C24" s="93"/>
    </row>
    <row r="25" spans="1:8" x14ac:dyDescent="0.2">
      <c r="A25" s="99"/>
      <c r="B25" s="93"/>
      <c r="C25" s="93"/>
      <c r="D25" s="91" t="s">
        <v>2147</v>
      </c>
      <c r="H25" s="91">
        <f>H23*6%</f>
        <v>1.7999999999999998</v>
      </c>
    </row>
    <row r="26" spans="1:8" x14ac:dyDescent="0.2">
      <c r="A26" s="93"/>
      <c r="B26" s="93"/>
      <c r="C26" s="93"/>
    </row>
    <row r="27" spans="1:8" x14ac:dyDescent="0.2">
      <c r="A27" s="99"/>
      <c r="B27" s="99"/>
      <c r="C27" s="99"/>
    </row>
    <row r="28" spans="1:8" x14ac:dyDescent="0.2">
      <c r="A28" s="93"/>
      <c r="B28" s="93"/>
      <c r="C28" s="93"/>
      <c r="D28" s="2"/>
      <c r="E28" s="2"/>
    </row>
    <row r="29" spans="1:8" x14ac:dyDescent="0.2">
      <c r="H29" s="2"/>
    </row>
    <row r="30" spans="1:8" x14ac:dyDescent="0.2">
      <c r="A30" s="93"/>
      <c r="B30" s="93"/>
      <c r="C30" s="93"/>
    </row>
    <row r="31" spans="1:8" x14ac:dyDescent="0.2">
      <c r="B31" s="94"/>
      <c r="C31" s="94"/>
    </row>
    <row r="33" spans="1:8" ht="13.5" thickBot="1" x14ac:dyDescent="0.25">
      <c r="H33" s="95">
        <f>SUM(H18:H32)</f>
        <v>36851.490075000002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Thirty-Six Thousand Eight Hundred Fifty-One and 49/100 -----------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8" t="s">
        <v>10</v>
      </c>
      <c r="F37" s="218" t="s">
        <v>3975</v>
      </c>
      <c r="G37" s="219"/>
      <c r="H37" s="220"/>
    </row>
    <row r="38" spans="1:8" x14ac:dyDescent="0.2">
      <c r="A38" s="98"/>
    </row>
    <row r="39" spans="1:8" x14ac:dyDescent="0.2">
      <c r="A39" s="98"/>
      <c r="F39" s="227"/>
      <c r="G39" s="227"/>
      <c r="H39" s="227"/>
    </row>
    <row r="40" spans="1:8" x14ac:dyDescent="0.2">
      <c r="A40" s="98"/>
      <c r="D40" s="99"/>
      <c r="E40" s="99"/>
      <c r="F40" s="228"/>
      <c r="G40" s="229"/>
      <c r="H40" s="229"/>
    </row>
    <row r="41" spans="1:8" x14ac:dyDescent="0.2">
      <c r="A41" s="101"/>
      <c r="B41" s="101"/>
    </row>
    <row r="42" spans="1:8" x14ac:dyDescent="0.2">
      <c r="A42" s="98"/>
    </row>
    <row r="43" spans="1:8" x14ac:dyDescent="0.2">
      <c r="A43" s="98" t="s">
        <v>8</v>
      </c>
      <c r="D43" s="98" t="s">
        <v>8</v>
      </c>
      <c r="F43" s="98" t="s">
        <v>7</v>
      </c>
      <c r="H43" s="102"/>
    </row>
    <row r="44" spans="1:8" x14ac:dyDescent="0.2">
      <c r="A44" s="98"/>
      <c r="D44" s="98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100"/>
      <c r="B47" s="101"/>
      <c r="D47" s="100"/>
      <c r="F47" s="101"/>
      <c r="G47" s="101"/>
      <c r="H47" s="101"/>
    </row>
    <row r="48" spans="1:8" s="61" customFormat="1" ht="17.100000000000001" customHeight="1" x14ac:dyDescent="0.2">
      <c r="A48" s="98" t="s">
        <v>4066</v>
      </c>
      <c r="B48" s="104"/>
      <c r="C48" s="104"/>
      <c r="D48" s="98" t="s">
        <v>50</v>
      </c>
      <c r="F48" s="61" t="s">
        <v>3</v>
      </c>
    </row>
    <row r="49" spans="1:6" x14ac:dyDescent="0.2">
      <c r="A49" s="98"/>
      <c r="F49" s="91" t="s">
        <v>2</v>
      </c>
    </row>
    <row r="50" spans="1:6" x14ac:dyDescent="0.2">
      <c r="A50" s="98"/>
    </row>
    <row r="51" spans="1:6" x14ac:dyDescent="0.2">
      <c r="F51" s="2" t="s">
        <v>1</v>
      </c>
    </row>
    <row r="52" spans="1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 codeName="Sheet415"/>
  <dimension ref="A1:L53"/>
  <sheetViews>
    <sheetView topLeftCell="A16" zoomScaleNormal="100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3982</v>
      </c>
      <c r="G9" s="61"/>
    </row>
    <row r="10" spans="1:7" x14ac:dyDescent="0.2">
      <c r="A10" s="91" t="s">
        <v>3495</v>
      </c>
      <c r="D10" s="92" t="s">
        <v>1335</v>
      </c>
      <c r="E10" s="92" t="s">
        <v>3981</v>
      </c>
      <c r="G10" s="113"/>
    </row>
    <row r="11" spans="1:7" x14ac:dyDescent="0.2">
      <c r="A11" s="91" t="s">
        <v>3983</v>
      </c>
      <c r="D11" s="92" t="s">
        <v>1333</v>
      </c>
      <c r="E11" s="92" t="s">
        <v>1220</v>
      </c>
      <c r="G11" s="113"/>
    </row>
    <row r="12" spans="1:7" x14ac:dyDescent="0.2">
      <c r="D12" s="92" t="s">
        <v>1331</v>
      </c>
      <c r="E12" s="94"/>
      <c r="G12" s="113"/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/>
      <c r="B18" s="111"/>
      <c r="C18" s="91" t="s">
        <v>3984</v>
      </c>
      <c r="F18" s="91">
        <v>90</v>
      </c>
      <c r="I18" s="91"/>
      <c r="J18" s="91"/>
      <c r="K18" s="91"/>
      <c r="L18" s="91"/>
    </row>
    <row r="19" spans="1:12" x14ac:dyDescent="0.2">
      <c r="A19" s="1"/>
      <c r="B19" s="1"/>
      <c r="I19" s="91"/>
      <c r="J19" s="91"/>
      <c r="K19" s="91"/>
      <c r="L19" s="110"/>
    </row>
    <row r="20" spans="1:12" x14ac:dyDescent="0.2">
      <c r="A20" s="1"/>
      <c r="B20" s="1"/>
      <c r="F20" s="110"/>
      <c r="I20" s="91"/>
      <c r="J20" s="91"/>
      <c r="K20" s="91"/>
      <c r="L20" s="91"/>
    </row>
    <row r="21" spans="1:12" x14ac:dyDescent="0.2">
      <c r="I21" s="91"/>
      <c r="J21" s="91"/>
      <c r="K21" s="91"/>
      <c r="L21" s="91"/>
    </row>
    <row r="22" spans="1:12" x14ac:dyDescent="0.2">
      <c r="I22" s="91"/>
      <c r="J22" s="91"/>
      <c r="K22" s="91"/>
      <c r="L22" s="110"/>
    </row>
    <row r="23" spans="1:12" x14ac:dyDescent="0.2">
      <c r="F23" s="110"/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111"/>
      <c r="B26" s="111"/>
      <c r="F26" s="110"/>
    </row>
    <row r="27" spans="1:12" x14ac:dyDescent="0.2">
      <c r="A27" s="93"/>
      <c r="B27" s="111"/>
    </row>
    <row r="28" spans="1:12" x14ac:dyDescent="0.2">
      <c r="A28" s="93"/>
      <c r="B28" s="111"/>
    </row>
    <row r="29" spans="1:12" x14ac:dyDescent="0.2">
      <c r="A29" s="1"/>
      <c r="B29" s="1"/>
      <c r="F29" s="110"/>
    </row>
    <row r="30" spans="1:12" x14ac:dyDescent="0.2">
      <c r="A30" s="1"/>
      <c r="B30" s="1"/>
    </row>
    <row r="34" spans="1:6" ht="13.5" thickBot="1" x14ac:dyDescent="0.25">
      <c r="F34" s="95">
        <f>SUM(F18:F33)</f>
        <v>90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Ninety and NO/100 -----------</v>
      </c>
      <c r="C36" s="97"/>
      <c r="D36" s="206"/>
      <c r="E36" s="206"/>
      <c r="F36" s="206"/>
    </row>
    <row r="37" spans="1:6" x14ac:dyDescent="0.2">
      <c r="A37" s="94" t="s">
        <v>11</v>
      </c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8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9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 codeName="Sheet416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13" t="s">
        <v>4007</v>
      </c>
      <c r="G9" s="61"/>
    </row>
    <row r="10" spans="1:7" x14ac:dyDescent="0.2">
      <c r="A10" s="91" t="s">
        <v>4013</v>
      </c>
      <c r="D10" s="92" t="s">
        <v>1335</v>
      </c>
      <c r="E10" s="98" t="s">
        <v>4004</v>
      </c>
      <c r="G10" s="113"/>
    </row>
    <row r="11" spans="1:7" x14ac:dyDescent="0.2">
      <c r="A11" s="91" t="s">
        <v>4005</v>
      </c>
      <c r="D11" s="92" t="s">
        <v>1333</v>
      </c>
      <c r="E11" s="92" t="s">
        <v>1220</v>
      </c>
      <c r="G11" s="113"/>
    </row>
    <row r="12" spans="1:7" x14ac:dyDescent="0.2">
      <c r="A12" s="91" t="s">
        <v>1659</v>
      </c>
      <c r="D12" s="92" t="s">
        <v>1331</v>
      </c>
      <c r="E12" s="94" t="s">
        <v>4040</v>
      </c>
      <c r="G12" s="113"/>
    </row>
    <row r="13" spans="1:7" x14ac:dyDescent="0.2">
      <c r="A13" s="91" t="s">
        <v>4006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 t="s">
        <v>4009</v>
      </c>
      <c r="B18" s="111" t="s">
        <v>4008</v>
      </c>
      <c r="C18" s="91" t="s">
        <v>4010</v>
      </c>
      <c r="F18" s="91">
        <v>480</v>
      </c>
    </row>
    <row r="20" spans="1:6" x14ac:dyDescent="0.2">
      <c r="A20" s="93"/>
      <c r="B20" s="111"/>
      <c r="C20" s="91" t="s">
        <v>4011</v>
      </c>
      <c r="F20" s="91">
        <v>180</v>
      </c>
    </row>
    <row r="21" spans="1:6" x14ac:dyDescent="0.2">
      <c r="C21" s="91" t="s">
        <v>4012</v>
      </c>
    </row>
    <row r="23" spans="1:6" x14ac:dyDescent="0.2">
      <c r="A23" s="93"/>
      <c r="B23" s="109"/>
      <c r="F23" s="151"/>
    </row>
    <row r="24" spans="1:6" x14ac:dyDescent="0.2">
      <c r="A24" s="93"/>
      <c r="B24" s="93"/>
    </row>
    <row r="25" spans="1:6" x14ac:dyDescent="0.2">
      <c r="A25" s="111"/>
      <c r="B25" s="93"/>
    </row>
    <row r="26" spans="1:6" x14ac:dyDescent="0.2">
      <c r="A26" s="111"/>
      <c r="B26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208">
        <f>SUM(F18:F33)</f>
        <v>660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Six Hundred Sixty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91" t="s">
        <v>3972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 codeName="Sheet417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13" t="s">
        <v>4119</v>
      </c>
      <c r="G9" s="61"/>
    </row>
    <row r="10" spans="1:7" x14ac:dyDescent="0.2">
      <c r="A10" s="91" t="s">
        <v>4073</v>
      </c>
      <c r="D10" s="92" t="s">
        <v>1335</v>
      </c>
      <c r="E10" s="98" t="s">
        <v>4120</v>
      </c>
      <c r="G10" s="113"/>
    </row>
    <row r="11" spans="1:7" x14ac:dyDescent="0.2">
      <c r="A11" s="91" t="s">
        <v>4074</v>
      </c>
      <c r="D11" s="92" t="s">
        <v>1333</v>
      </c>
      <c r="E11" s="92" t="s">
        <v>1220</v>
      </c>
      <c r="G11" s="113"/>
    </row>
    <row r="12" spans="1:7" x14ac:dyDescent="0.2">
      <c r="A12" s="91" t="s">
        <v>4075</v>
      </c>
      <c r="D12" s="92" t="s">
        <v>1331</v>
      </c>
      <c r="E12" s="94" t="s">
        <v>4121</v>
      </c>
      <c r="G12" s="113"/>
    </row>
    <row r="13" spans="1:7" x14ac:dyDescent="0.2">
      <c r="A13" s="91" t="s">
        <v>4076</v>
      </c>
    </row>
    <row r="14" spans="1:7" x14ac:dyDescent="0.2">
      <c r="A14" s="91" t="s">
        <v>4077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4078</v>
      </c>
    </row>
    <row r="19" spans="1:6" x14ac:dyDescent="0.2">
      <c r="A19" s="93"/>
      <c r="B19" s="111"/>
      <c r="C19" s="2"/>
    </row>
    <row r="20" spans="1:6" x14ac:dyDescent="0.2">
      <c r="A20" s="93" t="s">
        <v>4056</v>
      </c>
      <c r="B20" s="111" t="s">
        <v>4079</v>
      </c>
      <c r="C20" s="91" t="s">
        <v>4080</v>
      </c>
      <c r="F20" s="91">
        <f>112+18+165+298+48+195</f>
        <v>836</v>
      </c>
    </row>
    <row r="22" spans="1:6" x14ac:dyDescent="0.2">
      <c r="A22" s="93"/>
      <c r="B22" s="111"/>
      <c r="C22" s="91" t="s">
        <v>4081</v>
      </c>
      <c r="F22" s="91">
        <v>28</v>
      </c>
    </row>
    <row r="24" spans="1:6" x14ac:dyDescent="0.2">
      <c r="C24" s="91" t="s">
        <v>4082</v>
      </c>
      <c r="F24" s="91">
        <v>98</v>
      </c>
    </row>
    <row r="25" spans="1:6" x14ac:dyDescent="0.2">
      <c r="A25" s="93"/>
      <c r="B25" s="109"/>
      <c r="F25" s="151"/>
    </row>
    <row r="26" spans="1:6" x14ac:dyDescent="0.2">
      <c r="A26" s="93"/>
      <c r="B26" s="93"/>
    </row>
    <row r="27" spans="1:6" x14ac:dyDescent="0.2">
      <c r="A27" s="111"/>
      <c r="B27" s="93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208">
        <f>SUM(F18:F33)</f>
        <v>962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Nine Hundred Sixty-Two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209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 codeName="Sheet418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13" t="s">
        <v>4263</v>
      </c>
      <c r="G9" s="61"/>
    </row>
    <row r="10" spans="1:7" x14ac:dyDescent="0.2">
      <c r="A10" s="91" t="s">
        <v>4083</v>
      </c>
      <c r="D10" s="92" t="s">
        <v>1335</v>
      </c>
      <c r="E10" s="98" t="s">
        <v>4242</v>
      </c>
      <c r="G10" s="113"/>
    </row>
    <row r="11" spans="1:7" x14ac:dyDescent="0.2">
      <c r="A11" s="91" t="s">
        <v>4084</v>
      </c>
      <c r="D11" s="92" t="s">
        <v>1333</v>
      </c>
      <c r="E11" s="92" t="s">
        <v>1220</v>
      </c>
      <c r="G11" s="113"/>
    </row>
    <row r="12" spans="1:7" x14ac:dyDescent="0.2">
      <c r="A12" s="91" t="s">
        <v>4085</v>
      </c>
      <c r="D12" s="92" t="s">
        <v>1331</v>
      </c>
      <c r="E12" s="94" t="s">
        <v>4264</v>
      </c>
      <c r="G12" s="113"/>
    </row>
    <row r="13" spans="1:7" x14ac:dyDescent="0.2">
      <c r="A13" s="91" t="s">
        <v>4086</v>
      </c>
    </row>
    <row r="14" spans="1:7" x14ac:dyDescent="0.2">
      <c r="A14" s="91" t="s">
        <v>4087</v>
      </c>
    </row>
    <row r="15" spans="1:7" x14ac:dyDescent="0.2">
      <c r="A15" s="91" t="s">
        <v>4088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4267</v>
      </c>
    </row>
    <row r="19" spans="1:6" x14ac:dyDescent="0.2">
      <c r="A19" s="93"/>
      <c r="B19" s="111"/>
      <c r="C19" s="2"/>
    </row>
    <row r="20" spans="1:6" x14ac:dyDescent="0.2">
      <c r="A20" s="93" t="s">
        <v>4265</v>
      </c>
      <c r="B20" s="111" t="s">
        <v>4266</v>
      </c>
      <c r="C20" s="91" t="s">
        <v>4268</v>
      </c>
      <c r="F20" s="91">
        <v>45</v>
      </c>
    </row>
    <row r="21" spans="1:6" x14ac:dyDescent="0.2">
      <c r="C21" s="91" t="s">
        <v>4269</v>
      </c>
      <c r="F21" s="91">
        <f>179+258+42</f>
        <v>479</v>
      </c>
    </row>
    <row r="22" spans="1:6" x14ac:dyDescent="0.2">
      <c r="A22" s="93"/>
      <c r="B22" s="111"/>
      <c r="C22" s="91" t="s">
        <v>4270</v>
      </c>
      <c r="F22" s="91">
        <f>158+292.95</f>
        <v>450.95</v>
      </c>
    </row>
    <row r="23" spans="1:6" x14ac:dyDescent="0.2">
      <c r="C23" s="91" t="s">
        <v>4271</v>
      </c>
      <c r="F23" s="91">
        <v>40</v>
      </c>
    </row>
    <row r="24" spans="1:6" x14ac:dyDescent="0.2">
      <c r="C24" s="91" t="s">
        <v>4272</v>
      </c>
      <c r="F24" s="91">
        <v>197.5</v>
      </c>
    </row>
    <row r="25" spans="1:6" x14ac:dyDescent="0.2">
      <c r="A25" s="93"/>
      <c r="B25" s="109"/>
      <c r="C25" s="91" t="s">
        <v>4273</v>
      </c>
      <c r="F25" s="91">
        <v>44.7</v>
      </c>
    </row>
    <row r="26" spans="1:6" x14ac:dyDescent="0.2">
      <c r="A26" s="93"/>
      <c r="B26" s="93"/>
    </row>
    <row r="27" spans="1:6" x14ac:dyDescent="0.2">
      <c r="A27" s="111"/>
      <c r="B27" s="93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208">
        <f>SUM(F18:F33)</f>
        <v>1257.1500000000001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Two Hundred Fifty-Seven and 15/100 -----------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209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 codeName="Sheet175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4405</v>
      </c>
      <c r="G9" s="61"/>
    </row>
    <row r="10" spans="1:7" x14ac:dyDescent="0.2">
      <c r="A10" s="91" t="s">
        <v>2108</v>
      </c>
      <c r="D10" s="92" t="s">
        <v>1335</v>
      </c>
      <c r="E10" s="92" t="s">
        <v>4362</v>
      </c>
      <c r="G10" s="113"/>
    </row>
    <row r="11" spans="1:7" x14ac:dyDescent="0.2">
      <c r="A11" s="91" t="s">
        <v>2787</v>
      </c>
      <c r="D11" s="92" t="s">
        <v>1333</v>
      </c>
      <c r="E11" s="92" t="s">
        <v>1220</v>
      </c>
      <c r="G11" s="113"/>
    </row>
    <row r="12" spans="1:7" x14ac:dyDescent="0.2">
      <c r="A12" s="91" t="s">
        <v>2109</v>
      </c>
      <c r="D12" s="92" t="s">
        <v>1331</v>
      </c>
      <c r="E12" s="94" t="s">
        <v>4406</v>
      </c>
      <c r="G12" s="113"/>
    </row>
    <row r="13" spans="1:7" x14ac:dyDescent="0.2">
      <c r="A13" s="91" t="s">
        <v>1284</v>
      </c>
    </row>
    <row r="14" spans="1:7" x14ac:dyDescent="0.2">
      <c r="A14" s="91" t="s">
        <v>2110</v>
      </c>
    </row>
    <row r="15" spans="1:7" x14ac:dyDescent="0.2">
      <c r="A15" s="91" t="s">
        <v>2111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 t="s">
        <v>4407</v>
      </c>
      <c r="B18" s="111" t="s">
        <v>4408</v>
      </c>
      <c r="C18" s="91" t="s">
        <v>4409</v>
      </c>
      <c r="F18" s="91">
        <v>300</v>
      </c>
      <c r="I18" s="91"/>
      <c r="J18" s="91"/>
      <c r="K18" s="91"/>
      <c r="L18" s="91"/>
    </row>
    <row r="19" spans="1:12" x14ac:dyDescent="0.2">
      <c r="A19" s="1"/>
      <c r="B19" s="1"/>
      <c r="C19" s="91" t="s">
        <v>2313</v>
      </c>
      <c r="I19" s="91"/>
      <c r="J19" s="91"/>
      <c r="K19" s="91"/>
      <c r="L19" s="110"/>
    </row>
    <row r="20" spans="1:12" x14ac:dyDescent="0.2">
      <c r="A20" s="1"/>
      <c r="B20" s="1"/>
      <c r="C20" s="91" t="s">
        <v>2316</v>
      </c>
      <c r="F20" s="110">
        <v>40</v>
      </c>
      <c r="I20" s="91"/>
      <c r="J20" s="91"/>
      <c r="K20" s="91"/>
      <c r="L20" s="91"/>
    </row>
    <row r="21" spans="1:12" x14ac:dyDescent="0.2">
      <c r="C21" s="91" t="s">
        <v>2299</v>
      </c>
      <c r="F21" s="91">
        <v>18</v>
      </c>
      <c r="I21" s="91"/>
      <c r="J21" s="91"/>
      <c r="K21" s="91"/>
      <c r="L21" s="91"/>
    </row>
    <row r="22" spans="1:12" x14ac:dyDescent="0.2">
      <c r="I22" s="91"/>
      <c r="J22" s="91"/>
      <c r="K22" s="91"/>
      <c r="L22" s="110"/>
    </row>
    <row r="23" spans="1:12" x14ac:dyDescent="0.2">
      <c r="A23" s="93" t="s">
        <v>4416</v>
      </c>
      <c r="B23" s="99" t="s">
        <v>4417</v>
      </c>
      <c r="C23" s="91" t="s">
        <v>4418</v>
      </c>
      <c r="F23" s="91">
        <v>300</v>
      </c>
      <c r="I23" s="91"/>
      <c r="J23" s="91"/>
      <c r="K23" s="91"/>
      <c r="L23" s="91"/>
    </row>
    <row r="24" spans="1:12" x14ac:dyDescent="0.2">
      <c r="A24" s="93"/>
      <c r="B24" s="111"/>
      <c r="C24" s="91" t="s">
        <v>2313</v>
      </c>
      <c r="I24" s="91"/>
      <c r="J24" s="91"/>
      <c r="K24" s="91"/>
      <c r="L24" s="91"/>
    </row>
    <row r="25" spans="1:12" x14ac:dyDescent="0.2">
      <c r="A25" s="93"/>
      <c r="B25" s="111"/>
      <c r="C25" s="91" t="s">
        <v>2314</v>
      </c>
      <c r="F25" s="91">
        <v>10</v>
      </c>
    </row>
    <row r="26" spans="1:12" x14ac:dyDescent="0.2">
      <c r="A26" s="93"/>
      <c r="B26" s="111"/>
      <c r="C26" s="91" t="s">
        <v>2315</v>
      </c>
      <c r="F26" s="91">
        <v>20</v>
      </c>
    </row>
    <row r="27" spans="1:12" x14ac:dyDescent="0.2">
      <c r="A27" s="1"/>
      <c r="B27" s="1"/>
      <c r="C27" s="91" t="s">
        <v>2316</v>
      </c>
      <c r="F27" s="91">
        <v>30</v>
      </c>
    </row>
    <row r="28" spans="1:12" x14ac:dyDescent="0.2">
      <c r="A28" s="1"/>
      <c r="B28" s="1"/>
      <c r="C28" s="91" t="s">
        <v>2299</v>
      </c>
      <c r="F28" s="91">
        <v>18</v>
      </c>
    </row>
    <row r="30" spans="1:12" x14ac:dyDescent="0.2">
      <c r="A30" s="1"/>
      <c r="B30" s="1"/>
    </row>
    <row r="31" spans="1:12" x14ac:dyDescent="0.2">
      <c r="A31" s="93"/>
      <c r="B31" s="111"/>
    </row>
    <row r="36" spans="1:6" ht="13.5" thickBot="1" x14ac:dyDescent="0.25">
      <c r="F36" s="95">
        <f>SUM(F18:F35)</f>
        <v>736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Seven Hundred Thirty-Six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44">
    <pageSetUpPr fitToPage="1"/>
  </sheetPr>
  <dimension ref="A1:H53"/>
  <sheetViews>
    <sheetView workbookViewId="0">
      <selection activeCell="B21" sqref="B21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F9" s="155" t="s">
        <v>1317</v>
      </c>
      <c r="G9" s="155" t="s">
        <v>6718</v>
      </c>
    </row>
    <row r="10" spans="1:8" x14ac:dyDescent="0.2">
      <c r="A10" s="153" t="s">
        <v>2922</v>
      </c>
      <c r="F10" s="155" t="s">
        <v>1329</v>
      </c>
      <c r="G10" s="155" t="s">
        <v>6717</v>
      </c>
    </row>
    <row r="11" spans="1:8" x14ac:dyDescent="0.2">
      <c r="A11" s="153" t="s">
        <v>5340</v>
      </c>
      <c r="F11" s="155" t="s">
        <v>1330</v>
      </c>
      <c r="G11" s="155" t="s">
        <v>1220</v>
      </c>
    </row>
    <row r="12" spans="1:8" x14ac:dyDescent="0.2">
      <c r="A12" s="153" t="s">
        <v>5341</v>
      </c>
      <c r="F12" s="155" t="s">
        <v>1331</v>
      </c>
      <c r="G12" s="94"/>
    </row>
    <row r="13" spans="1:8" x14ac:dyDescent="0.2">
      <c r="A13" s="153" t="s">
        <v>5342</v>
      </c>
    </row>
    <row r="14" spans="1:8" x14ac:dyDescent="0.2">
      <c r="A14" s="153" t="s">
        <v>5343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168" t="s">
        <v>6695</v>
      </c>
      <c r="B18" s="285" t="s">
        <v>6719</v>
      </c>
      <c r="D18" s="153" t="s">
        <v>6720</v>
      </c>
      <c r="E18" s="163"/>
      <c r="H18" s="153">
        <v>100000</v>
      </c>
    </row>
    <row r="19" spans="1:8" x14ac:dyDescent="0.2">
      <c r="A19" s="164"/>
      <c r="D19" s="153" t="s">
        <v>6721</v>
      </c>
    </row>
    <row r="20" spans="1:8" x14ac:dyDescent="0.2">
      <c r="A20" s="166"/>
      <c r="B20" s="168"/>
      <c r="C20" s="168"/>
    </row>
    <row r="21" spans="1:8" x14ac:dyDescent="0.2">
      <c r="A21" s="164"/>
      <c r="E21" s="163"/>
    </row>
    <row r="22" spans="1:8" x14ac:dyDescent="0.2">
      <c r="A22" s="164"/>
    </row>
    <row r="23" spans="1:8" x14ac:dyDescent="0.2">
      <c r="A23" s="168"/>
      <c r="B23" s="173"/>
    </row>
    <row r="24" spans="1:8" x14ac:dyDescent="0.2">
      <c r="A24" s="166"/>
      <c r="B24" s="168"/>
      <c r="C24" s="168"/>
    </row>
    <row r="25" spans="1:8" x14ac:dyDescent="0.2">
      <c r="A25" s="164"/>
    </row>
    <row r="26" spans="1:8" x14ac:dyDescent="0.2">
      <c r="A26" s="164"/>
    </row>
    <row r="27" spans="1:8" x14ac:dyDescent="0.2">
      <c r="A27" s="168"/>
      <c r="D27" s="163"/>
      <c r="E27" s="163"/>
    </row>
    <row r="29" spans="1:8" x14ac:dyDescent="0.2">
      <c r="A29" s="168"/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100000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>One Hundred Thousand and NO/100 -----------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3" t="s">
        <v>10</v>
      </c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 codeName="Sheet419"/>
  <dimension ref="A1:N54"/>
  <sheetViews>
    <sheetView zoomScaleNormal="100" zoomScaleSheetLayoutView="85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85546875" style="91" customWidth="1"/>
    <col min="4" max="4" width="18.42578125" style="91" customWidth="1"/>
    <col min="5" max="5" width="0.85546875" style="91" customWidth="1"/>
    <col min="6" max="6" width="14.140625" style="91" customWidth="1"/>
    <col min="7" max="7" width="10.7109375" style="91" customWidth="1"/>
    <col min="8" max="8" width="12.425781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91" t="s">
        <v>7681</v>
      </c>
      <c r="I9" s="61"/>
    </row>
    <row r="10" spans="1:9" x14ac:dyDescent="0.2">
      <c r="A10" s="91" t="s">
        <v>4410</v>
      </c>
      <c r="F10" s="92" t="s">
        <v>1335</v>
      </c>
      <c r="G10" s="91" t="s">
        <v>7679</v>
      </c>
      <c r="I10" s="113"/>
    </row>
    <row r="11" spans="1:9" x14ac:dyDescent="0.2">
      <c r="A11" s="91" t="s">
        <v>6451</v>
      </c>
      <c r="F11" s="92" t="s">
        <v>1333</v>
      </c>
      <c r="G11" s="91" t="s">
        <v>1220</v>
      </c>
      <c r="I11" s="113"/>
    </row>
    <row r="12" spans="1:9" x14ac:dyDescent="0.2">
      <c r="A12" s="91" t="s">
        <v>4411</v>
      </c>
      <c r="F12" s="92" t="s">
        <v>1331</v>
      </c>
      <c r="G12" s="94" t="s">
        <v>7682</v>
      </c>
      <c r="I12" s="113"/>
    </row>
    <row r="13" spans="1:9" x14ac:dyDescent="0.2">
      <c r="A13" s="91" t="s">
        <v>4412</v>
      </c>
      <c r="G13" s="91" t="s">
        <v>6823</v>
      </c>
    </row>
    <row r="14" spans="1:9" x14ac:dyDescent="0.2">
      <c r="A14" s="94" t="s">
        <v>1508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4" x14ac:dyDescent="0.2">
      <c r="A18" s="93"/>
      <c r="B18" s="111"/>
      <c r="C18" s="111"/>
      <c r="D18" s="2" t="s">
        <v>7644</v>
      </c>
      <c r="E18" s="2"/>
      <c r="K18" s="91"/>
      <c r="L18" s="91"/>
      <c r="M18" s="91"/>
      <c r="N18" s="91"/>
    </row>
    <row r="19" spans="1:14" x14ac:dyDescent="0.2">
      <c r="K19" s="91"/>
      <c r="L19" s="91"/>
      <c r="M19" s="91"/>
      <c r="N19" s="110"/>
    </row>
    <row r="20" spans="1:14" x14ac:dyDescent="0.2">
      <c r="A20" s="93" t="s">
        <v>7616</v>
      </c>
      <c r="B20" s="99" t="s">
        <v>7645</v>
      </c>
      <c r="C20" s="428"/>
      <c r="D20" s="91" t="s">
        <v>7646</v>
      </c>
      <c r="H20" s="110">
        <v>600</v>
      </c>
      <c r="K20" s="91"/>
      <c r="L20" s="91"/>
      <c r="M20" s="91"/>
      <c r="N20" s="91"/>
    </row>
    <row r="21" spans="1:14" x14ac:dyDescent="0.2">
      <c r="K21" s="91"/>
      <c r="L21" s="91"/>
      <c r="M21" s="91"/>
      <c r="N21" s="91"/>
    </row>
    <row r="22" spans="1:14" x14ac:dyDescent="0.2">
      <c r="K22" s="91"/>
      <c r="L22" s="91"/>
      <c r="M22" s="91"/>
      <c r="N22" s="110"/>
    </row>
    <row r="23" spans="1:14" x14ac:dyDescent="0.2">
      <c r="K23" s="91"/>
      <c r="L23" s="91"/>
      <c r="M23" s="91"/>
      <c r="N23" s="91"/>
    </row>
    <row r="24" spans="1:14" x14ac:dyDescent="0.2">
      <c r="A24" s="93"/>
      <c r="B24" s="111"/>
      <c r="C24" s="111"/>
      <c r="K24" s="91"/>
      <c r="L24" s="91"/>
      <c r="M24" s="91"/>
      <c r="N24" s="91"/>
    </row>
    <row r="25" spans="1:14" x14ac:dyDescent="0.2">
      <c r="A25" s="93"/>
      <c r="B25" s="111"/>
      <c r="C25" s="111"/>
    </row>
    <row r="26" spans="1:14" x14ac:dyDescent="0.2">
      <c r="A26" s="93"/>
      <c r="B26" s="111"/>
      <c r="C26" s="111"/>
    </row>
    <row r="28" spans="1:14" x14ac:dyDescent="0.2">
      <c r="H28" s="110"/>
    </row>
    <row r="30" spans="1:14" x14ac:dyDescent="0.2">
      <c r="A30" s="93"/>
      <c r="B30" s="111"/>
      <c r="C30" s="111"/>
    </row>
    <row r="35" spans="1:8" ht="13.5" thickBot="1" x14ac:dyDescent="0.25">
      <c r="H35" s="95">
        <f>SUM(H18:H34)</f>
        <v>600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97"/>
      <c r="F37" s="206"/>
      <c r="G37" s="206"/>
      <c r="H37" s="206"/>
    </row>
    <row r="38" spans="1:8" x14ac:dyDescent="0.2">
      <c r="A38" s="94" t="s">
        <v>11</v>
      </c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F40" s="227"/>
      <c r="G40" s="227"/>
      <c r="H40" s="227"/>
    </row>
    <row r="41" spans="1:8" x14ac:dyDescent="0.2">
      <c r="F41" s="228"/>
      <c r="G41" s="229"/>
      <c r="H41" s="229"/>
    </row>
    <row r="42" spans="1:8" x14ac:dyDescent="0.2">
      <c r="A42" s="1"/>
    </row>
    <row r="43" spans="1:8" x14ac:dyDescent="0.2">
      <c r="A43" s="101"/>
      <c r="B43" s="101"/>
      <c r="C43" s="386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C49" s="386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7647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 codeName="Sheet42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4471</v>
      </c>
    </row>
    <row r="10" spans="1:6" x14ac:dyDescent="0.2">
      <c r="A10" s="91" t="s">
        <v>4474</v>
      </c>
      <c r="D10" s="92" t="s">
        <v>1357</v>
      </c>
      <c r="E10" s="98" t="s">
        <v>4473</v>
      </c>
    </row>
    <row r="11" spans="1:6" x14ac:dyDescent="0.2">
      <c r="A11" s="91" t="s">
        <v>4475</v>
      </c>
      <c r="D11" s="92" t="s">
        <v>1330</v>
      </c>
      <c r="E11" s="92" t="s">
        <v>1220</v>
      </c>
    </row>
    <row r="12" spans="1:6" x14ac:dyDescent="0.2">
      <c r="A12" s="91" t="s">
        <v>4476</v>
      </c>
      <c r="D12" s="92" t="s">
        <v>1224</v>
      </c>
      <c r="E12" s="92" t="s">
        <v>4472</v>
      </c>
    </row>
    <row r="13" spans="1:6" x14ac:dyDescent="0.2">
      <c r="A13" s="91" t="s">
        <v>4477</v>
      </c>
    </row>
    <row r="14" spans="1:6" x14ac:dyDescent="0.2">
      <c r="A14" s="91" t="s">
        <v>4478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C18" s="2" t="s">
        <v>4118</v>
      </c>
    </row>
    <row r="19" spans="1:6" x14ac:dyDescent="0.2">
      <c r="A19" s="93"/>
      <c r="B19" s="93"/>
    </row>
    <row r="20" spans="1:6" x14ac:dyDescent="0.2">
      <c r="A20" s="93" t="s">
        <v>4415</v>
      </c>
      <c r="B20" s="93" t="s">
        <v>4479</v>
      </c>
      <c r="C20" s="91" t="s">
        <v>4480</v>
      </c>
      <c r="F20" s="91">
        <v>1500</v>
      </c>
    </row>
    <row r="21" spans="1:6" x14ac:dyDescent="0.2">
      <c r="C21" s="91" t="s">
        <v>4481</v>
      </c>
    </row>
    <row r="24" spans="1:6" x14ac:dyDescent="0.2">
      <c r="A24" s="93"/>
      <c r="B24" s="93"/>
    </row>
    <row r="26" spans="1:6" x14ac:dyDescent="0.2">
      <c r="B26" s="94"/>
    </row>
    <row r="33" spans="1:6" ht="13.5" thickBot="1" x14ac:dyDescent="0.25">
      <c r="F33" s="95">
        <f>SUM(F18:F32)</f>
        <v>1500</v>
      </c>
    </row>
    <row r="34" spans="1:6" ht="13.5" thickTop="1" x14ac:dyDescent="0.2">
      <c r="F34" s="238"/>
    </row>
    <row r="35" spans="1:6" ht="20.100000000000001" customHeight="1" x14ac:dyDescent="0.2">
      <c r="A35" s="96" t="s">
        <v>1075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Five Hundred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8" t="s">
        <v>10</v>
      </c>
      <c r="D37" s="218" t="s">
        <v>3975</v>
      </c>
      <c r="E37" s="219"/>
      <c r="F37" s="220"/>
    </row>
    <row r="38" spans="1:6" x14ac:dyDescent="0.2">
      <c r="A38" s="98"/>
    </row>
    <row r="39" spans="1:6" x14ac:dyDescent="0.2">
      <c r="A39" s="98"/>
      <c r="D39" s="227"/>
      <c r="E39" s="227"/>
      <c r="F39" s="227"/>
    </row>
    <row r="40" spans="1:6" x14ac:dyDescent="0.2">
      <c r="A40" s="98"/>
      <c r="C40" s="99"/>
      <c r="D40" s="228"/>
      <c r="E40" s="229"/>
      <c r="F40" s="229"/>
    </row>
    <row r="41" spans="1:6" x14ac:dyDescent="0.2">
      <c r="A41" s="101"/>
      <c r="B41" s="101"/>
    </row>
    <row r="42" spans="1:6" x14ac:dyDescent="0.2">
      <c r="A42" s="98"/>
    </row>
    <row r="43" spans="1:6" x14ac:dyDescent="0.2">
      <c r="A43" s="98" t="s">
        <v>8</v>
      </c>
      <c r="D43" s="98" t="s">
        <v>7</v>
      </c>
      <c r="F43" s="102"/>
    </row>
    <row r="44" spans="1:6" x14ac:dyDescent="0.2">
      <c r="A44" s="98"/>
    </row>
    <row r="45" spans="1:6" x14ac:dyDescent="0.2">
      <c r="A45" s="98"/>
    </row>
    <row r="46" spans="1:6" x14ac:dyDescent="0.2">
      <c r="A46" s="98"/>
    </row>
    <row r="47" spans="1:6" x14ac:dyDescent="0.2">
      <c r="A47" s="100"/>
      <c r="B47" s="101"/>
      <c r="D47" s="101"/>
      <c r="E47" s="101"/>
      <c r="F47" s="101"/>
    </row>
    <row r="48" spans="1:6" s="61" customFormat="1" ht="17.100000000000001" customHeight="1" x14ac:dyDescent="0.2">
      <c r="A48" s="98" t="s">
        <v>4066</v>
      </c>
      <c r="B48" s="104"/>
      <c r="D48" s="61" t="s">
        <v>3</v>
      </c>
    </row>
    <row r="49" spans="1:4" x14ac:dyDescent="0.2">
      <c r="A49" s="98"/>
      <c r="D49" s="91" t="s">
        <v>2</v>
      </c>
    </row>
    <row r="50" spans="1:4" x14ac:dyDescent="0.2">
      <c r="A50" s="98"/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 codeName="Sheet422"/>
  <dimension ref="A1:N55"/>
  <sheetViews>
    <sheetView view="pageBreakPreview" topLeftCell="A4" zoomScaleNormal="100" zoomScaleSheetLayoutView="100" workbookViewId="0">
      <selection activeCell="G9" sqref="G9:G12"/>
    </sheetView>
  </sheetViews>
  <sheetFormatPr defaultRowHeight="12.75" x14ac:dyDescent="0.2"/>
  <cols>
    <col min="1" max="1" width="14" style="91" customWidth="1"/>
    <col min="2" max="2" width="12.42578125" style="91" customWidth="1"/>
    <col min="3" max="3" width="0.7109375" style="91" customWidth="1"/>
    <col min="4" max="4" width="21" style="91" customWidth="1"/>
    <col min="5" max="5" width="0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4" x14ac:dyDescent="0.2">
      <c r="A8" s="91" t="s">
        <v>32</v>
      </c>
      <c r="F8" s="22" t="s">
        <v>31</v>
      </c>
    </row>
    <row r="9" spans="1:14" x14ac:dyDescent="0.2">
      <c r="F9" s="92" t="s">
        <v>1317</v>
      </c>
      <c r="G9" s="91" t="s">
        <v>7871</v>
      </c>
      <c r="J9" s="1" t="s">
        <v>7871</v>
      </c>
      <c r="K9" s="1">
        <v>43728</v>
      </c>
      <c r="M9" s="1" t="s">
        <v>7872</v>
      </c>
    </row>
    <row r="10" spans="1:14" x14ac:dyDescent="0.2">
      <c r="A10" s="91" t="s">
        <v>4537</v>
      </c>
      <c r="F10" s="92" t="s">
        <v>1329</v>
      </c>
      <c r="G10" s="92" t="s">
        <v>7874</v>
      </c>
    </row>
    <row r="11" spans="1:14" x14ac:dyDescent="0.2">
      <c r="A11" s="91" t="s">
        <v>4538</v>
      </c>
      <c r="F11" s="92" t="s">
        <v>1330</v>
      </c>
      <c r="G11" s="92" t="s">
        <v>1220</v>
      </c>
    </row>
    <row r="12" spans="1:14" x14ac:dyDescent="0.2">
      <c r="A12" s="91" t="s">
        <v>4539</v>
      </c>
      <c r="F12" s="92" t="s">
        <v>1331</v>
      </c>
      <c r="G12" s="92" t="s">
        <v>7872</v>
      </c>
    </row>
    <row r="13" spans="1:14" x14ac:dyDescent="0.2">
      <c r="A13" s="91" t="s">
        <v>4540</v>
      </c>
    </row>
    <row r="14" spans="1:14" x14ac:dyDescent="0.2">
      <c r="A14" s="91" t="s">
        <v>2513</v>
      </c>
    </row>
    <row r="15" spans="1:14" x14ac:dyDescent="0.2">
      <c r="N15" s="80" t="s">
        <v>658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416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7587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7869</v>
      </c>
      <c r="B20" s="195" t="s">
        <v>7875</v>
      </c>
      <c r="C20" s="195"/>
      <c r="D20" s="91" t="s">
        <v>7876</v>
      </c>
      <c r="H20" s="91">
        <v>94338</v>
      </c>
    </row>
    <row r="21" spans="1:8" x14ac:dyDescent="0.2">
      <c r="A21" s="93"/>
      <c r="B21" s="94"/>
      <c r="C21" s="94"/>
      <c r="D21" s="91" t="s">
        <v>6886</v>
      </c>
      <c r="H21" s="91">
        <f>H20*6%</f>
        <v>5660.28</v>
      </c>
    </row>
    <row r="22" spans="1:8" x14ac:dyDescent="0.2">
      <c r="A22" s="93"/>
      <c r="B22" s="99"/>
      <c r="C22" s="417"/>
    </row>
    <row r="25" spans="1:8" x14ac:dyDescent="0.2">
      <c r="A25" s="137"/>
      <c r="B25" s="99"/>
      <c r="C25" s="417"/>
    </row>
    <row r="26" spans="1:8" x14ac:dyDescent="0.2">
      <c r="D26" s="143"/>
      <c r="E26" s="143"/>
    </row>
    <row r="27" spans="1:8" x14ac:dyDescent="0.2">
      <c r="D27" s="2"/>
      <c r="E27" s="2"/>
    </row>
    <row r="28" spans="1:8" x14ac:dyDescent="0.2">
      <c r="A28" s="93"/>
      <c r="B28" s="93"/>
      <c r="C28" s="93"/>
    </row>
    <row r="29" spans="1:8" x14ac:dyDescent="0.2">
      <c r="A29" s="93"/>
      <c r="B29" s="99"/>
      <c r="C29" s="417"/>
    </row>
    <row r="30" spans="1:8" x14ac:dyDescent="0.2">
      <c r="A30" s="93"/>
      <c r="B30" s="99"/>
      <c r="C30" s="417"/>
    </row>
    <row r="31" spans="1:8" x14ac:dyDescent="0.2">
      <c r="A31" s="99"/>
    </row>
    <row r="32" spans="1:8" x14ac:dyDescent="0.2">
      <c r="A32" s="137"/>
      <c r="B32" s="94"/>
      <c r="C32" s="94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99998.28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Ninety-Nine Thousand Nine Hundred Ninety-Eight and 28/100 -----------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  <c r="C42" s="386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61" t="s">
        <v>4066</v>
      </c>
      <c r="B49" s="104"/>
      <c r="C49" s="104"/>
      <c r="D49" s="6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  <row r="55" spans="1:8" x14ac:dyDescent="0.2">
      <c r="F55" s="2"/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2"/>
  <headerFooter alignWithMargins="0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 codeName="Sheet423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4631</v>
      </c>
      <c r="G9" s="61"/>
    </row>
    <row r="10" spans="1:7" x14ac:dyDescent="0.2">
      <c r="A10" s="91" t="s">
        <v>4604</v>
      </c>
      <c r="D10" s="92" t="s">
        <v>1335</v>
      </c>
      <c r="E10" s="92" t="s">
        <v>4629</v>
      </c>
      <c r="G10" s="113"/>
    </row>
    <row r="11" spans="1:7" x14ac:dyDescent="0.2">
      <c r="A11" s="91" t="s">
        <v>4605</v>
      </c>
      <c r="D11" s="92" t="s">
        <v>1333</v>
      </c>
      <c r="E11" s="92" t="s">
        <v>1220</v>
      </c>
      <c r="G11" s="113"/>
    </row>
    <row r="12" spans="1:7" x14ac:dyDescent="0.2">
      <c r="A12" s="91" t="s">
        <v>4606</v>
      </c>
      <c r="D12" s="92" t="s">
        <v>1331</v>
      </c>
      <c r="E12" s="92" t="s">
        <v>4632</v>
      </c>
      <c r="G12" s="113"/>
    </row>
    <row r="13" spans="1:7" x14ac:dyDescent="0.2">
      <c r="A13" s="91" t="s">
        <v>4607</v>
      </c>
    </row>
    <row r="14" spans="1:7" x14ac:dyDescent="0.2">
      <c r="A14" s="91" t="s">
        <v>4608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146" t="s">
        <v>4609</v>
      </c>
    </row>
    <row r="19" spans="1:6" x14ac:dyDescent="0.2">
      <c r="A19" s="93"/>
      <c r="B19" s="111"/>
    </row>
    <row r="20" spans="1:6" x14ac:dyDescent="0.2">
      <c r="A20" s="93" t="s">
        <v>4598</v>
      </c>
      <c r="B20" s="111" t="s">
        <v>4610</v>
      </c>
      <c r="C20" s="91" t="s">
        <v>4611</v>
      </c>
      <c r="F20" s="91">
        <v>4000</v>
      </c>
    </row>
    <row r="21" spans="1:6" x14ac:dyDescent="0.2">
      <c r="A21" s="93"/>
      <c r="B21" s="111"/>
    </row>
    <row r="22" spans="1:6" x14ac:dyDescent="0.2">
      <c r="A22" s="93"/>
      <c r="B22" s="111"/>
    </row>
    <row r="23" spans="1:6" x14ac:dyDescent="0.2">
      <c r="A23" s="93"/>
      <c r="B23" s="111"/>
    </row>
    <row r="24" spans="1:6" x14ac:dyDescent="0.2">
      <c r="A24" s="93"/>
      <c r="B24" s="111"/>
    </row>
    <row r="25" spans="1:6" x14ac:dyDescent="0.2">
      <c r="A25" s="93"/>
      <c r="B25" s="111"/>
      <c r="C25" s="143"/>
    </row>
    <row r="26" spans="1:6" x14ac:dyDescent="0.2">
      <c r="A26" s="111"/>
      <c r="B26" s="93"/>
      <c r="F26" s="151"/>
    </row>
    <row r="27" spans="1:6" x14ac:dyDescent="0.2">
      <c r="A27" s="93"/>
      <c r="B27" s="93"/>
      <c r="C27" s="2"/>
    </row>
    <row r="28" spans="1:6" x14ac:dyDescent="0.2">
      <c r="C28" s="2"/>
    </row>
    <row r="29" spans="1:6" x14ac:dyDescent="0.2">
      <c r="A29" s="111"/>
      <c r="B29" s="93"/>
    </row>
    <row r="30" spans="1:6" x14ac:dyDescent="0.2">
      <c r="A30" s="108"/>
    </row>
    <row r="31" spans="1:6" x14ac:dyDescent="0.2">
      <c r="A31" s="111"/>
      <c r="B31" s="93"/>
      <c r="F31" s="110"/>
    </row>
    <row r="32" spans="1:6" x14ac:dyDescent="0.2">
      <c r="A32" s="93"/>
      <c r="B32" s="93"/>
    </row>
    <row r="34" spans="1:6" x14ac:dyDescent="0.2">
      <c r="F34" s="2"/>
    </row>
    <row r="35" spans="1:6" ht="13.5" thickBot="1" x14ac:dyDescent="0.25">
      <c r="F35" s="95">
        <f>SUM(F19:F34)</f>
        <v>4000</v>
      </c>
    </row>
    <row r="36" spans="1:6" ht="13.5" thickTop="1" x14ac:dyDescent="0.2">
      <c r="F36" s="101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and NO/100 -----------</v>
      </c>
      <c r="C37" s="97"/>
      <c r="D37" s="97"/>
      <c r="E37" s="97"/>
      <c r="F37" s="20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1" spans="1:6" x14ac:dyDescent="0.2">
      <c r="D41" s="227"/>
      <c r="E41" s="227"/>
      <c r="F41" s="227"/>
    </row>
    <row r="42" spans="1:6" x14ac:dyDescent="0.2">
      <c r="A42" s="91" t="s">
        <v>121</v>
      </c>
      <c r="C42" s="99"/>
      <c r="D42" s="228"/>
      <c r="E42" s="229"/>
      <c r="F42" s="229"/>
    </row>
    <row r="43" spans="1:6" x14ac:dyDescent="0.2">
      <c r="A43" s="23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 codeName="Sheet424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4633</v>
      </c>
    </row>
    <row r="10" spans="1:6" x14ac:dyDescent="0.2">
      <c r="A10" s="91" t="s">
        <v>4634</v>
      </c>
      <c r="D10" s="92" t="s">
        <v>1329</v>
      </c>
      <c r="E10" s="91" t="s">
        <v>4612</v>
      </c>
    </row>
    <row r="11" spans="1:6" x14ac:dyDescent="0.2">
      <c r="A11" s="91" t="s">
        <v>4635</v>
      </c>
      <c r="D11" s="92" t="s">
        <v>1330</v>
      </c>
      <c r="E11" s="91" t="s">
        <v>1220</v>
      </c>
    </row>
    <row r="12" spans="1:6" x14ac:dyDescent="0.2">
      <c r="D12" s="92" t="s">
        <v>1331</v>
      </c>
      <c r="E12" s="91" t="s">
        <v>770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4636</v>
      </c>
    </row>
    <row r="19" spans="1:6" x14ac:dyDescent="0.2">
      <c r="A19" s="106"/>
      <c r="C19" s="2"/>
    </row>
    <row r="20" spans="1:6" x14ac:dyDescent="0.2">
      <c r="A20" s="93"/>
      <c r="B20" s="99"/>
      <c r="C20" s="91" t="s">
        <v>4637</v>
      </c>
      <c r="F20" s="91">
        <f>99000*0.493143</f>
        <v>48821.156999999999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52</v>
      </c>
      <c r="F22" s="91">
        <v>30</v>
      </c>
    </row>
    <row r="24" spans="1:6" x14ac:dyDescent="0.2">
      <c r="C24" s="91" t="s">
        <v>4638</v>
      </c>
      <c r="F24" s="91">
        <f>F22*6%</f>
        <v>1.7999999999999998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48852.957000000002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Forty-Eight Thousand Eight Hundred Fifty-Two and 96/100 -----------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 codeName="Sheet425"/>
  <dimension ref="A1:F53"/>
  <sheetViews>
    <sheetView topLeftCell="A43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5123</v>
      </c>
    </row>
    <row r="10" spans="1:6" x14ac:dyDescent="0.2">
      <c r="A10" s="91" t="s">
        <v>4639</v>
      </c>
      <c r="D10" s="92" t="s">
        <v>1329</v>
      </c>
      <c r="E10" s="91" t="s">
        <v>5125</v>
      </c>
    </row>
    <row r="11" spans="1:6" x14ac:dyDescent="0.2">
      <c r="A11" s="91" t="s">
        <v>4640</v>
      </c>
      <c r="D11" s="92" t="s">
        <v>1330</v>
      </c>
      <c r="E11" s="91" t="s">
        <v>1220</v>
      </c>
    </row>
    <row r="12" spans="1:6" x14ac:dyDescent="0.2">
      <c r="A12" s="91" t="s">
        <v>4641</v>
      </c>
      <c r="D12" s="92" t="s">
        <v>1331</v>
      </c>
      <c r="E12" s="91" t="s">
        <v>5124</v>
      </c>
    </row>
    <row r="13" spans="1:6" x14ac:dyDescent="0.2">
      <c r="A13" s="91" t="s">
        <v>1471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4642</v>
      </c>
    </row>
    <row r="19" spans="1:6" x14ac:dyDescent="0.2">
      <c r="A19" s="106"/>
      <c r="C19" s="2"/>
    </row>
    <row r="20" spans="1:6" x14ac:dyDescent="0.2">
      <c r="A20" s="93" t="s">
        <v>5126</v>
      </c>
      <c r="B20" s="99" t="s">
        <v>5127</v>
      </c>
      <c r="C20" s="91" t="s">
        <v>5128</v>
      </c>
      <c r="F20" s="91">
        <v>2500</v>
      </c>
    </row>
    <row r="21" spans="1:6" x14ac:dyDescent="0.2">
      <c r="A21" s="93" t="s">
        <v>11</v>
      </c>
      <c r="B21" s="94"/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2500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Five Hundred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43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 codeName="Sheet489"/>
  <dimension ref="A1:Q62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21" style="153" customWidth="1"/>
    <col min="4" max="4" width="13.28515625" style="153" customWidth="1"/>
    <col min="5" max="5" width="9" style="153" customWidth="1"/>
    <col min="6" max="6" width="13.28515625" style="153" customWidth="1"/>
    <col min="7" max="7" width="9.140625" style="152"/>
    <col min="8" max="8" width="14" style="152" bestFit="1" customWidth="1"/>
    <col min="9" max="9" width="11" style="152" bestFit="1" customWidth="1"/>
    <col min="10" max="16384" width="9.140625" style="152"/>
  </cols>
  <sheetData>
    <row r="1" spans="1:17" ht="15" x14ac:dyDescent="0.25">
      <c r="A1" s="523" t="s">
        <v>34</v>
      </c>
      <c r="B1" s="523"/>
      <c r="C1" s="523"/>
      <c r="D1" s="523"/>
      <c r="E1" s="523"/>
      <c r="F1" s="523"/>
    </row>
    <row r="2" spans="1:17" x14ac:dyDescent="0.2">
      <c r="A2" s="524" t="s">
        <v>33</v>
      </c>
      <c r="B2" s="524"/>
      <c r="C2" s="524"/>
      <c r="D2" s="524"/>
      <c r="E2" s="524"/>
      <c r="F2" s="524"/>
    </row>
    <row r="3" spans="1:17" x14ac:dyDescent="0.2">
      <c r="A3" s="524" t="s">
        <v>1829</v>
      </c>
      <c r="B3" s="524"/>
      <c r="C3" s="524"/>
      <c r="D3" s="524"/>
      <c r="E3" s="524"/>
      <c r="F3" s="524"/>
    </row>
    <row r="4" spans="1:17" x14ac:dyDescent="0.2">
      <c r="A4" s="524" t="s">
        <v>1828</v>
      </c>
      <c r="B4" s="524"/>
      <c r="C4" s="524"/>
      <c r="D4" s="524"/>
      <c r="E4" s="524"/>
      <c r="F4" s="524"/>
    </row>
    <row r="8" spans="1:17" x14ac:dyDescent="0.2">
      <c r="A8" s="153" t="s">
        <v>32</v>
      </c>
      <c r="D8" s="154" t="s">
        <v>31</v>
      </c>
    </row>
    <row r="9" spans="1:17" x14ac:dyDescent="0.2">
      <c r="D9" s="155" t="s">
        <v>1317</v>
      </c>
      <c r="E9" s="91" t="s">
        <v>5111</v>
      </c>
    </row>
    <row r="10" spans="1:17" x14ac:dyDescent="0.2">
      <c r="A10" s="153" t="s">
        <v>4782</v>
      </c>
      <c r="D10" s="155" t="s">
        <v>1329</v>
      </c>
      <c r="E10" s="105" t="s">
        <v>5112</v>
      </c>
    </row>
    <row r="11" spans="1:17" x14ac:dyDescent="0.2">
      <c r="A11" s="153" t="s">
        <v>4783</v>
      </c>
      <c r="D11" s="155" t="s">
        <v>1330</v>
      </c>
      <c r="E11" s="92" t="s">
        <v>1220</v>
      </c>
    </row>
    <row r="12" spans="1:17" x14ac:dyDescent="0.2">
      <c r="A12" s="153" t="s">
        <v>4784</v>
      </c>
      <c r="D12" s="155" t="s">
        <v>1331</v>
      </c>
      <c r="E12" s="91" t="s">
        <v>770</v>
      </c>
      <c r="N12" s="152" t="s">
        <v>4776</v>
      </c>
    </row>
    <row r="13" spans="1:17" x14ac:dyDescent="0.2">
      <c r="A13" s="153" t="s">
        <v>4785</v>
      </c>
    </row>
    <row r="14" spans="1:17" x14ac:dyDescent="0.2">
      <c r="A14" s="153" t="s">
        <v>4786</v>
      </c>
      <c r="L14" s="152" t="s">
        <v>4562</v>
      </c>
      <c r="M14" s="152" t="s">
        <v>4777</v>
      </c>
      <c r="N14" s="152" t="s">
        <v>4778</v>
      </c>
      <c r="Q14" s="152">
        <v>166002.99008399999</v>
      </c>
    </row>
    <row r="15" spans="1:17" x14ac:dyDescent="0.2">
      <c r="N15" s="152" t="s">
        <v>4779</v>
      </c>
    </row>
    <row r="16" spans="1:17" s="162" customFormat="1" ht="20.100000000000001" customHeight="1" x14ac:dyDescent="0.2">
      <c r="A16" s="158" t="s">
        <v>1226</v>
      </c>
      <c r="B16" s="158" t="s">
        <v>128</v>
      </c>
      <c r="C16" s="159" t="s">
        <v>19</v>
      </c>
      <c r="D16" s="157"/>
      <c r="E16" s="160"/>
      <c r="F16" s="161" t="s">
        <v>18</v>
      </c>
      <c r="N16" s="162" t="s">
        <v>4780</v>
      </c>
    </row>
    <row r="17" spans="1:17" x14ac:dyDescent="0.2">
      <c r="A17" s="164"/>
    </row>
    <row r="18" spans="1:17" x14ac:dyDescent="0.2">
      <c r="C18" s="163" t="s">
        <v>4787</v>
      </c>
      <c r="N18" s="152" t="s">
        <v>4781</v>
      </c>
    </row>
    <row r="20" spans="1:17" x14ac:dyDescent="0.2">
      <c r="A20" s="168" t="s">
        <v>5057</v>
      </c>
      <c r="B20" s="173" t="s">
        <v>5113</v>
      </c>
      <c r="C20" s="153" t="s">
        <v>4788</v>
      </c>
      <c r="F20" s="153">
        <f>117150500*0.000333</f>
        <v>39011.116500000004</v>
      </c>
    </row>
    <row r="21" spans="1:17" x14ac:dyDescent="0.2">
      <c r="C21" s="153" t="s">
        <v>4789</v>
      </c>
      <c r="I21" s="275"/>
    </row>
    <row r="22" spans="1:17" x14ac:dyDescent="0.2">
      <c r="C22" s="153" t="s">
        <v>5114</v>
      </c>
    </row>
    <row r="23" spans="1:17" x14ac:dyDescent="0.2">
      <c r="A23" s="168"/>
      <c r="B23" s="168"/>
      <c r="N23" s="152" t="s">
        <v>52</v>
      </c>
      <c r="Q23" s="152">
        <v>10</v>
      </c>
    </row>
    <row r="24" spans="1:17" x14ac:dyDescent="0.2">
      <c r="A24" s="168"/>
      <c r="B24" s="169"/>
      <c r="C24" s="153" t="s">
        <v>3965</v>
      </c>
      <c r="F24" s="153">
        <v>20</v>
      </c>
    </row>
    <row r="25" spans="1:17" x14ac:dyDescent="0.2">
      <c r="A25" s="168"/>
      <c r="B25" s="173"/>
      <c r="N25" s="152" t="s">
        <v>2147</v>
      </c>
      <c r="Q25" s="152">
        <v>0.6</v>
      </c>
    </row>
    <row r="26" spans="1:17" x14ac:dyDescent="0.2">
      <c r="C26" s="153" t="s">
        <v>2147</v>
      </c>
      <c r="F26" s="153">
        <f>F24*6%</f>
        <v>1.2</v>
      </c>
    </row>
    <row r="27" spans="1:17" x14ac:dyDescent="0.2">
      <c r="C27" s="152"/>
      <c r="D27" s="152"/>
      <c r="E27" s="152"/>
      <c r="F27" s="152"/>
    </row>
    <row r="28" spans="1:17" x14ac:dyDescent="0.2">
      <c r="A28" s="166"/>
      <c r="B28" s="173"/>
    </row>
    <row r="31" spans="1:17" x14ac:dyDescent="0.2">
      <c r="A31" s="168"/>
      <c r="B31" s="173"/>
    </row>
    <row r="32" spans="1:17" hidden="1" x14ac:dyDescent="0.2">
      <c r="C32" s="167"/>
    </row>
    <row r="33" spans="1:6" hidden="1" x14ac:dyDescent="0.2">
      <c r="A33" s="168"/>
      <c r="B33" s="173"/>
    </row>
    <row r="34" spans="1:6" hidden="1" x14ac:dyDescent="0.2">
      <c r="A34" s="168"/>
      <c r="B34" s="173"/>
      <c r="C34" s="163"/>
    </row>
    <row r="35" spans="1:6" hidden="1" x14ac:dyDescent="0.2">
      <c r="A35" s="166"/>
      <c r="B35" s="169"/>
      <c r="C35" s="152"/>
      <c r="D35" s="152"/>
      <c r="E35" s="152"/>
      <c r="F35" s="152"/>
    </row>
    <row r="36" spans="1:6" hidden="1" x14ac:dyDescent="0.2">
      <c r="A36" s="152"/>
      <c r="B36" s="152"/>
    </row>
    <row r="37" spans="1:6" hidden="1" x14ac:dyDescent="0.2">
      <c r="A37" s="152"/>
      <c r="B37" s="152"/>
      <c r="C37" s="167"/>
    </row>
    <row r="38" spans="1:6" hidden="1" x14ac:dyDescent="0.2">
      <c r="A38" s="166"/>
      <c r="B38" s="168"/>
      <c r="C38" s="152"/>
    </row>
    <row r="39" spans="1:6" hidden="1" x14ac:dyDescent="0.2">
      <c r="A39" s="166"/>
      <c r="B39" s="168"/>
    </row>
    <row r="40" spans="1:6" hidden="1" x14ac:dyDescent="0.2">
      <c r="A40" s="166"/>
      <c r="B40" s="169"/>
    </row>
    <row r="41" spans="1:6" x14ac:dyDescent="0.2">
      <c r="A41" s="166"/>
      <c r="B41" s="169"/>
    </row>
    <row r="42" spans="1:6" x14ac:dyDescent="0.2">
      <c r="A42" s="215"/>
      <c r="B42" s="152"/>
      <c r="C42" s="152"/>
      <c r="D42" s="152"/>
      <c r="E42" s="152"/>
      <c r="F42" s="152"/>
    </row>
    <row r="43" spans="1:6" ht="13.5" thickBot="1" x14ac:dyDescent="0.25">
      <c r="A43" s="164"/>
      <c r="F43" s="170">
        <f>SUM(F19:F42)</f>
        <v>39032.316500000001</v>
      </c>
    </row>
    <row r="44" spans="1:6" ht="13.5" thickTop="1" x14ac:dyDescent="0.2">
      <c r="A44" s="164"/>
    </row>
    <row r="45" spans="1:6" ht="20.100000000000001" customHeight="1" x14ac:dyDescent="0.2">
      <c r="A45" s="171" t="s">
        <v>1248</v>
      </c>
      <c r="B45" s="213" t="str">
        <f>IF(OR(F43&gt;1000000,F43&lt;=0),"",IF(F43&lt;1000,"",IF(MOD(F43,1000000)&gt;=100000,INDEX(numbers,TRUNC(MOD(F43,1000000)/100000,0)+1)&amp;" Hundred","")&amp;IF(MOD(F43,100000)&gt;=20000," "&amp;INDEX(tens,TRUNC(MOD(F43,100000)/10000,0)+1)&amp;IF(MOD(MOD(F43,100000),10000)&gt;=1000,"-"&amp;INDEX(numbers,TRUNC(MOD(MOD(F43,100000),10000)/1000,0)+1),""),IF(MOD(F43,100000)&gt;=1000," "&amp;INDEX(numbers,TRUNC(MOD(F43,100000)/1000,0)+1),""))&amp;" Thousand") &amp; IF(F43&lt;1,"Zero Dollars",IF(MOD(F43,1000)&gt;=100," "&amp;INDEX(numbers,TRUNC(MOD(F43,1000)/100,0)+1)&amp;" Hundred","")&amp;IF(MOD(F43,100)&gt;=20," "&amp;INDEX(tens,TRUNC(MOD(F43,100)/10,0)+1)&amp;IF(MOD(MOD(F43,100),10)&gt;=1,"-"&amp;INDEX(numbers,TRUNC(MOD(MOD(F43,100),10),0)+1),""),IF(MOD(F43,100)&gt;=1," "&amp;INDEX(numbers,TRUNC(MOD(F43,100),0)+1),""))&amp;"") &amp; " and " &amp; IF(MOD(F43,1)&lt;0.005,"NO",ROUND(MOD(F43,1)*100,0)) &amp; "/100 -----------")</f>
        <v xml:space="preserve"> Thirty-Nine Thousand Thirty-Two and 32/100 -----------</v>
      </c>
      <c r="C45" s="172"/>
      <c r="D45" s="172"/>
      <c r="E45" s="172"/>
      <c r="F45" s="172"/>
    </row>
    <row r="46" spans="1:6" x14ac:dyDescent="0.2">
      <c r="A46" s="273"/>
    </row>
    <row r="47" spans="1:6" ht="25.5" x14ac:dyDescent="0.2">
      <c r="A47" s="153" t="s">
        <v>10</v>
      </c>
      <c r="D47" s="242" t="s">
        <v>3975</v>
      </c>
      <c r="E47" s="243"/>
      <c r="F47" s="244"/>
    </row>
    <row r="50" spans="1:6" x14ac:dyDescent="0.2">
      <c r="A50" s="153" t="s">
        <v>120</v>
      </c>
      <c r="C50" s="173"/>
    </row>
    <row r="51" spans="1:6" x14ac:dyDescent="0.2">
      <c r="A51" s="174"/>
      <c r="B51" s="174"/>
    </row>
    <row r="53" spans="1:6" x14ac:dyDescent="0.2">
      <c r="A53" s="153" t="s">
        <v>8</v>
      </c>
      <c r="D53" s="175" t="s">
        <v>7</v>
      </c>
      <c r="F53" s="176"/>
    </row>
    <row r="57" spans="1:6" x14ac:dyDescent="0.2">
      <c r="A57" s="274"/>
      <c r="B57" s="174"/>
      <c r="D57" s="174"/>
      <c r="E57" s="174"/>
      <c r="F57" s="174"/>
    </row>
    <row r="58" spans="1:6" s="178" customFormat="1" ht="17.100000000000001" customHeight="1" x14ac:dyDescent="0.2">
      <c r="A58" s="156" t="s">
        <v>4066</v>
      </c>
      <c r="B58" s="177"/>
      <c r="C58" s="156"/>
      <c r="D58" s="156" t="s">
        <v>3</v>
      </c>
      <c r="E58" s="156"/>
      <c r="F58" s="156"/>
    </row>
    <row r="59" spans="1:6" x14ac:dyDescent="0.2">
      <c r="D59" s="153" t="s">
        <v>2</v>
      </c>
    </row>
    <row r="61" spans="1:6" x14ac:dyDescent="0.2">
      <c r="D61" s="163" t="s">
        <v>1</v>
      </c>
    </row>
    <row r="62" spans="1:6" x14ac:dyDescent="0.2">
      <c r="D62" s="163" t="s">
        <v>0</v>
      </c>
    </row>
  </sheetData>
  <customSheetViews>
    <customSheetView guid="{6428A7A0-B31B-40C1-A13E-AD0DCC619E51}" showPageBreaks="1" printArea="1" hiddenRows="1" view="pageBreakPreview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 codeName="Sheet502"/>
  <dimension ref="A1:L55"/>
  <sheetViews>
    <sheetView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5.855468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D9" s="92" t="s">
        <v>1317</v>
      </c>
      <c r="E9" s="91" t="s">
        <v>4849</v>
      </c>
    </row>
    <row r="10" spans="1:12" x14ac:dyDescent="0.2">
      <c r="A10" s="91" t="s">
        <v>4851</v>
      </c>
      <c r="D10" s="92" t="s">
        <v>1329</v>
      </c>
      <c r="E10" s="92" t="s">
        <v>4847</v>
      </c>
    </row>
    <row r="11" spans="1:12" x14ac:dyDescent="0.2">
      <c r="A11" s="91" t="s">
        <v>4852</v>
      </c>
      <c r="D11" s="92" t="s">
        <v>1330</v>
      </c>
      <c r="E11" s="92" t="s">
        <v>1220</v>
      </c>
    </row>
    <row r="12" spans="1:12" x14ac:dyDescent="0.2">
      <c r="A12" s="91" t="s">
        <v>4853</v>
      </c>
      <c r="D12" s="92" t="s">
        <v>1331</v>
      </c>
      <c r="E12" s="92" t="s">
        <v>4850</v>
      </c>
    </row>
    <row r="13" spans="1:12" x14ac:dyDescent="0.2">
      <c r="A13" s="91" t="s">
        <v>4854</v>
      </c>
      <c r="E13" s="153"/>
    </row>
    <row r="14" spans="1:12" x14ac:dyDescent="0.2">
      <c r="A14" s="91" t="s">
        <v>4855</v>
      </c>
    </row>
    <row r="15" spans="1:12" x14ac:dyDescent="0.2">
      <c r="A15" s="91" t="s">
        <v>4856</v>
      </c>
      <c r="L15" s="80" t="s">
        <v>658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4848</v>
      </c>
    </row>
    <row r="19" spans="1:6" x14ac:dyDescent="0.2">
      <c r="A19" s="106"/>
      <c r="C19" s="2"/>
    </row>
    <row r="20" spans="1:6" x14ac:dyDescent="0.2">
      <c r="A20" s="93" t="s">
        <v>4857</v>
      </c>
      <c r="B20" s="261" t="s">
        <v>4858</v>
      </c>
      <c r="C20" s="91" t="s">
        <v>4859</v>
      </c>
      <c r="F20" s="91">
        <v>200</v>
      </c>
    </row>
    <row r="21" spans="1:6" x14ac:dyDescent="0.2">
      <c r="A21" s="93"/>
      <c r="B21" s="94"/>
      <c r="C21" s="91" t="s">
        <v>4860</v>
      </c>
      <c r="F21" s="91">
        <v>1200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1400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Four Hundred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  <row r="55" spans="1:6" x14ac:dyDescent="0.2">
      <c r="D55" s="2"/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 codeName="Sheet528">
    <pageSetUpPr fitToPage="1"/>
  </sheetPr>
  <dimension ref="A1:F53"/>
  <sheetViews>
    <sheetView topLeftCell="A7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6.42578125" style="91" customWidth="1"/>
    <col min="5" max="5" width="7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5230</v>
      </c>
    </row>
    <row r="10" spans="1:6" x14ac:dyDescent="0.2">
      <c r="A10" s="91" t="s">
        <v>5097</v>
      </c>
      <c r="D10" s="92" t="s">
        <v>1444</v>
      </c>
      <c r="E10" s="98" t="s">
        <v>5229</v>
      </c>
    </row>
    <row r="11" spans="1:6" x14ac:dyDescent="0.2">
      <c r="A11" s="94" t="s">
        <v>5096</v>
      </c>
      <c r="D11" s="92" t="s">
        <v>1431</v>
      </c>
      <c r="E11" s="92" t="s">
        <v>1220</v>
      </c>
    </row>
    <row r="12" spans="1:6" x14ac:dyDescent="0.2">
      <c r="D12" s="92" t="s">
        <v>1268</v>
      </c>
      <c r="E12" s="92" t="s">
        <v>5231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B18" s="93"/>
      <c r="C18" s="2" t="s">
        <v>5232</v>
      </c>
    </row>
    <row r="20" spans="1:6" x14ac:dyDescent="0.2">
      <c r="A20" s="93">
        <v>42682</v>
      </c>
      <c r="C20" s="91" t="s">
        <v>5233</v>
      </c>
      <c r="F20" s="91">
        <f>30*38</f>
        <v>1140</v>
      </c>
    </row>
    <row r="25" spans="1:6" x14ac:dyDescent="0.2">
      <c r="A25" s="111"/>
      <c r="B25" s="93"/>
    </row>
    <row r="26" spans="1:6" x14ac:dyDescent="0.2">
      <c r="A26" s="111"/>
      <c r="B26" s="93"/>
    </row>
    <row r="27" spans="1:6" x14ac:dyDescent="0.2">
      <c r="A27" s="111"/>
      <c r="B27" s="93"/>
    </row>
    <row r="28" spans="1:6" x14ac:dyDescent="0.2">
      <c r="A28" s="111"/>
      <c r="B28" s="93"/>
    </row>
    <row r="29" spans="1:6" x14ac:dyDescent="0.2">
      <c r="A29" s="93"/>
      <c r="B29" s="93"/>
    </row>
    <row r="30" spans="1:6" x14ac:dyDescent="0.2">
      <c r="B30" s="99"/>
    </row>
    <row r="31" spans="1:6" x14ac:dyDescent="0.2">
      <c r="A31" s="93"/>
      <c r="B31" s="93"/>
    </row>
    <row r="32" spans="1:6" x14ac:dyDescent="0.2">
      <c r="B32" s="99"/>
    </row>
    <row r="34" spans="1:6" ht="13.5" thickBot="1" x14ac:dyDescent="0.25">
      <c r="F34" s="95">
        <f>SUM(F18:F32)</f>
        <v>1140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One Hundred Forty and NO/100 -----------</v>
      </c>
      <c r="C36" s="97"/>
      <c r="D36" s="218"/>
      <c r="E36" s="232"/>
      <c r="F36" s="232"/>
    </row>
    <row r="37" spans="1:6" x14ac:dyDescent="0.2">
      <c r="A37" s="94" t="s">
        <v>11</v>
      </c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2" spans="1:6" x14ac:dyDescent="0.2">
      <c r="A42" s="101"/>
      <c r="B42" s="101"/>
    </row>
    <row r="44" spans="1:6" x14ac:dyDescent="0.2">
      <c r="A44" s="98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x14ac:dyDescent="0.2"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 codeName="Sheet547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6.42578125" style="153" customWidth="1"/>
    <col min="3" max="3" width="21" style="153" customWidth="1"/>
    <col min="4" max="4" width="16.42578125" style="153" customWidth="1"/>
    <col min="5" max="5" width="9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s="1" customFormat="1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s="1" customFormat="1" x14ac:dyDescent="0.2">
      <c r="A9" s="91"/>
      <c r="B9" s="91"/>
      <c r="C9" s="91"/>
      <c r="D9" s="92" t="s">
        <v>1317</v>
      </c>
      <c r="E9" s="91" t="s">
        <v>6662</v>
      </c>
      <c r="F9" s="91"/>
    </row>
    <row r="10" spans="1:6" s="1" customFormat="1" x14ac:dyDescent="0.2">
      <c r="A10" s="91" t="s">
        <v>5376</v>
      </c>
      <c r="B10" s="91"/>
      <c r="C10" s="91"/>
      <c r="D10" s="92" t="s">
        <v>1329</v>
      </c>
      <c r="E10" s="98" t="s">
        <v>6661</v>
      </c>
      <c r="F10" s="91"/>
    </row>
    <row r="11" spans="1:6" s="1" customFormat="1" x14ac:dyDescent="0.2">
      <c r="A11" s="91" t="s">
        <v>5377</v>
      </c>
      <c r="B11" s="91"/>
      <c r="C11" s="91"/>
      <c r="D11" s="92" t="s">
        <v>1330</v>
      </c>
      <c r="E11" s="92" t="s">
        <v>1220</v>
      </c>
      <c r="F11" s="91"/>
    </row>
    <row r="12" spans="1:6" s="1" customFormat="1" x14ac:dyDescent="0.2">
      <c r="A12" s="91" t="s">
        <v>4500</v>
      </c>
      <c r="B12" s="91"/>
      <c r="C12" s="91"/>
      <c r="D12" s="92" t="s">
        <v>1331</v>
      </c>
      <c r="E12" s="92" t="s">
        <v>6663</v>
      </c>
      <c r="F12" s="91"/>
    </row>
    <row r="13" spans="1:6" s="1" customFormat="1" x14ac:dyDescent="0.2">
      <c r="A13" s="91" t="s">
        <v>5378</v>
      </c>
      <c r="B13" s="91"/>
      <c r="C13" s="91"/>
      <c r="D13" s="91"/>
      <c r="E13" s="91"/>
      <c r="F13" s="91"/>
    </row>
    <row r="14" spans="1:6" s="1" customFormat="1" x14ac:dyDescent="0.2">
      <c r="A14" s="91"/>
      <c r="B14" s="91"/>
      <c r="C14" s="91"/>
      <c r="D14" s="91"/>
      <c r="E14" s="91"/>
      <c r="F14" s="91"/>
    </row>
    <row r="15" spans="1:6" s="1" customFormat="1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s="1" customFormat="1" x14ac:dyDescent="0.2">
      <c r="A17" s="106"/>
      <c r="B17" s="91"/>
      <c r="C17" s="91"/>
      <c r="D17" s="91"/>
      <c r="E17" s="91"/>
      <c r="F17" s="91"/>
    </row>
    <row r="18" spans="1:6" s="1" customFormat="1" x14ac:dyDescent="0.2">
      <c r="A18" s="93"/>
      <c r="B18" s="93"/>
      <c r="C18" s="2" t="s">
        <v>6215</v>
      </c>
      <c r="D18" s="91"/>
      <c r="E18" s="91"/>
      <c r="F18" s="91"/>
    </row>
    <row r="19" spans="1:6" s="1" customFormat="1" x14ac:dyDescent="0.2">
      <c r="A19" s="106"/>
      <c r="B19" s="91"/>
      <c r="C19" s="91"/>
      <c r="D19" s="91"/>
      <c r="E19" s="91"/>
      <c r="F19" s="91"/>
    </row>
    <row r="20" spans="1:6" s="1" customFormat="1" x14ac:dyDescent="0.2">
      <c r="A20" s="93" t="s">
        <v>6664</v>
      </c>
      <c r="B20" s="93" t="s">
        <v>6665</v>
      </c>
      <c r="C20" s="91" t="s">
        <v>6666</v>
      </c>
      <c r="D20" s="91"/>
      <c r="E20" s="91"/>
      <c r="F20" s="91">
        <v>300</v>
      </c>
    </row>
    <row r="21" spans="1:6" s="1" customFormat="1" x14ac:dyDescent="0.2">
      <c r="A21" s="93"/>
      <c r="B21" s="94"/>
      <c r="C21" s="91"/>
      <c r="D21" s="91"/>
      <c r="E21" s="91"/>
      <c r="F21" s="91"/>
    </row>
    <row r="22" spans="1:6" s="1" customFormat="1" x14ac:dyDescent="0.2">
      <c r="A22" s="93"/>
      <c r="B22" s="99"/>
      <c r="C22" s="91"/>
      <c r="D22" s="91"/>
      <c r="E22" s="91"/>
      <c r="F22" s="91"/>
    </row>
    <row r="23" spans="1:6" s="1" customFormat="1" x14ac:dyDescent="0.2">
      <c r="A23" s="91"/>
      <c r="B23" s="91"/>
      <c r="C23" s="91"/>
      <c r="D23" s="91"/>
      <c r="E23" s="91"/>
      <c r="F23" s="91"/>
    </row>
    <row r="24" spans="1:6" s="1" customFormat="1" x14ac:dyDescent="0.2">
      <c r="A24" s="91"/>
      <c r="B24" s="91"/>
      <c r="C24" s="91"/>
      <c r="D24" s="91"/>
      <c r="E24" s="91"/>
      <c r="F24" s="91"/>
    </row>
    <row r="25" spans="1:6" s="1" customFormat="1" x14ac:dyDescent="0.2">
      <c r="A25" s="137"/>
      <c r="B25" s="99"/>
      <c r="C25" s="91"/>
      <c r="D25" s="91"/>
      <c r="E25" s="91"/>
      <c r="F25" s="91"/>
    </row>
    <row r="26" spans="1:6" s="1" customFormat="1" x14ac:dyDescent="0.2">
      <c r="A26" s="91"/>
      <c r="B26" s="91"/>
      <c r="C26" s="91"/>
      <c r="D26" s="91"/>
      <c r="E26" s="91"/>
      <c r="F26" s="91"/>
    </row>
    <row r="27" spans="1:6" s="1" customFormat="1" x14ac:dyDescent="0.2">
      <c r="A27" s="91"/>
      <c r="B27" s="91"/>
      <c r="C27" s="2"/>
      <c r="D27" s="91"/>
      <c r="E27" s="91"/>
      <c r="F27" s="91"/>
    </row>
    <row r="28" spans="1:6" s="1" customFormat="1" x14ac:dyDescent="0.2">
      <c r="A28" s="91"/>
      <c r="B28" s="91"/>
      <c r="C28" s="2"/>
      <c r="D28" s="91"/>
      <c r="E28" s="91"/>
      <c r="F28" s="91"/>
    </row>
    <row r="29" spans="1:6" s="1" customFormat="1" x14ac:dyDescent="0.2">
      <c r="A29" s="93"/>
      <c r="B29" s="99"/>
      <c r="C29" s="91"/>
      <c r="D29" s="91"/>
      <c r="E29" s="91"/>
      <c r="F29" s="91"/>
    </row>
    <row r="30" spans="1:6" s="1" customFormat="1" x14ac:dyDescent="0.2">
      <c r="A30" s="93"/>
      <c r="B30" s="99"/>
      <c r="C30" s="91"/>
      <c r="D30" s="91"/>
      <c r="E30" s="91"/>
      <c r="F30" s="91"/>
    </row>
    <row r="31" spans="1:6" s="1" customFormat="1" x14ac:dyDescent="0.2">
      <c r="A31" s="99"/>
      <c r="B31" s="91"/>
      <c r="C31" s="91"/>
      <c r="D31" s="91"/>
      <c r="E31" s="91"/>
      <c r="F31" s="91"/>
    </row>
    <row r="32" spans="1:6" s="1" customFormat="1" x14ac:dyDescent="0.2">
      <c r="A32" s="137"/>
      <c r="B32" s="94"/>
      <c r="C32" s="91"/>
      <c r="D32" s="91"/>
      <c r="E32" s="91"/>
      <c r="F32" s="91"/>
    </row>
    <row r="33" spans="1:6" s="1" customFormat="1" x14ac:dyDescent="0.2">
      <c r="A33" s="7"/>
    </row>
    <row r="34" spans="1:6" s="1" customFormat="1" ht="13.5" thickBot="1" x14ac:dyDescent="0.25">
      <c r="A34" s="106"/>
      <c r="B34" s="91"/>
      <c r="C34" s="91"/>
      <c r="D34" s="91"/>
      <c r="E34" s="91"/>
      <c r="F34" s="107">
        <f>SUM(F18:F33)</f>
        <v>300</v>
      </c>
    </row>
    <row r="35" spans="1:6" s="1" customFormat="1" ht="13.5" thickTop="1" x14ac:dyDescent="0.2">
      <c r="A35" s="106"/>
      <c r="B35" s="91"/>
      <c r="C35" s="91"/>
      <c r="D35" s="91"/>
      <c r="E35" s="91"/>
      <c r="F35" s="91"/>
    </row>
    <row r="36" spans="1:6" s="1" customFormat="1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Three Hundred and NO/100 -----------</v>
      </c>
      <c r="C36" s="97"/>
      <c r="D36" s="206"/>
      <c r="E36" s="206"/>
      <c r="F36" s="206"/>
    </row>
    <row r="37" spans="1:6" s="1" customFormat="1" x14ac:dyDescent="0.2">
      <c r="A37" s="94"/>
      <c r="B37" s="91"/>
      <c r="C37" s="91"/>
      <c r="D37" s="91"/>
      <c r="E37" s="91"/>
      <c r="F37" s="91"/>
    </row>
    <row r="38" spans="1:6" s="1" customFormat="1" ht="25.5" x14ac:dyDescent="0.2">
      <c r="A38" s="91" t="s">
        <v>10</v>
      </c>
      <c r="B38" s="91"/>
      <c r="C38" s="91"/>
      <c r="D38" s="218" t="s">
        <v>3975</v>
      </c>
      <c r="E38" s="219"/>
      <c r="F38" s="220"/>
    </row>
    <row r="39" spans="1:6" s="1" customFormat="1" x14ac:dyDescent="0.2">
      <c r="A39" s="91"/>
      <c r="B39" s="91"/>
      <c r="C39" s="91"/>
      <c r="D39" s="227"/>
      <c r="E39" s="227"/>
      <c r="F39" s="227"/>
    </row>
    <row r="40" spans="1:6" s="1" customFormat="1" x14ac:dyDescent="0.2">
      <c r="A40" s="91"/>
      <c r="B40" s="91"/>
      <c r="C40" s="91"/>
      <c r="D40" s="228"/>
      <c r="E40" s="229"/>
      <c r="F40" s="229"/>
    </row>
    <row r="41" spans="1:6" s="1" customFormat="1" x14ac:dyDescent="0.2">
      <c r="B41" s="91"/>
      <c r="C41" s="91"/>
      <c r="D41" s="91"/>
      <c r="E41" s="91"/>
      <c r="F41" s="91"/>
    </row>
    <row r="42" spans="1:6" s="1" customFormat="1" x14ac:dyDescent="0.2">
      <c r="A42" s="101"/>
      <c r="B42" s="101"/>
      <c r="C42" s="91"/>
      <c r="D42" s="91"/>
      <c r="E42" s="91"/>
      <c r="F42" s="91"/>
    </row>
    <row r="43" spans="1:6" s="1" customFormat="1" x14ac:dyDescent="0.2">
      <c r="A43" s="91"/>
      <c r="B43" s="91"/>
      <c r="C43" s="91"/>
      <c r="D43" s="91"/>
      <c r="E43" s="91"/>
      <c r="F43" s="91"/>
    </row>
    <row r="44" spans="1:6" s="1" customFormat="1" x14ac:dyDescent="0.2">
      <c r="A44" s="91" t="s">
        <v>8</v>
      </c>
      <c r="B44" s="91"/>
      <c r="C44" s="91"/>
      <c r="D44" s="98" t="s">
        <v>7</v>
      </c>
      <c r="E44" s="91"/>
      <c r="F44" s="102"/>
    </row>
    <row r="45" spans="1:6" s="1" customFormat="1" x14ac:dyDescent="0.2">
      <c r="A45" s="91"/>
      <c r="B45" s="91"/>
      <c r="C45" s="91"/>
      <c r="D45" s="91"/>
      <c r="E45" s="91"/>
      <c r="F45" s="91"/>
    </row>
    <row r="46" spans="1:6" s="1" customFormat="1" x14ac:dyDescent="0.2">
      <c r="A46" s="91"/>
      <c r="B46" s="91"/>
      <c r="C46" s="91"/>
      <c r="D46" s="91"/>
      <c r="E46" s="91"/>
      <c r="F46" s="91"/>
    </row>
    <row r="47" spans="1:6" s="1" customFormat="1" x14ac:dyDescent="0.2">
      <c r="A47" s="91"/>
      <c r="B47" s="91"/>
      <c r="C47" s="91"/>
      <c r="D47" s="91"/>
      <c r="E47" s="91"/>
      <c r="F47" s="91"/>
    </row>
    <row r="48" spans="1:6" s="1" customFormat="1" x14ac:dyDescent="0.2">
      <c r="A48" s="101" t="s">
        <v>120</v>
      </c>
      <c r="B48" s="101"/>
      <c r="C48" s="9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s="1" customFormat="1" x14ac:dyDescent="0.2">
      <c r="A50" s="91"/>
      <c r="B50" s="91"/>
      <c r="C50" s="91"/>
      <c r="D50" s="91" t="s">
        <v>2</v>
      </c>
      <c r="E50" s="91"/>
      <c r="F50" s="91"/>
    </row>
    <row r="51" spans="1:6" s="1" customFormat="1" x14ac:dyDescent="0.2">
      <c r="A51" s="91"/>
      <c r="B51" s="91"/>
      <c r="C51" s="91"/>
      <c r="D51" s="91"/>
      <c r="E51" s="91"/>
      <c r="F51" s="91"/>
    </row>
    <row r="52" spans="1:6" s="1" customFormat="1" x14ac:dyDescent="0.2">
      <c r="A52" s="91"/>
      <c r="B52" s="91"/>
      <c r="C52" s="91"/>
      <c r="D52" s="2" t="s">
        <v>1</v>
      </c>
      <c r="E52" s="91"/>
      <c r="F52" s="91"/>
    </row>
    <row r="53" spans="1:6" s="1" customFormat="1" x14ac:dyDescent="0.2">
      <c r="A53" s="91"/>
      <c r="B53" s="91"/>
      <c r="C53" s="91"/>
      <c r="D53" s="2" t="s">
        <v>0</v>
      </c>
      <c r="E53" s="91"/>
      <c r="F53" s="91"/>
    </row>
    <row r="54" spans="1:6" s="1" customFormat="1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13">
    <pageSetUpPr fitToPage="1"/>
  </sheetPr>
  <dimension ref="A1:K64"/>
  <sheetViews>
    <sheetView topLeftCell="A13" workbookViewId="0">
      <selection activeCell="F34" sqref="F3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 t="s">
        <v>5235</v>
      </c>
      <c r="B9" s="91"/>
      <c r="C9" s="91"/>
      <c r="D9" s="91"/>
      <c r="E9" s="91"/>
      <c r="F9" s="92" t="s">
        <v>30</v>
      </c>
      <c r="G9" s="91" t="s">
        <v>5297</v>
      </c>
      <c r="H9" s="91"/>
    </row>
    <row r="10" spans="1:10" x14ac:dyDescent="0.2">
      <c r="A10" s="91" t="s">
        <v>5236</v>
      </c>
      <c r="B10" s="91"/>
      <c r="C10" s="91"/>
      <c r="D10" s="91"/>
      <c r="E10" s="91"/>
      <c r="F10" s="92" t="s">
        <v>27</v>
      </c>
      <c r="G10" s="92" t="s">
        <v>5234</v>
      </c>
      <c r="H10" s="91"/>
      <c r="J10" s="20"/>
    </row>
    <row r="11" spans="1:10" x14ac:dyDescent="0.2">
      <c r="A11" s="91" t="s">
        <v>1843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</row>
    <row r="12" spans="1:10" x14ac:dyDescent="0.2">
      <c r="A12" s="91" t="s">
        <v>1314</v>
      </c>
      <c r="B12" s="91"/>
      <c r="C12" s="91"/>
      <c r="D12" s="91"/>
      <c r="E12" s="91"/>
      <c r="F12" s="92" t="s">
        <v>22</v>
      </c>
      <c r="G12" s="92" t="s">
        <v>5298</v>
      </c>
      <c r="H12" s="91"/>
    </row>
    <row r="13" spans="1:10" x14ac:dyDescent="0.2">
      <c r="A13" s="91" t="s">
        <v>5237</v>
      </c>
      <c r="B13" s="91"/>
      <c r="C13" s="91"/>
      <c r="D13" s="91"/>
      <c r="E13" s="91"/>
      <c r="F13" s="91"/>
      <c r="G13" s="91"/>
      <c r="H13" s="91"/>
    </row>
    <row r="14" spans="1:10" x14ac:dyDescent="0.2">
      <c r="A14" s="91" t="s">
        <v>5238</v>
      </c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91"/>
      <c r="B17" s="91"/>
      <c r="C17" s="91"/>
      <c r="D17" s="91"/>
      <c r="E17" s="91"/>
      <c r="F17" s="91"/>
      <c r="G17" s="91"/>
      <c r="H17" s="91"/>
    </row>
    <row r="18" spans="1:11" x14ac:dyDescent="0.2">
      <c r="A18" s="91"/>
      <c r="B18" s="91"/>
      <c r="C18" s="91"/>
      <c r="D18" s="2" t="s">
        <v>5239</v>
      </c>
      <c r="E18" s="2"/>
      <c r="F18" s="91"/>
      <c r="G18" s="91"/>
      <c r="H18" s="91"/>
      <c r="K18" s="247"/>
    </row>
    <row r="19" spans="1:11" x14ac:dyDescent="0.2">
      <c r="A19" s="91"/>
      <c r="B19" s="91"/>
      <c r="C19" s="91"/>
      <c r="D19" s="2"/>
      <c r="E19" s="2"/>
      <c r="F19" s="91"/>
      <c r="G19" s="91"/>
      <c r="H19" s="91"/>
    </row>
    <row r="20" spans="1:11" x14ac:dyDescent="0.2">
      <c r="A20" s="93" t="s">
        <v>5276</v>
      </c>
      <c r="B20" s="93" t="s">
        <v>5299</v>
      </c>
      <c r="C20" s="93"/>
      <c r="D20" s="91" t="s">
        <v>5300</v>
      </c>
      <c r="E20" s="91"/>
      <c r="F20" s="91"/>
      <c r="G20" s="91"/>
      <c r="H20" s="91">
        <f>7.547169*70</f>
        <v>528.30183</v>
      </c>
    </row>
    <row r="21" spans="1:11" x14ac:dyDescent="0.2">
      <c r="A21" s="91"/>
      <c r="B21" s="94"/>
      <c r="C21" s="94"/>
      <c r="D21" s="91" t="s">
        <v>2147</v>
      </c>
      <c r="H21" s="91">
        <f>H20*6%</f>
        <v>31.698109799999997</v>
      </c>
    </row>
    <row r="22" spans="1:11" x14ac:dyDescent="0.2">
      <c r="A22" s="93"/>
      <c r="B22" s="93"/>
      <c r="C22" s="93"/>
    </row>
    <row r="23" spans="1:11" x14ac:dyDescent="0.2">
      <c r="A23" s="91"/>
      <c r="B23" s="94"/>
      <c r="C23" s="94"/>
      <c r="D23" s="91"/>
      <c r="H23" s="91"/>
    </row>
    <row r="24" spans="1:11" x14ac:dyDescent="0.2">
      <c r="A24" s="93"/>
      <c r="B24" s="93"/>
      <c r="C24" s="93"/>
      <c r="D24" s="91"/>
      <c r="H24" s="91"/>
    </row>
    <row r="25" spans="1:11" x14ac:dyDescent="0.2">
      <c r="A25" s="91"/>
      <c r="B25" s="91"/>
      <c r="C25" s="91"/>
      <c r="E25" s="91"/>
      <c r="F25" s="91"/>
      <c r="G25" s="91"/>
      <c r="H25" s="91"/>
    </row>
    <row r="26" spans="1:11" x14ac:dyDescent="0.2">
      <c r="A26" s="91"/>
      <c r="B26" s="94"/>
      <c r="C26" s="94"/>
      <c r="D26" s="91"/>
      <c r="E26" s="91"/>
      <c r="F26" s="91"/>
      <c r="G26" s="91"/>
      <c r="H26" s="91"/>
    </row>
    <row r="27" spans="1:11" x14ac:dyDescent="0.2">
      <c r="A27" s="91"/>
      <c r="B27" s="91"/>
      <c r="C27" s="91"/>
      <c r="D27" s="91"/>
      <c r="E27" s="91"/>
      <c r="F27" s="91"/>
      <c r="G27" s="91"/>
      <c r="H27" s="91"/>
    </row>
    <row r="28" spans="1:11" x14ac:dyDescent="0.2">
      <c r="A28" s="91"/>
      <c r="B28" s="91"/>
      <c r="C28" s="91"/>
      <c r="D28" s="91"/>
      <c r="E28" s="91"/>
      <c r="H28" s="91"/>
    </row>
    <row r="29" spans="1:11" x14ac:dyDescent="0.2">
      <c r="A29" s="91"/>
      <c r="B29" s="91"/>
      <c r="C29" s="91"/>
      <c r="D29" s="91"/>
      <c r="E29" s="91"/>
    </row>
    <row r="30" spans="1:11" x14ac:dyDescent="0.2">
      <c r="A30" s="91"/>
      <c r="B30" s="94"/>
      <c r="C30" s="94"/>
    </row>
    <row r="31" spans="1:11" x14ac:dyDescent="0.2">
      <c r="A31" s="91"/>
      <c r="B31" s="91"/>
      <c r="C31" s="91"/>
    </row>
    <row r="32" spans="1:11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559.99993979999999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Hundred Fifty-Nine and 100/100 -----------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/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9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/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6FC4-FE26-40D6-BB72-A7B317A15903}">
  <sheetPr codeName="Sheet737"/>
  <dimension ref="A1:N56"/>
  <sheetViews>
    <sheetView view="pageBreakPreview" zoomScaleNormal="100" zoomScaleSheetLayoutView="100" workbookViewId="0">
      <selection activeCell="P11" sqref="P11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7.5703125" style="152" customWidth="1"/>
    <col min="8" max="8" width="12.85546875" style="152" customWidth="1"/>
    <col min="9" max="9" width="10.42578125" style="152" bestFit="1" customWidth="1"/>
    <col min="10" max="10" width="9.42578125" style="152" bestFit="1" customWidth="1"/>
    <col min="11" max="11" width="10.42578125" style="152" bestFit="1" customWidth="1"/>
    <col min="12" max="16384" width="9.140625" style="152"/>
  </cols>
  <sheetData>
    <row r="1" spans="1:14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4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4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4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14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14" x14ac:dyDescent="0.2">
      <c r="A9" s="153"/>
      <c r="B9" s="153"/>
      <c r="C9" s="153"/>
      <c r="D9" s="153"/>
      <c r="E9" s="153"/>
      <c r="F9" s="155" t="s">
        <v>1517</v>
      </c>
      <c r="G9" s="153" t="s">
        <v>7685</v>
      </c>
      <c r="H9" s="153"/>
    </row>
    <row r="10" spans="1:14" x14ac:dyDescent="0.2">
      <c r="A10" s="153" t="s">
        <v>7595</v>
      </c>
      <c r="B10" s="153"/>
      <c r="C10" s="153"/>
      <c r="D10" s="153"/>
      <c r="E10" s="153"/>
      <c r="F10" s="155" t="s">
        <v>1357</v>
      </c>
      <c r="G10" s="155" t="s">
        <v>7686</v>
      </c>
      <c r="H10" s="153"/>
      <c r="K10" s="152" t="s">
        <v>7685</v>
      </c>
      <c r="L10" s="152">
        <v>43651</v>
      </c>
      <c r="N10" s="152" t="s">
        <v>770</v>
      </c>
    </row>
    <row r="11" spans="1:14" x14ac:dyDescent="0.2">
      <c r="A11" s="153" t="s">
        <v>7596</v>
      </c>
      <c r="B11" s="153"/>
      <c r="C11" s="153"/>
      <c r="D11" s="153"/>
      <c r="E11" s="153"/>
      <c r="F11" s="155" t="s">
        <v>1330</v>
      </c>
      <c r="G11" s="155" t="s">
        <v>2625</v>
      </c>
      <c r="H11" s="153"/>
    </row>
    <row r="12" spans="1:14" x14ac:dyDescent="0.2">
      <c r="A12" s="153" t="s">
        <v>7597</v>
      </c>
      <c r="B12" s="153"/>
      <c r="C12" s="153"/>
      <c r="D12" s="153"/>
      <c r="E12" s="153"/>
      <c r="F12" s="155" t="s">
        <v>1377</v>
      </c>
      <c r="G12" s="155" t="s">
        <v>770</v>
      </c>
      <c r="H12" s="153"/>
    </row>
    <row r="13" spans="1:14" x14ac:dyDescent="0.2">
      <c r="A13" s="153" t="s">
        <v>7598</v>
      </c>
      <c r="B13" s="153"/>
      <c r="C13" s="153"/>
      <c r="D13" s="153"/>
      <c r="E13" s="153"/>
      <c r="F13" s="153"/>
      <c r="G13" s="153"/>
      <c r="H13" s="153"/>
    </row>
    <row r="14" spans="1:14" x14ac:dyDescent="0.2">
      <c r="A14" s="153"/>
      <c r="B14" s="153"/>
      <c r="C14" s="153"/>
      <c r="D14" s="153"/>
      <c r="E14" s="153"/>
      <c r="F14" s="153"/>
      <c r="G14" s="153"/>
      <c r="H14" s="153"/>
    </row>
    <row r="15" spans="1:14" x14ac:dyDescent="0.2">
      <c r="A15" s="153"/>
      <c r="B15" s="153"/>
      <c r="C15" s="153"/>
      <c r="D15" s="153"/>
      <c r="E15" s="153"/>
      <c r="F15" s="153"/>
      <c r="G15" s="153"/>
      <c r="H15" s="153"/>
    </row>
    <row r="16" spans="1:14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11" x14ac:dyDescent="0.2">
      <c r="A17" s="153"/>
      <c r="B17" s="153"/>
      <c r="C17" s="153"/>
      <c r="D17" s="153"/>
      <c r="E17" s="153"/>
      <c r="F17" s="153"/>
      <c r="G17" s="153"/>
      <c r="H17" s="153"/>
    </row>
    <row r="18" spans="1:11" x14ac:dyDescent="0.2">
      <c r="A18" s="179"/>
      <c r="B18" s="153"/>
      <c r="C18" s="153"/>
      <c r="D18" s="163" t="s">
        <v>7593</v>
      </c>
      <c r="E18" s="163"/>
      <c r="F18" s="153"/>
      <c r="G18" s="153"/>
      <c r="H18" s="153"/>
    </row>
    <row r="19" spans="1:11" x14ac:dyDescent="0.2">
      <c r="A19" s="153"/>
      <c r="B19" s="153"/>
      <c r="C19" s="153"/>
      <c r="D19" s="163"/>
      <c r="E19" s="163"/>
      <c r="F19" s="153"/>
      <c r="G19" s="153"/>
      <c r="H19" s="153"/>
    </row>
    <row r="20" spans="1:11" x14ac:dyDescent="0.2">
      <c r="A20" s="187" t="s">
        <v>7687</v>
      </c>
      <c r="B20" s="168" t="s">
        <v>7688</v>
      </c>
      <c r="C20" s="153"/>
      <c r="D20" s="169" t="s">
        <v>7689</v>
      </c>
      <c r="E20" s="169"/>
      <c r="F20" s="153"/>
      <c r="G20" s="153"/>
      <c r="H20" s="153">
        <f>130000/7.09693</f>
        <v>18317.779659655655</v>
      </c>
      <c r="I20" s="152">
        <v>130000</v>
      </c>
      <c r="J20" s="152">
        <f>7.0992985</f>
        <v>7.0992984999999997</v>
      </c>
      <c r="K20" s="152">
        <f>I20/J20</f>
        <v>18311.668399349597</v>
      </c>
    </row>
    <row r="21" spans="1:11" x14ac:dyDescent="0.2">
      <c r="A21" s="199"/>
      <c r="B21" s="153"/>
      <c r="C21" s="153"/>
      <c r="D21" s="153" t="s">
        <v>7690</v>
      </c>
      <c r="E21" s="153"/>
      <c r="H21" s="153">
        <f>8000/7.09693</f>
        <v>1127.2479790557325</v>
      </c>
    </row>
    <row r="22" spans="1:11" x14ac:dyDescent="0.2">
      <c r="A22" s="179"/>
      <c r="B22" s="267"/>
      <c r="C22" s="267"/>
      <c r="D22" s="153" t="s">
        <v>4892</v>
      </c>
      <c r="E22" s="153"/>
      <c r="F22" s="153"/>
      <c r="G22" s="153"/>
      <c r="H22" s="153">
        <f>9660/7.09693</f>
        <v>1361.1519347097969</v>
      </c>
      <c r="J22" s="152">
        <f>26549.36+30</f>
        <v>26579.360000000001</v>
      </c>
    </row>
    <row r="23" spans="1:11" x14ac:dyDescent="0.2">
      <c r="A23" s="198"/>
      <c r="B23" s="153"/>
      <c r="C23" s="153"/>
    </row>
    <row r="24" spans="1:11" x14ac:dyDescent="0.2">
      <c r="A24" s="199"/>
      <c r="B24" s="153"/>
      <c r="C24" s="153"/>
      <c r="D24" s="153" t="s">
        <v>7691</v>
      </c>
      <c r="E24" s="153"/>
      <c r="H24" s="153"/>
    </row>
    <row r="25" spans="1:11" x14ac:dyDescent="0.2">
      <c r="A25" s="179"/>
    </row>
    <row r="26" spans="1:11" x14ac:dyDescent="0.2">
      <c r="B26" s="153"/>
      <c r="C26" s="153"/>
      <c r="D26" s="153" t="s">
        <v>52</v>
      </c>
      <c r="E26" s="153"/>
      <c r="H26" s="153">
        <v>30</v>
      </c>
    </row>
    <row r="27" spans="1:11" x14ac:dyDescent="0.2">
      <c r="A27" s="198"/>
      <c r="B27" s="153"/>
      <c r="C27" s="153"/>
      <c r="D27" s="163"/>
      <c r="E27" s="163"/>
      <c r="H27" s="153"/>
    </row>
    <row r="28" spans="1:11" x14ac:dyDescent="0.2">
      <c r="A28" s="199"/>
      <c r="B28" s="153"/>
      <c r="C28" s="153"/>
      <c r="D28" s="153"/>
      <c r="E28" s="153"/>
      <c r="H28" s="153"/>
    </row>
    <row r="29" spans="1:11" x14ac:dyDescent="0.2">
      <c r="A29" s="199"/>
      <c r="B29" s="153"/>
      <c r="C29" s="153"/>
      <c r="D29" s="153"/>
      <c r="E29" s="153"/>
      <c r="H29" s="153"/>
    </row>
    <row r="30" spans="1:11" x14ac:dyDescent="0.2">
      <c r="A30" s="198"/>
      <c r="B30" s="153"/>
      <c r="C30" s="153"/>
      <c r="D30" s="153"/>
      <c r="E30" s="153"/>
      <c r="H30" s="153"/>
    </row>
    <row r="31" spans="1:11" x14ac:dyDescent="0.2">
      <c r="A31" s="199"/>
      <c r="B31" s="153"/>
      <c r="C31" s="153"/>
      <c r="D31" s="163"/>
      <c r="E31" s="163"/>
      <c r="H31" s="153"/>
    </row>
    <row r="32" spans="1:11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423">
        <f>SUM(H19:H34)</f>
        <v>20836.179573421185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 Thousand Eight Hundred Thirty-Six and 18/100 -----------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 codeName="Sheet558">
    <pageSetUpPr fitToPage="1"/>
  </sheetPr>
  <dimension ref="A1:H55"/>
  <sheetViews>
    <sheetView topLeftCell="A6"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7109375" style="1" customWidth="1"/>
    <col min="4" max="4" width="23" style="1" customWidth="1"/>
    <col min="5" max="5" width="1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 t="s">
        <v>5488</v>
      </c>
      <c r="B9" s="91"/>
      <c r="C9" s="91"/>
      <c r="D9" s="91"/>
      <c r="E9" s="91"/>
      <c r="F9" s="92" t="s">
        <v>1517</v>
      </c>
      <c r="G9" s="91" t="s">
        <v>5487</v>
      </c>
      <c r="H9" s="91"/>
    </row>
    <row r="10" spans="1:8" x14ac:dyDescent="0.2">
      <c r="A10" s="91" t="s">
        <v>5489</v>
      </c>
      <c r="B10" s="91"/>
      <c r="C10" s="91"/>
      <c r="D10" s="91"/>
      <c r="E10" s="91"/>
      <c r="F10" s="92" t="s">
        <v>1357</v>
      </c>
      <c r="G10" s="92" t="s">
        <v>5483</v>
      </c>
      <c r="H10" s="91"/>
    </row>
    <row r="11" spans="1:8" x14ac:dyDescent="0.2">
      <c r="A11" s="91" t="s">
        <v>5490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5491</v>
      </c>
      <c r="B12" s="91"/>
      <c r="C12" s="91"/>
      <c r="D12" s="91"/>
      <c r="E12" s="91"/>
      <c r="F12" s="92" t="s">
        <v>1377</v>
      </c>
      <c r="G12" s="94" t="s">
        <v>5480</v>
      </c>
      <c r="H12" s="91"/>
    </row>
    <row r="13" spans="1:8" x14ac:dyDescent="0.2">
      <c r="A13" s="91" t="s">
        <v>5492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 t="s">
        <v>5493</v>
      </c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A18" s="93"/>
      <c r="B18" s="99"/>
      <c r="C18" s="99"/>
      <c r="D18" s="2" t="s">
        <v>5494</v>
      </c>
      <c r="E18" s="2"/>
      <c r="F18" s="91"/>
      <c r="G18" s="91"/>
      <c r="H18" s="91"/>
    </row>
    <row r="19" spans="1:8" x14ac:dyDescent="0.2">
      <c r="A19" s="91"/>
      <c r="B19" s="91"/>
      <c r="C19" s="91"/>
      <c r="D19" s="91"/>
      <c r="E19" s="91"/>
      <c r="F19" s="91"/>
      <c r="G19" s="91"/>
      <c r="H19" s="91"/>
    </row>
    <row r="20" spans="1:8" x14ac:dyDescent="0.2">
      <c r="A20" s="93" t="s">
        <v>5456</v>
      </c>
      <c r="B20" s="93" t="s">
        <v>5495</v>
      </c>
      <c r="C20" s="93"/>
      <c r="D20" s="91" t="s">
        <v>5496</v>
      </c>
      <c r="E20" s="91"/>
      <c r="F20" s="91"/>
      <c r="G20" s="91"/>
      <c r="H20" s="91">
        <v>10220.4</v>
      </c>
    </row>
    <row r="21" spans="1:8" x14ac:dyDescent="0.2">
      <c r="A21" s="93"/>
      <c r="B21" s="93"/>
      <c r="C21" s="93"/>
      <c r="D21" s="91" t="s">
        <v>2147</v>
      </c>
      <c r="E21" s="91"/>
      <c r="H21" s="91">
        <f>H20*6%</f>
        <v>613.22399999999993</v>
      </c>
    </row>
    <row r="22" spans="1:8" x14ac:dyDescent="0.2">
      <c r="A22" s="99"/>
      <c r="B22" s="91"/>
      <c r="C22" s="91"/>
      <c r="D22" s="91" t="s">
        <v>5497</v>
      </c>
      <c r="E22" s="91"/>
      <c r="F22" s="91"/>
      <c r="G22" s="91"/>
      <c r="H22" s="91">
        <v>5000</v>
      </c>
    </row>
    <row r="23" spans="1:8" x14ac:dyDescent="0.2">
      <c r="A23" s="99"/>
      <c r="B23" s="91"/>
      <c r="C23" s="91"/>
      <c r="D23" s="91"/>
      <c r="E23" s="91"/>
      <c r="F23" s="91"/>
      <c r="G23" s="91"/>
      <c r="H23" s="91"/>
    </row>
    <row r="24" spans="1:8" x14ac:dyDescent="0.2">
      <c r="A24" s="93"/>
      <c r="B24" s="93"/>
      <c r="C24" s="93"/>
      <c r="D24" s="91"/>
      <c r="E24" s="91"/>
      <c r="F24" s="91"/>
      <c r="G24" s="91"/>
      <c r="H24" s="91"/>
    </row>
    <row r="25" spans="1:8" x14ac:dyDescent="0.2">
      <c r="A25" s="93"/>
      <c r="B25" s="93"/>
      <c r="C25" s="93"/>
      <c r="D25" s="91"/>
      <c r="E25" s="91"/>
      <c r="F25" s="91"/>
      <c r="G25" s="91"/>
      <c r="H25" s="91"/>
    </row>
    <row r="26" spans="1:8" x14ac:dyDescent="0.2">
      <c r="A26" s="93"/>
      <c r="B26" s="93"/>
      <c r="C26" s="93"/>
      <c r="D26" s="91"/>
      <c r="E26" s="91"/>
      <c r="F26" s="91"/>
      <c r="G26" s="91"/>
      <c r="H26" s="91"/>
    </row>
    <row r="27" spans="1:8" x14ac:dyDescent="0.2">
      <c r="A27" s="93"/>
      <c r="B27" s="93"/>
      <c r="C27" s="93"/>
      <c r="D27" s="91"/>
      <c r="E27" s="91"/>
      <c r="F27" s="91"/>
      <c r="G27" s="91"/>
      <c r="H27" s="91"/>
    </row>
    <row r="28" spans="1:8" x14ac:dyDescent="0.2">
      <c r="A28" s="93"/>
      <c r="B28" s="94"/>
      <c r="C28" s="94"/>
      <c r="D28" s="91"/>
      <c r="E28" s="91"/>
      <c r="F28" s="91"/>
      <c r="G28" s="91"/>
      <c r="H28" s="91"/>
    </row>
    <row r="29" spans="1:8" x14ac:dyDescent="0.2">
      <c r="A29" s="93"/>
      <c r="B29" s="94"/>
      <c r="C29" s="94"/>
      <c r="D29" s="2"/>
      <c r="E29" s="2"/>
      <c r="F29" s="91"/>
      <c r="G29" s="91"/>
      <c r="H29" s="91"/>
    </row>
    <row r="30" spans="1:8" x14ac:dyDescent="0.2">
      <c r="A30" s="99"/>
      <c r="B30" s="94"/>
      <c r="C30" s="94"/>
      <c r="D30" s="91"/>
      <c r="E30" s="91"/>
      <c r="F30" s="91"/>
      <c r="G30" s="91"/>
      <c r="H30" s="91"/>
    </row>
    <row r="31" spans="1:8" x14ac:dyDescent="0.2">
      <c r="A31" s="93"/>
      <c r="B31" s="93"/>
      <c r="C31" s="93"/>
      <c r="D31" s="91"/>
      <c r="E31" s="91"/>
      <c r="F31" s="91"/>
      <c r="G31" s="91"/>
      <c r="H31" s="91"/>
    </row>
    <row r="32" spans="1:8" x14ac:dyDescent="0.2">
      <c r="A32" s="99"/>
      <c r="B32" s="91"/>
      <c r="C32" s="91"/>
      <c r="D32" s="91"/>
      <c r="E32" s="91"/>
      <c r="F32" s="91"/>
      <c r="G32" s="91"/>
    </row>
    <row r="33" spans="1:8" ht="13.5" thickBot="1" x14ac:dyDescent="0.25">
      <c r="A33" s="91"/>
      <c r="B33" s="91"/>
      <c r="C33" s="91"/>
      <c r="D33" s="91"/>
      <c r="E33" s="91"/>
      <c r="F33" s="91"/>
      <c r="G33" s="91"/>
      <c r="H33" s="107">
        <f>SUM(H18:H31)</f>
        <v>15833.624</v>
      </c>
    </row>
    <row r="34" spans="1:8" ht="13.5" thickTop="1" x14ac:dyDescent="0.2">
      <c r="A34" s="91"/>
      <c r="B34" s="91"/>
      <c r="C34" s="91"/>
      <c r="D34" s="91"/>
      <c r="E34" s="91"/>
      <c r="F34" s="91"/>
      <c r="G34" s="91"/>
      <c r="H34" s="269"/>
    </row>
    <row r="35" spans="1:8" ht="20.100000000000001" customHeight="1" x14ac:dyDescent="0.2">
      <c r="A35" s="96" t="s">
        <v>122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Fifteen Thousand Eight Hundred Thirty-Three and 62/100 -----------</v>
      </c>
      <c r="C35" s="185"/>
      <c r="D35" s="97"/>
      <c r="E35" s="97"/>
      <c r="F35" s="97"/>
      <c r="G35" s="97"/>
      <c r="H35" s="207"/>
    </row>
    <row r="37" spans="1:8" s="91" customFormat="1" ht="25.5" x14ac:dyDescent="0.2">
      <c r="A37" s="169" t="s">
        <v>4046</v>
      </c>
      <c r="F37" s="218" t="s">
        <v>3975</v>
      </c>
      <c r="G37" s="219"/>
      <c r="H37" s="220"/>
    </row>
    <row r="38" spans="1:8" s="91" customFormat="1" x14ac:dyDescent="0.2">
      <c r="A38" s="153"/>
    </row>
    <row r="39" spans="1:8" s="91" customFormat="1" x14ac:dyDescent="0.2">
      <c r="A39" s="152"/>
    </row>
    <row r="40" spans="1:8" s="91" customFormat="1" x14ac:dyDescent="0.2">
      <c r="A40" s="153"/>
    </row>
    <row r="41" spans="1:8" s="91" customFormat="1" x14ac:dyDescent="0.2">
      <c r="A41" s="174"/>
      <c r="B41" s="101"/>
      <c r="D41" s="99"/>
      <c r="E41" s="99"/>
      <c r="F41" s="227"/>
      <c r="G41" s="227"/>
      <c r="H41" s="227"/>
    </row>
    <row r="42" spans="1:8" s="91" customFormat="1" x14ac:dyDescent="0.2">
      <c r="A42" s="152"/>
      <c r="F42" s="228"/>
      <c r="G42" s="229"/>
      <c r="H42" s="229"/>
    </row>
    <row r="43" spans="1:8" s="91" customFormat="1" x14ac:dyDescent="0.2">
      <c r="A43" s="175" t="s">
        <v>8</v>
      </c>
      <c r="D43" s="175" t="s">
        <v>8</v>
      </c>
      <c r="F43" s="175" t="s">
        <v>7</v>
      </c>
    </row>
    <row r="44" spans="1:8" s="91" customFormat="1" x14ac:dyDescent="0.2">
      <c r="A44" s="153"/>
      <c r="D44" s="153"/>
    </row>
    <row r="45" spans="1:8" s="91" customFormat="1" x14ac:dyDescent="0.2">
      <c r="A45" s="153"/>
      <c r="D45" s="153"/>
    </row>
    <row r="46" spans="1:8" s="91" customFormat="1" x14ac:dyDescent="0.2">
      <c r="A46" s="153"/>
      <c r="D46" s="153"/>
    </row>
    <row r="47" spans="1:8" s="91" customFormat="1" x14ac:dyDescent="0.2">
      <c r="A47" s="174"/>
      <c r="B47" s="101"/>
      <c r="D47" s="174"/>
      <c r="F47" s="101"/>
      <c r="G47" s="101"/>
      <c r="H47" s="101"/>
    </row>
    <row r="48" spans="1:8" s="61" customFormat="1" ht="17.100000000000001" customHeight="1" x14ac:dyDescent="0.2">
      <c r="A48" s="153" t="s">
        <v>4066</v>
      </c>
      <c r="B48" s="104"/>
      <c r="C48" s="104"/>
      <c r="D48" s="153" t="s">
        <v>50</v>
      </c>
      <c r="F48" s="61" t="s">
        <v>3</v>
      </c>
    </row>
    <row r="49" spans="1:6" s="91" customFormat="1" x14ac:dyDescent="0.2">
      <c r="A49" s="153"/>
      <c r="D49" s="153"/>
      <c r="F49" s="91" t="s">
        <v>2</v>
      </c>
    </row>
    <row r="50" spans="1:6" s="91" customFormat="1" x14ac:dyDescent="0.2">
      <c r="A50" s="98"/>
    </row>
    <row r="51" spans="1:6" s="91" customFormat="1" x14ac:dyDescent="0.2">
      <c r="F51" s="2" t="s">
        <v>1</v>
      </c>
    </row>
    <row r="52" spans="1:6" s="91" customFormat="1" x14ac:dyDescent="0.2">
      <c r="F52" s="2" t="s">
        <v>0</v>
      </c>
    </row>
    <row r="53" spans="1:6" s="91" customFormat="1" x14ac:dyDescent="0.2"/>
    <row r="54" spans="1:6" s="91" customFormat="1" x14ac:dyDescent="0.2"/>
    <row r="55" spans="1:6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 codeName="Sheet567"/>
  <dimension ref="A1:N55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2.5703125" style="91" customWidth="1"/>
    <col min="3" max="3" width="0.85546875" style="91" customWidth="1"/>
    <col min="4" max="4" width="21" style="91" customWidth="1"/>
    <col min="5" max="5" width="1" style="91" customWidth="1"/>
    <col min="6" max="6" width="14.140625" style="91" customWidth="1"/>
    <col min="7" max="7" width="9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  <c r="G8" s="251"/>
    </row>
    <row r="9" spans="1:9" x14ac:dyDescent="0.2">
      <c r="F9" s="92" t="s">
        <v>1334</v>
      </c>
      <c r="G9" s="155" t="s">
        <v>8023</v>
      </c>
      <c r="I9" s="61"/>
    </row>
    <row r="10" spans="1:9" x14ac:dyDescent="0.2">
      <c r="A10" s="91" t="s">
        <v>5608</v>
      </c>
      <c r="F10" s="92" t="s">
        <v>1335</v>
      </c>
      <c r="G10" s="155" t="s">
        <v>8021</v>
      </c>
      <c r="I10" s="113"/>
    </row>
    <row r="11" spans="1:9" x14ac:dyDescent="0.2">
      <c r="A11" s="91" t="s">
        <v>5609</v>
      </c>
      <c r="F11" s="92" t="s">
        <v>1333</v>
      </c>
      <c r="G11" s="155" t="s">
        <v>1220</v>
      </c>
      <c r="I11" s="113"/>
    </row>
    <row r="12" spans="1:9" x14ac:dyDescent="0.2">
      <c r="A12" s="91" t="s">
        <v>5610</v>
      </c>
      <c r="F12" s="92" t="s">
        <v>1331</v>
      </c>
      <c r="G12" s="94" t="s">
        <v>8024</v>
      </c>
      <c r="I12" s="113"/>
    </row>
    <row r="13" spans="1:9" x14ac:dyDescent="0.2">
      <c r="A13" s="91" t="s">
        <v>5611</v>
      </c>
      <c r="G13" s="91" t="s">
        <v>7914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4" x14ac:dyDescent="0.2">
      <c r="B18" s="111"/>
      <c r="C18" s="111"/>
      <c r="D18" s="2" t="s">
        <v>7801</v>
      </c>
      <c r="E18" s="2"/>
      <c r="K18" s="91"/>
      <c r="L18" s="91"/>
      <c r="M18" s="91"/>
      <c r="N18" s="91"/>
    </row>
    <row r="19" spans="1:14" x14ac:dyDescent="0.2">
      <c r="D19" s="2"/>
      <c r="E19" s="2"/>
      <c r="K19" s="91"/>
      <c r="L19" s="91"/>
      <c r="M19" s="91"/>
      <c r="N19" s="110"/>
    </row>
    <row r="20" spans="1:14" x14ac:dyDescent="0.2">
      <c r="A20" s="93" t="s">
        <v>8025</v>
      </c>
      <c r="B20" s="93" t="s">
        <v>8026</v>
      </c>
      <c r="C20" s="93"/>
      <c r="D20" s="91" t="s">
        <v>8027</v>
      </c>
      <c r="H20" s="110">
        <v>70</v>
      </c>
      <c r="K20" s="91"/>
      <c r="L20" s="91"/>
      <c r="M20" s="91"/>
      <c r="N20" s="91"/>
    </row>
    <row r="21" spans="1:14" x14ac:dyDescent="0.2">
      <c r="A21" s="93"/>
      <c r="B21" s="93"/>
      <c r="C21" s="93"/>
      <c r="D21" s="91" t="s">
        <v>8028</v>
      </c>
      <c r="H21" s="110"/>
      <c r="K21" s="91"/>
      <c r="L21" s="91"/>
      <c r="M21" s="91"/>
      <c r="N21" s="91"/>
    </row>
    <row r="22" spans="1:14" x14ac:dyDescent="0.2">
      <c r="A22" s="93"/>
      <c r="B22" s="93"/>
      <c r="C22" s="93"/>
      <c r="K22" s="91"/>
      <c r="L22" s="91"/>
      <c r="M22" s="91"/>
      <c r="N22" s="110"/>
    </row>
    <row r="23" spans="1:14" x14ac:dyDescent="0.2">
      <c r="A23" s="93" t="s">
        <v>8029</v>
      </c>
      <c r="B23" s="93" t="s">
        <v>8030</v>
      </c>
      <c r="C23" s="449"/>
      <c r="D23" s="91" t="s">
        <v>8031</v>
      </c>
      <c r="E23" s="2"/>
      <c r="H23" s="91">
        <v>150</v>
      </c>
      <c r="K23" s="91"/>
      <c r="L23" s="91"/>
      <c r="M23" s="91"/>
      <c r="N23" s="91"/>
    </row>
    <row r="24" spans="1:14" x14ac:dyDescent="0.2">
      <c r="A24" s="93"/>
      <c r="B24" s="111"/>
      <c r="C24" s="111"/>
      <c r="D24" s="91" t="s">
        <v>8032</v>
      </c>
      <c r="K24" s="91"/>
      <c r="L24" s="91"/>
      <c r="M24" s="91"/>
      <c r="N24" s="91"/>
    </row>
    <row r="25" spans="1:14" x14ac:dyDescent="0.2">
      <c r="A25" s="93"/>
      <c r="B25" s="111"/>
      <c r="C25" s="111"/>
    </row>
    <row r="26" spans="1:14" x14ac:dyDescent="0.2">
      <c r="A26" s="93"/>
      <c r="B26" s="111"/>
      <c r="C26" s="111"/>
    </row>
    <row r="31" spans="1:14" x14ac:dyDescent="0.2">
      <c r="A31" s="93"/>
      <c r="B31" s="111"/>
      <c r="C31" s="111"/>
    </row>
    <row r="36" spans="1:8" ht="13.5" thickBot="1" x14ac:dyDescent="0.25">
      <c r="H36" s="95">
        <f>SUM(H18:H35)</f>
        <v>220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Hundred Twenty and NO/100 -----------</v>
      </c>
      <c r="C38" s="185"/>
      <c r="D38" s="97"/>
      <c r="E38" s="97"/>
      <c r="F38" s="206"/>
      <c r="G38" s="206"/>
      <c r="H38" s="206"/>
    </row>
    <row r="39" spans="1:8" x14ac:dyDescent="0.2">
      <c r="A39" s="94" t="s">
        <v>11</v>
      </c>
    </row>
    <row r="40" spans="1:8" ht="25.5" x14ac:dyDescent="0.2">
      <c r="A40" s="91" t="s">
        <v>10</v>
      </c>
      <c r="F40" s="218" t="s">
        <v>3975</v>
      </c>
      <c r="G40" s="219"/>
      <c r="H40" s="220"/>
    </row>
    <row r="41" spans="1:8" x14ac:dyDescent="0.2">
      <c r="F41" s="227"/>
      <c r="G41" s="227"/>
      <c r="H41" s="227"/>
    </row>
    <row r="42" spans="1:8" x14ac:dyDescent="0.2">
      <c r="F42" s="228"/>
      <c r="G42" s="229"/>
      <c r="H42" s="229"/>
    </row>
    <row r="43" spans="1:8" x14ac:dyDescent="0.2">
      <c r="A43" s="1"/>
    </row>
    <row r="44" spans="1:8" x14ac:dyDescent="0.2">
      <c r="A44" s="101"/>
      <c r="B44" s="101"/>
      <c r="C44" s="386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 t="s">
        <v>120</v>
      </c>
      <c r="B50" s="101"/>
      <c r="C50" s="386"/>
      <c r="D50" s="101" t="s">
        <v>120</v>
      </c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 codeName="Sheet627"/>
  <dimension ref="A1:N55"/>
  <sheetViews>
    <sheetView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0" width="9.140625" style="1"/>
    <col min="11" max="11" width="20" style="1" customWidth="1"/>
    <col min="12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A9" s="91" t="s">
        <v>2786</v>
      </c>
      <c r="D9" s="92" t="s">
        <v>1317</v>
      </c>
      <c r="E9" s="91" t="s">
        <v>6180</v>
      </c>
    </row>
    <row r="10" spans="1:12" x14ac:dyDescent="0.2">
      <c r="A10" s="91" t="s">
        <v>2787</v>
      </c>
      <c r="D10" s="92" t="s">
        <v>1329</v>
      </c>
      <c r="E10" s="92" t="s">
        <v>6178</v>
      </c>
    </row>
    <row r="11" spans="1:12" x14ac:dyDescent="0.2">
      <c r="A11" s="91" t="s">
        <v>2109</v>
      </c>
      <c r="D11" s="92" t="s">
        <v>1330</v>
      </c>
      <c r="E11" s="92" t="s">
        <v>1220</v>
      </c>
    </row>
    <row r="12" spans="1:12" x14ac:dyDescent="0.2">
      <c r="A12" s="91" t="s">
        <v>2788</v>
      </c>
      <c r="D12" s="92" t="s">
        <v>1331</v>
      </c>
      <c r="E12" s="92" t="s">
        <v>6181</v>
      </c>
    </row>
    <row r="15" spans="1:12" x14ac:dyDescent="0.2">
      <c r="I15" s="91" t="s">
        <v>4424</v>
      </c>
      <c r="J15" s="91"/>
      <c r="K15" s="91"/>
      <c r="L15" s="91">
        <f>12*3</f>
        <v>36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I16" s="91" t="s">
        <v>4429</v>
      </c>
      <c r="J16" s="91"/>
      <c r="K16" s="91"/>
      <c r="L16" s="91">
        <f>12*2</f>
        <v>24</v>
      </c>
    </row>
    <row r="17" spans="1:14" x14ac:dyDescent="0.2">
      <c r="A17" s="106"/>
      <c r="I17" s="91" t="s">
        <v>4894</v>
      </c>
      <c r="J17" s="91"/>
      <c r="K17" s="91"/>
      <c r="L17" s="91">
        <f>24*1</f>
        <v>24</v>
      </c>
    </row>
    <row r="18" spans="1:14" x14ac:dyDescent="0.2">
      <c r="C18" s="2" t="s">
        <v>6182</v>
      </c>
      <c r="I18" s="91" t="s">
        <v>4895</v>
      </c>
      <c r="J18" s="91"/>
      <c r="K18" s="91"/>
      <c r="L18" s="91">
        <f>12*1</f>
        <v>12</v>
      </c>
    </row>
    <row r="19" spans="1:14" x14ac:dyDescent="0.2">
      <c r="A19" s="106"/>
      <c r="C19" s="2"/>
      <c r="I19" s="91" t="s">
        <v>4896</v>
      </c>
      <c r="J19" s="91"/>
      <c r="K19" s="91"/>
      <c r="L19" s="91">
        <f>31.2*1</f>
        <v>31.2</v>
      </c>
    </row>
    <row r="20" spans="1:14" x14ac:dyDescent="0.2">
      <c r="A20" s="93" t="s">
        <v>6099</v>
      </c>
      <c r="B20" s="93" t="s">
        <v>6183</v>
      </c>
      <c r="C20" s="91" t="s">
        <v>5896</v>
      </c>
      <c r="F20" s="91">
        <v>24</v>
      </c>
    </row>
    <row r="21" spans="1:14" x14ac:dyDescent="0.2">
      <c r="A21" s="93"/>
      <c r="B21" s="94"/>
      <c r="C21" s="91" t="s">
        <v>6184</v>
      </c>
      <c r="F21" s="91">
        <v>31.2</v>
      </c>
      <c r="I21" s="91" t="s">
        <v>4422</v>
      </c>
      <c r="J21" s="91"/>
      <c r="K21" s="91"/>
      <c r="L21" s="91">
        <f>12*1</f>
        <v>12</v>
      </c>
    </row>
    <row r="22" spans="1:14" x14ac:dyDescent="0.2">
      <c r="A22" s="93"/>
      <c r="B22" s="94"/>
      <c r="I22" s="91" t="s">
        <v>4429</v>
      </c>
      <c r="J22" s="91"/>
      <c r="K22" s="91"/>
      <c r="L22" s="91">
        <v>12</v>
      </c>
    </row>
    <row r="23" spans="1:14" x14ac:dyDescent="0.2">
      <c r="C23" s="2" t="s">
        <v>6185</v>
      </c>
      <c r="I23" s="91" t="s">
        <v>4423</v>
      </c>
      <c r="J23" s="91"/>
      <c r="K23" s="91"/>
      <c r="L23" s="91">
        <f>24*1</f>
        <v>24</v>
      </c>
    </row>
    <row r="24" spans="1:14" x14ac:dyDescent="0.2">
      <c r="I24" s="91" t="s">
        <v>4303</v>
      </c>
      <c r="J24" s="91"/>
      <c r="K24" s="91"/>
      <c r="L24" s="91">
        <f>12*1</f>
        <v>12</v>
      </c>
    </row>
    <row r="25" spans="1:14" x14ac:dyDescent="0.2">
      <c r="A25" s="137" t="s">
        <v>6186</v>
      </c>
      <c r="B25" s="99" t="s">
        <v>6187</v>
      </c>
      <c r="C25" s="91" t="s">
        <v>6188</v>
      </c>
      <c r="F25" s="91">
        <f>16*4</f>
        <v>64</v>
      </c>
      <c r="I25" s="91"/>
      <c r="J25" s="91"/>
      <c r="K25" s="91"/>
      <c r="L25" s="91"/>
    </row>
    <row r="26" spans="1:14" x14ac:dyDescent="0.2">
      <c r="A26" s="93"/>
      <c r="B26" s="93"/>
      <c r="C26" s="91" t="s">
        <v>4429</v>
      </c>
      <c r="F26" s="91">
        <f>12</f>
        <v>12</v>
      </c>
      <c r="I26" s="91" t="s">
        <v>4428</v>
      </c>
      <c r="J26" s="91"/>
      <c r="K26" s="91"/>
      <c r="L26" s="91">
        <f>24*2</f>
        <v>48</v>
      </c>
    </row>
    <row r="27" spans="1:14" x14ac:dyDescent="0.2">
      <c r="A27" s="93"/>
      <c r="B27" s="94"/>
      <c r="C27" s="91" t="s">
        <v>6189</v>
      </c>
      <c r="F27" s="91">
        <v>12</v>
      </c>
      <c r="I27" s="91" t="s">
        <v>4424</v>
      </c>
      <c r="J27" s="91"/>
      <c r="K27" s="91"/>
      <c r="L27" s="91">
        <f>12*3</f>
        <v>36</v>
      </c>
    </row>
    <row r="28" spans="1:14" x14ac:dyDescent="0.2">
      <c r="C28" s="91" t="s">
        <v>4303</v>
      </c>
      <c r="F28" s="91">
        <v>12</v>
      </c>
      <c r="I28" s="91" t="s">
        <v>4425</v>
      </c>
      <c r="J28" s="91"/>
      <c r="K28" s="91"/>
      <c r="L28" s="91">
        <f>12*2</f>
        <v>24</v>
      </c>
    </row>
    <row r="29" spans="1:14" x14ac:dyDescent="0.2">
      <c r="I29" s="91" t="s">
        <v>4426</v>
      </c>
      <c r="J29" s="91"/>
      <c r="K29" s="91"/>
      <c r="L29" s="91">
        <f>12*3</f>
        <v>36</v>
      </c>
    </row>
    <row r="30" spans="1:14" x14ac:dyDescent="0.2">
      <c r="I30" s="91" t="s">
        <v>4427</v>
      </c>
      <c r="J30" s="91"/>
      <c r="K30" s="91"/>
      <c r="L30" s="91">
        <f>12*2</f>
        <v>24</v>
      </c>
    </row>
    <row r="31" spans="1:14" x14ac:dyDescent="0.2">
      <c r="A31" s="93"/>
      <c r="B31" s="94"/>
      <c r="I31" s="91"/>
      <c r="J31" s="91"/>
      <c r="K31" s="91"/>
      <c r="L31" s="91"/>
    </row>
    <row r="32" spans="1:14" x14ac:dyDescent="0.2">
      <c r="A32" s="93"/>
      <c r="B32" s="93"/>
      <c r="I32" s="106"/>
      <c r="J32" s="91"/>
      <c r="K32" s="2"/>
      <c r="L32" s="91"/>
      <c r="M32" s="91"/>
      <c r="N32" s="91"/>
    </row>
    <row r="33" spans="1:14" x14ac:dyDescent="0.2">
      <c r="A33" s="106"/>
      <c r="I33" s="91" t="s">
        <v>5466</v>
      </c>
      <c r="J33" s="93"/>
      <c r="L33" s="91">
        <f>24*1</f>
        <v>24</v>
      </c>
      <c r="M33" s="91"/>
    </row>
    <row r="34" spans="1:14" x14ac:dyDescent="0.2">
      <c r="A34" s="93"/>
      <c r="B34" s="93"/>
      <c r="I34" s="91" t="s">
        <v>4422</v>
      </c>
      <c r="J34" s="94"/>
      <c r="L34" s="91">
        <f>12*1</f>
        <v>12</v>
      </c>
      <c r="M34" s="91"/>
    </row>
    <row r="35" spans="1:14" x14ac:dyDescent="0.2">
      <c r="A35" s="106"/>
      <c r="I35" s="91" t="s">
        <v>5465</v>
      </c>
      <c r="J35" s="94"/>
      <c r="L35" s="91">
        <f>16*4</f>
        <v>64</v>
      </c>
      <c r="M35" s="91"/>
    </row>
    <row r="36" spans="1:14" ht="13.5" thickBot="1" x14ac:dyDescent="0.25">
      <c r="A36" s="106"/>
      <c r="F36" s="107">
        <f>SUM(F19:F35)</f>
        <v>155.19999999999999</v>
      </c>
      <c r="I36" s="91" t="s">
        <v>4895</v>
      </c>
      <c r="J36" s="91"/>
      <c r="L36" s="91">
        <v>12</v>
      </c>
      <c r="M36" s="91"/>
    </row>
    <row r="37" spans="1:14" ht="13.5" thickTop="1" x14ac:dyDescent="0.2">
      <c r="A37" s="106"/>
      <c r="F37" s="238"/>
      <c r="I37" s="91" t="s">
        <v>4303</v>
      </c>
      <c r="J37" s="99"/>
      <c r="L37" s="91">
        <v>12</v>
      </c>
      <c r="M37" s="91"/>
    </row>
    <row r="38" spans="1:14" ht="20.100000000000001" customHeight="1" x14ac:dyDescent="0.2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Hundred Fifty-Five and 20/100 -----------</v>
      </c>
      <c r="C38" s="97"/>
      <c r="D38" s="206"/>
      <c r="E38" s="206"/>
      <c r="F38" s="206"/>
      <c r="I38" s="91"/>
      <c r="J38" s="91"/>
      <c r="K38" s="91"/>
      <c r="L38" s="91"/>
      <c r="M38" s="91"/>
      <c r="N38" s="91"/>
    </row>
    <row r="39" spans="1:14" x14ac:dyDescent="0.2">
      <c r="A39" s="94"/>
    </row>
    <row r="40" spans="1:14" ht="25.5" x14ac:dyDescent="0.2">
      <c r="A40" s="91" t="s">
        <v>10</v>
      </c>
      <c r="D40" s="218" t="s">
        <v>3975</v>
      </c>
      <c r="E40" s="219"/>
      <c r="F40" s="220"/>
    </row>
    <row r="41" spans="1:14" x14ac:dyDescent="0.2">
      <c r="D41" s="227"/>
      <c r="E41" s="227"/>
      <c r="F41" s="227"/>
    </row>
    <row r="42" spans="1:14" x14ac:dyDescent="0.2">
      <c r="D42" s="228"/>
      <c r="E42" s="229"/>
      <c r="F42" s="229"/>
    </row>
    <row r="43" spans="1:14" x14ac:dyDescent="0.2">
      <c r="A43" s="1"/>
    </row>
    <row r="44" spans="1:14" x14ac:dyDescent="0.2">
      <c r="A44" s="101"/>
      <c r="B44" s="101"/>
    </row>
    <row r="46" spans="1:14" x14ac:dyDescent="0.2">
      <c r="A46" s="91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 codeName="Sheet637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155" t="s">
        <v>7152</v>
      </c>
    </row>
    <row r="10" spans="1:6" x14ac:dyDescent="0.2">
      <c r="A10" s="91" t="s">
        <v>6226</v>
      </c>
      <c r="D10" s="92" t="s">
        <v>1329</v>
      </c>
      <c r="E10" s="155" t="s">
        <v>7153</v>
      </c>
    </row>
    <row r="11" spans="1:6" x14ac:dyDescent="0.2">
      <c r="A11" s="91" t="s">
        <v>6227</v>
      </c>
      <c r="D11" s="92" t="s">
        <v>1330</v>
      </c>
      <c r="E11" s="155" t="s">
        <v>1220</v>
      </c>
    </row>
    <row r="12" spans="1:6" x14ac:dyDescent="0.2">
      <c r="A12" s="91" t="s">
        <v>1337</v>
      </c>
      <c r="D12" s="92" t="s">
        <v>1331</v>
      </c>
      <c r="E12" s="94" t="s">
        <v>7154</v>
      </c>
    </row>
    <row r="13" spans="1:6" x14ac:dyDescent="0.2">
      <c r="A13" s="91" t="s">
        <v>6228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4243</v>
      </c>
    </row>
    <row r="19" spans="1:6" x14ac:dyDescent="0.2">
      <c r="A19" s="106"/>
      <c r="C19" s="2"/>
    </row>
    <row r="20" spans="1:6" x14ac:dyDescent="0.2">
      <c r="A20" s="92" t="s">
        <v>7155</v>
      </c>
      <c r="B20" s="93" t="s">
        <v>7156</v>
      </c>
      <c r="C20" s="91" t="s">
        <v>7157</v>
      </c>
      <c r="F20" s="91">
        <v>3465</v>
      </c>
    </row>
    <row r="21" spans="1:6" x14ac:dyDescent="0.2">
      <c r="A21" s="93"/>
      <c r="B21" s="94"/>
    </row>
    <row r="22" spans="1:6" x14ac:dyDescent="0.2"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3465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Three Thousand Four Hundred Sixty-Five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D70C-F7E0-452A-9272-5F62BF9FA940}">
  <sheetPr codeName="Sheet668"/>
  <dimension ref="A1:I53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91" t="s">
        <v>6651</v>
      </c>
      <c r="I9" s="61"/>
    </row>
    <row r="10" spans="1:9" x14ac:dyDescent="0.2">
      <c r="A10" s="91" t="s">
        <v>6653</v>
      </c>
      <c r="F10" s="92" t="s">
        <v>1335</v>
      </c>
      <c r="G10" s="92" t="s">
        <v>6647</v>
      </c>
      <c r="I10" s="113"/>
    </row>
    <row r="11" spans="1:9" x14ac:dyDescent="0.2">
      <c r="A11" s="91" t="s">
        <v>6654</v>
      </c>
      <c r="F11" s="92" t="s">
        <v>1333</v>
      </c>
      <c r="G11" s="92" t="s">
        <v>1220</v>
      </c>
      <c r="I11" s="113"/>
    </row>
    <row r="12" spans="1:9" x14ac:dyDescent="0.2">
      <c r="A12" s="91" t="s">
        <v>2142</v>
      </c>
      <c r="F12" s="92" t="s">
        <v>1331</v>
      </c>
      <c r="G12" s="92" t="s">
        <v>6652</v>
      </c>
      <c r="I12" s="113"/>
    </row>
    <row r="13" spans="1:9" x14ac:dyDescent="0.2">
      <c r="A13" s="91" t="s">
        <v>1611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6655</v>
      </c>
    </row>
    <row r="19" spans="1:8" x14ac:dyDescent="0.2">
      <c r="A19" s="93"/>
      <c r="B19" s="99"/>
    </row>
    <row r="20" spans="1:8" x14ac:dyDescent="0.2">
      <c r="A20" s="93" t="s">
        <v>6656</v>
      </c>
      <c r="B20" s="195" t="s">
        <v>6657</v>
      </c>
      <c r="C20" s="93"/>
      <c r="D20" s="91" t="s">
        <v>6658</v>
      </c>
      <c r="H20" s="91">
        <v>9800</v>
      </c>
    </row>
    <row r="21" spans="1:8" x14ac:dyDescent="0.2">
      <c r="A21" s="93"/>
      <c r="B21" s="93"/>
      <c r="C21" s="93"/>
    </row>
    <row r="22" spans="1:8" x14ac:dyDescent="0.2">
      <c r="A22" s="93"/>
      <c r="B22" s="99"/>
    </row>
    <row r="23" spans="1:8" x14ac:dyDescent="0.2">
      <c r="A23" s="93"/>
      <c r="B23" s="99"/>
    </row>
    <row r="24" spans="1:8" x14ac:dyDescent="0.2">
      <c r="A24" s="111"/>
      <c r="B24" s="93"/>
      <c r="C24" s="93"/>
      <c r="D24" s="2"/>
      <c r="H24" s="110"/>
    </row>
    <row r="25" spans="1:8" x14ac:dyDescent="0.2">
      <c r="A25" s="111"/>
      <c r="B25" s="93"/>
      <c r="C25" s="93"/>
      <c r="D25" s="2"/>
      <c r="H25" s="110"/>
    </row>
    <row r="26" spans="1:8" x14ac:dyDescent="0.2">
      <c r="A26" s="111"/>
      <c r="B26" s="93"/>
      <c r="C26" s="93"/>
      <c r="H26" s="110"/>
    </row>
    <row r="27" spans="1:8" x14ac:dyDescent="0.2">
      <c r="A27" s="111"/>
      <c r="B27" s="93"/>
      <c r="C27" s="93"/>
      <c r="H27" s="110"/>
    </row>
    <row r="28" spans="1:8" x14ac:dyDescent="0.2">
      <c r="A28" s="111"/>
      <c r="B28" s="93"/>
      <c r="C28" s="93"/>
      <c r="H28" s="110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09"/>
      <c r="B32" s="99"/>
      <c r="C32" s="99"/>
    </row>
    <row r="34" spans="1:8" ht="13.5" thickBot="1" x14ac:dyDescent="0.25">
      <c r="H34" s="107">
        <f>SUM(H18:H32)</f>
        <v>9800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 Thousand Eight Hundred and NO/100 -----------</v>
      </c>
      <c r="C36" s="185"/>
      <c r="D36" s="97"/>
      <c r="E36" s="97"/>
      <c r="F36" s="97"/>
      <c r="G36" s="97"/>
      <c r="H36" s="97"/>
    </row>
    <row r="37" spans="1:8" ht="20.100000000000001" customHeight="1" x14ac:dyDescent="0.2">
      <c r="A37" s="113"/>
      <c r="B37" s="103"/>
      <c r="C37" s="103"/>
      <c r="D37" s="61"/>
      <c r="E37" s="61"/>
      <c r="F37" s="61"/>
      <c r="G37" s="61"/>
      <c r="H37" s="61"/>
    </row>
    <row r="38" spans="1:8" ht="25.5" x14ac:dyDescent="0.2">
      <c r="A38" s="94" t="s">
        <v>3973</v>
      </c>
      <c r="F38" s="218" t="s">
        <v>3975</v>
      </c>
      <c r="G38" s="219"/>
      <c r="H38" s="220"/>
    </row>
    <row r="39" spans="1:8" x14ac:dyDescent="0.2">
      <c r="F39" s="228"/>
      <c r="G39" s="229"/>
      <c r="H39" s="229"/>
    </row>
    <row r="40" spans="1:8" x14ac:dyDescent="0.2">
      <c r="A40" s="1"/>
      <c r="D40" s="99"/>
      <c r="E40" s="99"/>
    </row>
    <row r="41" spans="1:8" x14ac:dyDescent="0.2">
      <c r="A41" s="91" t="s">
        <v>121</v>
      </c>
      <c r="D41" s="99"/>
      <c r="E41" s="99"/>
    </row>
    <row r="42" spans="1:8" x14ac:dyDescent="0.2">
      <c r="A42" s="101"/>
      <c r="B42" s="101"/>
    </row>
    <row r="44" spans="1:8" x14ac:dyDescent="0.2">
      <c r="A44" s="98" t="s">
        <v>8</v>
      </c>
      <c r="D44" s="98"/>
      <c r="F44" s="98" t="s">
        <v>7</v>
      </c>
      <c r="H44" s="102"/>
    </row>
    <row r="48" spans="1:8" x14ac:dyDescent="0.2">
      <c r="A48" s="101"/>
      <c r="B48" s="101"/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/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2092-F4AD-4B96-AA23-EFE2265DA4E4}">
  <sheetPr codeName="Sheet680"/>
  <dimension ref="A1:H53"/>
  <sheetViews>
    <sheetView zoomScaleNormal="100" zoomScaleSheetLayoutView="85" workbookViewId="0">
      <selection activeCell="D50" sqref="D50"/>
    </sheetView>
  </sheetViews>
  <sheetFormatPr defaultRowHeight="12.75" x14ac:dyDescent="0.2"/>
  <cols>
    <col min="1" max="1" width="15.140625" style="91" customWidth="1"/>
    <col min="2" max="2" width="13.42578125" style="91" customWidth="1"/>
    <col min="3" max="3" width="0.5703125" style="91" customWidth="1"/>
    <col min="4" max="4" width="21" style="91" customWidth="1"/>
    <col min="5" max="5" width="1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7670</v>
      </c>
    </row>
    <row r="10" spans="1:8" x14ac:dyDescent="0.2">
      <c r="A10" s="91" t="s">
        <v>6904</v>
      </c>
      <c r="F10" s="92" t="s">
        <v>1329</v>
      </c>
      <c r="G10" s="92" t="s">
        <v>7659</v>
      </c>
    </row>
    <row r="11" spans="1:8" x14ac:dyDescent="0.2">
      <c r="A11" s="91" t="s">
        <v>6905</v>
      </c>
      <c r="F11" s="92" t="s">
        <v>1330</v>
      </c>
      <c r="G11" s="92" t="s">
        <v>1220</v>
      </c>
    </row>
    <row r="12" spans="1:8" x14ac:dyDescent="0.2">
      <c r="A12" s="91" t="s">
        <v>6906</v>
      </c>
      <c r="F12" s="92" t="s">
        <v>1331</v>
      </c>
      <c r="G12" s="92" t="s">
        <v>7671</v>
      </c>
    </row>
    <row r="13" spans="1:8" x14ac:dyDescent="0.2">
      <c r="A13" s="91" t="s">
        <v>1284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29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7672</v>
      </c>
      <c r="E18" s="2"/>
    </row>
    <row r="20" spans="1:8" x14ac:dyDescent="0.2">
      <c r="A20" s="137"/>
      <c r="B20" s="93"/>
      <c r="C20" s="93"/>
      <c r="D20" s="91" t="s">
        <v>7285</v>
      </c>
      <c r="H20" s="91">
        <v>1498</v>
      </c>
    </row>
    <row r="21" spans="1:8" x14ac:dyDescent="0.2">
      <c r="A21" s="106"/>
      <c r="D21" s="91" t="s">
        <v>7673</v>
      </c>
      <c r="H21" s="91">
        <v>1498</v>
      </c>
    </row>
    <row r="22" spans="1:8" x14ac:dyDescent="0.2">
      <c r="D22" s="91" t="s">
        <v>7674</v>
      </c>
      <c r="H22" s="91">
        <v>1498</v>
      </c>
    </row>
    <row r="23" spans="1:8" x14ac:dyDescent="0.2">
      <c r="D23" s="91" t="s">
        <v>7675</v>
      </c>
      <c r="H23" s="91">
        <v>1398</v>
      </c>
    </row>
    <row r="25" spans="1:8" x14ac:dyDescent="0.2">
      <c r="A25" s="137"/>
      <c r="B25" s="99"/>
      <c r="C25" s="430"/>
      <c r="D25" s="91" t="s">
        <v>6908</v>
      </c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0" spans="1:8" x14ac:dyDescent="0.2">
      <c r="A30" s="106"/>
    </row>
    <row r="31" spans="1:8" x14ac:dyDescent="0.2">
      <c r="A31" s="106"/>
    </row>
    <row r="32" spans="1:8" x14ac:dyDescent="0.2">
      <c r="A32" s="106"/>
    </row>
    <row r="33" spans="1:8" x14ac:dyDescent="0.2">
      <c r="A33" s="106"/>
      <c r="H33" s="1"/>
    </row>
    <row r="34" spans="1:8" ht="13.5" thickBot="1" x14ac:dyDescent="0.25">
      <c r="A34" s="106"/>
      <c r="H34" s="107">
        <f>SUM(H20:H32)</f>
        <v>5892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Thousand Eight Hundred Ninety-Two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41" spans="1:8" x14ac:dyDescent="0.2">
      <c r="F41" s="227"/>
      <c r="G41" s="227"/>
      <c r="H41" s="227"/>
    </row>
    <row r="42" spans="1:8" x14ac:dyDescent="0.2">
      <c r="A42" s="101"/>
      <c r="B42" s="101"/>
      <c r="C42" s="386"/>
      <c r="F42" s="228"/>
      <c r="G42" s="229"/>
      <c r="H42" s="229"/>
    </row>
    <row r="43" spans="1:8" x14ac:dyDescent="0.2">
      <c r="A43" s="1"/>
      <c r="F43" s="98" t="s">
        <v>7</v>
      </c>
      <c r="H43" s="102"/>
    </row>
    <row r="44" spans="1:8" x14ac:dyDescent="0.2">
      <c r="A44" s="91" t="s">
        <v>8</v>
      </c>
      <c r="D44" s="91" t="s">
        <v>8</v>
      </c>
      <c r="F44" s="98"/>
      <c r="H44" s="102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DEF6-006E-41D0-BA47-849152F667E6}">
  <sheetPr codeName="Sheet693">
    <pageSetUpPr fitToPage="1"/>
  </sheetPr>
  <dimension ref="A1:K64"/>
  <sheetViews>
    <sheetView topLeftCell="A22" workbookViewId="0">
      <selection activeCell="F34" sqref="F3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12.85546875" style="1" bestFit="1" customWidth="1"/>
    <col min="12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/>
      <c r="B9" s="91"/>
      <c r="C9" s="91"/>
      <c r="D9" s="91"/>
      <c r="E9" s="91"/>
      <c r="F9" s="92" t="s">
        <v>30</v>
      </c>
      <c r="G9" s="153" t="s">
        <v>7123</v>
      </c>
      <c r="H9" s="91"/>
    </row>
    <row r="10" spans="1:10" x14ac:dyDescent="0.2">
      <c r="A10" s="91" t="s">
        <v>7124</v>
      </c>
      <c r="B10" s="91"/>
      <c r="C10" s="91"/>
      <c r="D10" s="91"/>
      <c r="E10" s="91"/>
      <c r="F10" s="92" t="s">
        <v>27</v>
      </c>
      <c r="G10" s="153" t="s">
        <v>7103</v>
      </c>
      <c r="H10" s="91"/>
      <c r="J10" s="20"/>
    </row>
    <row r="11" spans="1:10" x14ac:dyDescent="0.2">
      <c r="A11" s="91" t="s">
        <v>7125</v>
      </c>
      <c r="B11" s="91"/>
      <c r="C11" s="91"/>
      <c r="D11" s="91"/>
      <c r="E11" s="91"/>
      <c r="F11" s="92" t="s">
        <v>24</v>
      </c>
      <c r="G11" s="153" t="s">
        <v>1220</v>
      </c>
      <c r="H11" s="91"/>
      <c r="J11" s="81"/>
    </row>
    <row r="12" spans="1:10" x14ac:dyDescent="0.2">
      <c r="A12" s="91" t="s">
        <v>7126</v>
      </c>
      <c r="B12" s="91"/>
      <c r="C12" s="91"/>
      <c r="D12" s="91"/>
      <c r="E12" s="91"/>
      <c r="F12" s="92" t="s">
        <v>22</v>
      </c>
      <c r="G12" s="153" t="s">
        <v>770</v>
      </c>
      <c r="H12" s="91"/>
    </row>
    <row r="13" spans="1:10" x14ac:dyDescent="0.2">
      <c r="A13" s="91" t="s">
        <v>7127</v>
      </c>
      <c r="B13" s="91"/>
      <c r="C13" s="91"/>
      <c r="D13" s="91"/>
      <c r="E13" s="91"/>
      <c r="F13" s="91"/>
      <c r="G13" s="91"/>
      <c r="H13" s="91"/>
    </row>
    <row r="14" spans="1:10" x14ac:dyDescent="0.2">
      <c r="A14" s="91" t="s">
        <v>7128</v>
      </c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91"/>
      <c r="B17" s="91"/>
      <c r="C17" s="91"/>
      <c r="D17" s="91"/>
      <c r="E17" s="91"/>
      <c r="F17" s="91"/>
      <c r="G17" s="91"/>
      <c r="H17" s="91"/>
    </row>
    <row r="18" spans="1:11" x14ac:dyDescent="0.2">
      <c r="A18" s="91"/>
      <c r="B18" s="91"/>
      <c r="C18" s="91"/>
      <c r="D18" s="2" t="s">
        <v>6907</v>
      </c>
      <c r="E18" s="2"/>
      <c r="F18" s="91"/>
      <c r="G18" s="91"/>
      <c r="H18" s="91"/>
      <c r="K18" s="247"/>
    </row>
    <row r="19" spans="1:11" x14ac:dyDescent="0.2">
      <c r="A19" s="91"/>
      <c r="B19" s="91"/>
      <c r="C19" s="91"/>
      <c r="D19" s="2"/>
      <c r="E19" s="2"/>
      <c r="F19" s="91"/>
      <c r="G19" s="91"/>
      <c r="H19" s="91"/>
    </row>
    <row r="20" spans="1:11" x14ac:dyDescent="0.2">
      <c r="A20" s="93" t="s">
        <v>7064</v>
      </c>
      <c r="B20" s="195" t="s">
        <v>7129</v>
      </c>
      <c r="C20" s="93"/>
      <c r="D20" s="91" t="s">
        <v>7130</v>
      </c>
      <c r="E20" s="91"/>
      <c r="F20" s="91"/>
      <c r="G20" s="91"/>
      <c r="H20" s="91">
        <f>4731.04*4.2223</f>
        <v>19975.870191999998</v>
      </c>
    </row>
    <row r="21" spans="1:11" x14ac:dyDescent="0.2">
      <c r="A21" s="91"/>
      <c r="B21" s="94"/>
      <c r="C21" s="94"/>
      <c r="D21" s="91" t="s">
        <v>7131</v>
      </c>
      <c r="E21" s="91"/>
      <c r="F21" s="91"/>
      <c r="G21" s="91"/>
      <c r="H21" s="91"/>
    </row>
    <row r="22" spans="1:11" x14ac:dyDescent="0.2">
      <c r="A22" s="93"/>
      <c r="B22" s="93"/>
      <c r="C22" s="93"/>
      <c r="D22" s="91"/>
      <c r="F22" s="91"/>
      <c r="G22" s="91"/>
      <c r="H22" s="91"/>
    </row>
    <row r="23" spans="1:11" x14ac:dyDescent="0.2">
      <c r="A23" s="93"/>
      <c r="B23" s="278"/>
      <c r="C23" s="94"/>
      <c r="D23" s="91" t="s">
        <v>52</v>
      </c>
      <c r="E23" s="91"/>
      <c r="F23" s="91"/>
      <c r="G23" s="91"/>
      <c r="H23" s="91">
        <v>30</v>
      </c>
    </row>
    <row r="24" spans="1:11" x14ac:dyDescent="0.2">
      <c r="A24" s="93"/>
      <c r="B24" s="93"/>
      <c r="C24" s="93"/>
      <c r="D24" s="91"/>
      <c r="E24" s="91"/>
      <c r="F24" s="91"/>
      <c r="G24" s="91"/>
      <c r="H24" s="91"/>
    </row>
    <row r="25" spans="1:11" x14ac:dyDescent="0.2">
      <c r="A25" s="91"/>
      <c r="B25" s="91"/>
      <c r="C25" s="91"/>
      <c r="D25" s="91"/>
      <c r="H25" s="91"/>
    </row>
    <row r="26" spans="1:11" x14ac:dyDescent="0.2">
      <c r="A26" s="91"/>
      <c r="B26" s="94"/>
      <c r="C26" s="94"/>
      <c r="D26" s="91"/>
      <c r="E26" s="91"/>
    </row>
    <row r="27" spans="1:11" x14ac:dyDescent="0.2">
      <c r="A27" s="91"/>
      <c r="B27" s="91"/>
      <c r="C27" s="91"/>
      <c r="D27" s="91"/>
      <c r="H27" s="91"/>
    </row>
    <row r="28" spans="1:11" x14ac:dyDescent="0.2">
      <c r="A28" s="91"/>
      <c r="B28" s="91"/>
      <c r="C28" s="91"/>
      <c r="D28" s="91"/>
      <c r="E28" s="91"/>
      <c r="F28" s="91"/>
      <c r="G28" s="91"/>
      <c r="H28" s="91"/>
    </row>
    <row r="29" spans="1:11" x14ac:dyDescent="0.2">
      <c r="A29" s="91"/>
      <c r="B29" s="91"/>
      <c r="C29" s="91"/>
      <c r="F29" s="91"/>
      <c r="G29" s="91"/>
      <c r="H29" s="91"/>
    </row>
    <row r="30" spans="1:11" x14ac:dyDescent="0.2">
      <c r="A30" s="91"/>
      <c r="B30" s="94"/>
      <c r="C30" s="94"/>
      <c r="D30" s="143"/>
      <c r="E30" s="143"/>
      <c r="F30" s="91"/>
      <c r="G30" s="91"/>
      <c r="H30" s="91"/>
    </row>
    <row r="31" spans="1:11" x14ac:dyDescent="0.2">
      <c r="A31" s="91"/>
      <c r="B31" s="91"/>
      <c r="C31" s="91"/>
    </row>
    <row r="32" spans="1:11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20005.870191999998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 Thousand Five and 87/100 -----------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1FAC-6C14-43F3-B52E-72A9A4CA1EC4}">
  <sheetPr codeName="Sheet694"/>
  <dimension ref="A1:R54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4.425781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153" t="s">
        <v>8638</v>
      </c>
      <c r="I9" s="61"/>
    </row>
    <row r="10" spans="1:9" x14ac:dyDescent="0.2">
      <c r="A10" s="91" t="s">
        <v>7206</v>
      </c>
      <c r="F10" s="92" t="s">
        <v>1335</v>
      </c>
      <c r="G10" s="155" t="s">
        <v>8628</v>
      </c>
      <c r="I10" s="113"/>
    </row>
    <row r="11" spans="1:9" x14ac:dyDescent="0.2">
      <c r="A11" s="91" t="s">
        <v>7207</v>
      </c>
      <c r="F11" s="92" t="s">
        <v>1333</v>
      </c>
      <c r="G11" s="155" t="s">
        <v>2625</v>
      </c>
      <c r="I11" s="113"/>
    </row>
    <row r="12" spans="1:9" x14ac:dyDescent="0.2">
      <c r="A12" s="91" t="s">
        <v>7208</v>
      </c>
      <c r="F12" s="92" t="s">
        <v>1331</v>
      </c>
      <c r="G12" s="155" t="s">
        <v>8639</v>
      </c>
      <c r="I12" s="113"/>
    </row>
    <row r="13" spans="1:9" x14ac:dyDescent="0.2">
      <c r="A13" s="91" t="s">
        <v>4254</v>
      </c>
      <c r="G13" s="153" t="s">
        <v>7762</v>
      </c>
    </row>
    <row r="14" spans="1:9" x14ac:dyDescent="0.2">
      <c r="A14" s="91" t="s">
        <v>1862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8" x14ac:dyDescent="0.2">
      <c r="A18" s="93"/>
      <c r="B18" s="93"/>
      <c r="C18" s="93"/>
      <c r="D18" s="2" t="s">
        <v>7209</v>
      </c>
      <c r="M18" s="93"/>
      <c r="N18" s="2" t="s">
        <v>7222</v>
      </c>
      <c r="O18" s="91"/>
      <c r="P18" s="91"/>
      <c r="Q18" s="91"/>
      <c r="R18" s="110"/>
    </row>
    <row r="19" spans="1:18" x14ac:dyDescent="0.2">
      <c r="A19" s="93"/>
      <c r="B19" s="99"/>
      <c r="K19" s="111"/>
      <c r="L19" s="93"/>
      <c r="M19" s="93"/>
      <c r="N19" s="91"/>
      <c r="O19" s="91"/>
      <c r="P19" s="91"/>
      <c r="Q19" s="91"/>
      <c r="R19" s="110"/>
    </row>
    <row r="20" spans="1:18" x14ac:dyDescent="0.2">
      <c r="A20" s="93" t="s">
        <v>8640</v>
      </c>
      <c r="B20" s="195" t="s">
        <v>8641</v>
      </c>
      <c r="C20" s="93"/>
      <c r="D20" s="91" t="s">
        <v>8642</v>
      </c>
      <c r="H20" s="91">
        <v>150</v>
      </c>
      <c r="K20" s="111" t="s">
        <v>7210</v>
      </c>
      <c r="L20" s="195" t="s">
        <v>7221</v>
      </c>
      <c r="M20" s="93"/>
      <c r="N20" s="91" t="s">
        <v>7223</v>
      </c>
      <c r="O20" s="91"/>
      <c r="P20" s="91"/>
      <c r="Q20" s="91"/>
      <c r="R20" s="110">
        <f>2500*30%</f>
        <v>750</v>
      </c>
    </row>
    <row r="21" spans="1:18" x14ac:dyDescent="0.2">
      <c r="A21" s="93"/>
      <c r="B21" s="93"/>
      <c r="C21" s="93"/>
      <c r="K21" s="111"/>
      <c r="L21" s="195"/>
      <c r="M21" s="93"/>
      <c r="N21" s="91" t="s">
        <v>7215</v>
      </c>
      <c r="O21" s="91"/>
      <c r="P21" s="91"/>
      <c r="Q21" s="91"/>
      <c r="R21" s="110"/>
    </row>
    <row r="22" spans="1:18" x14ac:dyDescent="0.2">
      <c r="A22" s="93"/>
      <c r="B22" s="93"/>
      <c r="K22" s="111"/>
      <c r="L22" s="195"/>
      <c r="M22" s="93"/>
      <c r="N22" s="91" t="s">
        <v>7216</v>
      </c>
      <c r="O22" s="91"/>
      <c r="P22" s="91"/>
      <c r="Q22" s="91"/>
      <c r="R22" s="110"/>
    </row>
    <row r="23" spans="1:18" x14ac:dyDescent="0.2">
      <c r="A23" s="93"/>
      <c r="B23" s="272"/>
      <c r="K23" s="111"/>
      <c r="L23" s="195"/>
      <c r="M23" s="93"/>
      <c r="N23" s="91" t="s">
        <v>7217</v>
      </c>
      <c r="O23" s="91"/>
      <c r="P23" s="91"/>
      <c r="Q23" s="91"/>
      <c r="R23" s="110"/>
    </row>
    <row r="24" spans="1:18" x14ac:dyDescent="0.2">
      <c r="A24" s="93"/>
      <c r="B24" s="99"/>
      <c r="K24" s="109"/>
      <c r="L24" s="449"/>
      <c r="M24" s="449"/>
      <c r="N24" s="91" t="s">
        <v>7218</v>
      </c>
      <c r="O24" s="91"/>
      <c r="P24" s="91"/>
      <c r="Q24" s="91"/>
      <c r="R24" s="91"/>
    </row>
    <row r="25" spans="1:18" x14ac:dyDescent="0.2">
      <c r="A25" s="93"/>
      <c r="B25" s="99"/>
      <c r="K25" s="109"/>
      <c r="L25" s="449"/>
      <c r="M25" s="449"/>
      <c r="N25" s="91" t="s">
        <v>7224</v>
      </c>
      <c r="O25" s="91"/>
      <c r="P25" s="91"/>
      <c r="Q25" s="91"/>
      <c r="R25" s="91"/>
    </row>
    <row r="26" spans="1:18" x14ac:dyDescent="0.2">
      <c r="K26" s="93"/>
      <c r="L26" s="93"/>
      <c r="M26" s="93"/>
      <c r="N26" s="2" t="s">
        <v>7209</v>
      </c>
      <c r="O26" s="91"/>
      <c r="P26" s="91"/>
      <c r="Q26" s="91"/>
      <c r="R26" s="91"/>
    </row>
    <row r="27" spans="1:18" x14ac:dyDescent="0.2">
      <c r="A27" s="111"/>
      <c r="B27" s="195"/>
      <c r="C27" s="93"/>
      <c r="H27" s="110"/>
      <c r="K27" s="93"/>
      <c r="L27" s="477"/>
      <c r="M27" s="91"/>
      <c r="N27" s="91"/>
      <c r="O27" s="91"/>
      <c r="P27" s="91"/>
      <c r="Q27" s="91"/>
      <c r="R27" s="91"/>
    </row>
    <row r="28" spans="1:18" x14ac:dyDescent="0.2">
      <c r="A28" s="111"/>
      <c r="B28" s="93"/>
      <c r="C28" s="93"/>
      <c r="H28" s="110"/>
      <c r="K28" s="93" t="s">
        <v>7456</v>
      </c>
      <c r="L28" s="195" t="s">
        <v>7797</v>
      </c>
      <c r="M28" s="93"/>
      <c r="N28" s="91" t="s">
        <v>7798</v>
      </c>
      <c r="O28" s="91"/>
      <c r="P28" s="91"/>
      <c r="Q28" s="91"/>
      <c r="R28" s="91">
        <f>9800*70/100</f>
        <v>6860</v>
      </c>
    </row>
    <row r="29" spans="1:18" x14ac:dyDescent="0.2">
      <c r="A29" s="1"/>
      <c r="B29" s="1"/>
      <c r="C29" s="93"/>
      <c r="H29" s="110"/>
      <c r="K29" s="93"/>
      <c r="L29" s="93"/>
      <c r="M29" s="93"/>
      <c r="N29" s="91" t="s">
        <v>7215</v>
      </c>
      <c r="O29" s="91"/>
      <c r="P29" s="91"/>
      <c r="Q29" s="91"/>
      <c r="R29" s="91"/>
    </row>
    <row r="30" spans="1:18" x14ac:dyDescent="0.2">
      <c r="A30" s="111"/>
      <c r="B30" s="93"/>
      <c r="C30" s="93"/>
      <c r="H30" s="110"/>
      <c r="K30" s="93"/>
      <c r="L30" s="93"/>
      <c r="M30" s="91"/>
      <c r="N30" s="91" t="s">
        <v>7216</v>
      </c>
      <c r="O30" s="91"/>
      <c r="P30" s="91"/>
      <c r="Q30" s="91"/>
      <c r="R30" s="91"/>
    </row>
    <row r="31" spans="1:18" x14ac:dyDescent="0.2">
      <c r="A31" s="111"/>
      <c r="B31" s="195"/>
      <c r="C31" s="93"/>
      <c r="H31" s="110"/>
      <c r="K31" s="93"/>
      <c r="L31" s="477"/>
      <c r="M31" s="91"/>
      <c r="N31" s="91" t="s">
        <v>7217</v>
      </c>
      <c r="O31" s="91"/>
      <c r="P31" s="91"/>
      <c r="Q31" s="91"/>
      <c r="R31" s="91"/>
    </row>
    <row r="32" spans="1:18" x14ac:dyDescent="0.2">
      <c r="A32" s="111"/>
      <c r="B32" s="195"/>
      <c r="C32" s="93"/>
      <c r="H32" s="110"/>
      <c r="K32" s="93"/>
      <c r="L32" s="477"/>
      <c r="M32" s="91"/>
      <c r="N32" s="91" t="s">
        <v>7218</v>
      </c>
      <c r="O32" s="91"/>
      <c r="P32" s="91"/>
      <c r="Q32" s="91"/>
      <c r="R32" s="91"/>
    </row>
    <row r="33" spans="1:18" x14ac:dyDescent="0.2">
      <c r="A33" s="111"/>
      <c r="B33" s="195"/>
      <c r="C33" s="93"/>
      <c r="H33" s="110"/>
      <c r="K33" s="93"/>
      <c r="L33" s="477"/>
      <c r="M33" s="91"/>
      <c r="N33" s="91" t="s">
        <v>7219</v>
      </c>
      <c r="O33" s="91"/>
      <c r="P33" s="91"/>
      <c r="Q33" s="91"/>
      <c r="R33" s="91"/>
    </row>
    <row r="34" spans="1:18" x14ac:dyDescent="0.2">
      <c r="K34" s="93"/>
      <c r="L34" s="477"/>
      <c r="M34" s="91"/>
      <c r="N34" s="91" t="s">
        <v>7799</v>
      </c>
      <c r="O34" s="91"/>
      <c r="P34" s="91"/>
      <c r="Q34" s="91"/>
      <c r="R34" s="91"/>
    </row>
    <row r="35" spans="1:18" ht="13.5" thickBot="1" x14ac:dyDescent="0.25">
      <c r="H35" s="107">
        <f>SUM(H18:H33)</f>
        <v>150</v>
      </c>
      <c r="K35" s="93"/>
      <c r="L35" s="477"/>
      <c r="M35" s="91"/>
      <c r="N35" s="91"/>
      <c r="O35" s="91"/>
      <c r="P35" s="91"/>
      <c r="Q35" s="91"/>
      <c r="R35" s="91"/>
    </row>
    <row r="36" spans="1:18" ht="13.5" thickTop="1" x14ac:dyDescent="0.2">
      <c r="K36" s="91"/>
      <c r="L36" s="91"/>
      <c r="M36" s="91"/>
      <c r="N36" s="91" t="s">
        <v>7220</v>
      </c>
      <c r="O36" s="91"/>
      <c r="P36" s="91"/>
      <c r="Q36" s="91"/>
      <c r="R36" s="91">
        <v>210</v>
      </c>
    </row>
    <row r="37" spans="1:18" ht="20.25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Fifty and NO/100 -----------</v>
      </c>
      <c r="C37" s="185"/>
      <c r="D37" s="97"/>
      <c r="E37" s="97"/>
      <c r="F37" s="97"/>
      <c r="G37" s="97"/>
      <c r="H37" s="97"/>
      <c r="K37" s="111"/>
      <c r="L37" s="93"/>
      <c r="M37" s="93"/>
      <c r="N37" s="91" t="s">
        <v>7800</v>
      </c>
      <c r="O37" s="91"/>
      <c r="P37" s="91"/>
      <c r="Q37" s="91"/>
      <c r="R37" s="110"/>
    </row>
    <row r="38" spans="1:18" x14ac:dyDescent="0.2">
      <c r="A38" s="113"/>
      <c r="B38" s="103"/>
      <c r="C38" s="103"/>
      <c r="D38" s="61"/>
      <c r="E38" s="61"/>
      <c r="F38" s="61"/>
      <c r="G38" s="61"/>
      <c r="H38" s="61"/>
      <c r="K38" s="111"/>
      <c r="L38" s="93"/>
      <c r="M38" s="93"/>
      <c r="N38" s="91"/>
      <c r="O38" s="91"/>
      <c r="P38" s="91"/>
      <c r="Q38" s="91"/>
      <c r="R38" s="110"/>
    </row>
    <row r="39" spans="1:18" ht="25.5" x14ac:dyDescent="0.2">
      <c r="A39" s="94" t="s">
        <v>3973</v>
      </c>
      <c r="F39" s="218" t="s">
        <v>3975</v>
      </c>
      <c r="G39" s="219"/>
      <c r="H39" s="220"/>
      <c r="M39" s="93"/>
      <c r="N39" s="2"/>
      <c r="O39" s="91"/>
      <c r="P39" s="91"/>
      <c r="Q39" s="91"/>
      <c r="R39" s="110"/>
    </row>
    <row r="40" spans="1:18" ht="20.100000000000001" customHeight="1" x14ac:dyDescent="0.2">
      <c r="F40" s="228"/>
      <c r="G40" s="229"/>
      <c r="H40" s="229"/>
    </row>
    <row r="41" spans="1:18" ht="20.100000000000001" customHeight="1" x14ac:dyDescent="0.2">
      <c r="A41" s="1"/>
      <c r="D41" s="99"/>
      <c r="E41" s="99"/>
    </row>
    <row r="42" spans="1:18" x14ac:dyDescent="0.2">
      <c r="A42" s="91" t="s">
        <v>121</v>
      </c>
      <c r="D42" s="99"/>
      <c r="E42" s="99"/>
    </row>
    <row r="43" spans="1:18" x14ac:dyDescent="0.2">
      <c r="A43" s="101"/>
      <c r="B43" s="101"/>
    </row>
    <row r="45" spans="1:1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s="3" customFormat="1" ht="17.100000000000001" customHeight="1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B773-40DB-45CF-930F-1B82B4411C11}">
  <sheetPr codeName="Sheet695">
    <pageSetUpPr fitToPage="1"/>
  </sheetPr>
  <dimension ref="A1:R52"/>
  <sheetViews>
    <sheetView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1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8" x14ac:dyDescent="0.2">
      <c r="A8" s="91" t="s">
        <v>32</v>
      </c>
      <c r="F8" s="22" t="s">
        <v>31</v>
      </c>
    </row>
    <row r="9" spans="1:18" x14ac:dyDescent="0.2">
      <c r="F9" s="92" t="s">
        <v>1317</v>
      </c>
      <c r="G9" s="110" t="s">
        <v>7253</v>
      </c>
    </row>
    <row r="10" spans="1:18" x14ac:dyDescent="0.2">
      <c r="A10" s="91" t="s">
        <v>7238</v>
      </c>
      <c r="F10" s="92" t="s">
        <v>1329</v>
      </c>
      <c r="G10" s="289" t="s">
        <v>7254</v>
      </c>
    </row>
    <row r="11" spans="1:18" x14ac:dyDescent="0.2">
      <c r="A11" s="91" t="s">
        <v>7239</v>
      </c>
      <c r="F11" s="92" t="s">
        <v>1330</v>
      </c>
      <c r="G11" s="370" t="s">
        <v>1220</v>
      </c>
    </row>
    <row r="12" spans="1:18" x14ac:dyDescent="0.2">
      <c r="A12" s="91" t="s">
        <v>7240</v>
      </c>
      <c r="F12" s="92" t="s">
        <v>1377</v>
      </c>
      <c r="G12" s="370" t="s">
        <v>770</v>
      </c>
    </row>
    <row r="13" spans="1:18" x14ac:dyDescent="0.2">
      <c r="A13" s="91" t="s">
        <v>7241</v>
      </c>
    </row>
    <row r="14" spans="1:18" x14ac:dyDescent="0.2">
      <c r="A14" s="91" t="s">
        <v>7242</v>
      </c>
    </row>
    <row r="16" spans="1:1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106"/>
      <c r="L16" s="91"/>
      <c r="M16" s="91"/>
      <c r="N16" s="91"/>
      <c r="O16" s="91"/>
      <c r="P16" s="91"/>
      <c r="Q16" s="91"/>
      <c r="R16" s="91"/>
    </row>
    <row r="17" spans="1:18" x14ac:dyDescent="0.2">
      <c r="A17" s="106"/>
      <c r="K17" s="142" t="s">
        <v>7245</v>
      </c>
      <c r="L17" s="142" t="s">
        <v>7255</v>
      </c>
      <c r="M17" s="142"/>
      <c r="N17" s="94" t="s">
        <v>7256</v>
      </c>
      <c r="O17" s="94"/>
      <c r="P17" s="91"/>
      <c r="Q17" s="91"/>
      <c r="R17" s="91">
        <f>10000*0.1383</f>
        <v>1383</v>
      </c>
    </row>
    <row r="18" spans="1:18" x14ac:dyDescent="0.2">
      <c r="D18" s="2" t="s">
        <v>7244</v>
      </c>
      <c r="E18" s="2"/>
      <c r="K18" s="92"/>
      <c r="L18" s="93"/>
      <c r="M18" s="93"/>
      <c r="N18" s="94"/>
      <c r="O18" s="94"/>
      <c r="P18" s="91"/>
      <c r="Q18" s="91"/>
      <c r="R18" s="91"/>
    </row>
    <row r="19" spans="1:18" x14ac:dyDescent="0.2">
      <c r="A19" s="106"/>
      <c r="K19" s="92"/>
      <c r="L19" s="93"/>
      <c r="M19" s="93"/>
      <c r="N19" s="94" t="s">
        <v>7243</v>
      </c>
      <c r="O19" s="94"/>
      <c r="P19" s="91"/>
      <c r="Q19" s="91"/>
      <c r="R19" s="91">
        <f>R17*3%</f>
        <v>41.49</v>
      </c>
    </row>
    <row r="20" spans="1:18" x14ac:dyDescent="0.2">
      <c r="A20" s="142" t="s">
        <v>7245</v>
      </c>
      <c r="B20" s="142" t="s">
        <v>7255</v>
      </c>
      <c r="C20" s="142"/>
      <c r="D20" s="94" t="s">
        <v>7256</v>
      </c>
      <c r="E20" s="94"/>
      <c r="H20" s="91">
        <f>10000*0.1386</f>
        <v>1386</v>
      </c>
      <c r="J20" s="383"/>
      <c r="K20" s="92"/>
      <c r="L20" s="93"/>
      <c r="M20" s="93"/>
      <c r="N20" s="94"/>
      <c r="O20" s="94"/>
      <c r="P20" s="91"/>
      <c r="Q20" s="91"/>
      <c r="R20" s="91"/>
    </row>
    <row r="21" spans="1:18" x14ac:dyDescent="0.2">
      <c r="A21" s="92"/>
      <c r="B21" s="93"/>
      <c r="C21" s="93"/>
      <c r="D21" s="94"/>
      <c r="E21" s="94"/>
      <c r="K21" s="137" t="s">
        <v>7237</v>
      </c>
      <c r="L21" s="93" t="s">
        <v>7257</v>
      </c>
      <c r="M21" s="91"/>
      <c r="N21" s="91" t="s">
        <v>7258</v>
      </c>
      <c r="O21" s="91"/>
      <c r="P21" s="91"/>
      <c r="Q21" s="91"/>
      <c r="R21" s="91">
        <f>15000*0.1383</f>
        <v>2074.5</v>
      </c>
    </row>
    <row r="22" spans="1:18" x14ac:dyDescent="0.2">
      <c r="A22" s="92"/>
      <c r="B22" s="93"/>
      <c r="C22" s="93"/>
      <c r="D22" s="94" t="s">
        <v>7243</v>
      </c>
      <c r="E22" s="94"/>
      <c r="H22" s="91">
        <f>H20*3%</f>
        <v>41.58</v>
      </c>
      <c r="K22" s="106"/>
      <c r="L22" s="91"/>
      <c r="M22" s="91"/>
      <c r="N22" s="91" t="s">
        <v>7259</v>
      </c>
      <c r="O22" s="91"/>
      <c r="P22" s="91"/>
      <c r="Q22" s="91"/>
      <c r="R22" s="91"/>
    </row>
    <row r="23" spans="1:18" x14ac:dyDescent="0.2">
      <c r="A23" s="92"/>
      <c r="B23" s="93"/>
      <c r="C23" s="93"/>
      <c r="D23" s="94"/>
      <c r="E23" s="94"/>
      <c r="K23" s="106"/>
      <c r="L23" s="91"/>
      <c r="M23" s="91"/>
      <c r="N23" s="91"/>
      <c r="O23" s="91"/>
      <c r="P23" s="91"/>
      <c r="Q23" s="91"/>
      <c r="R23" s="91"/>
    </row>
    <row r="24" spans="1:18" x14ac:dyDescent="0.2">
      <c r="A24" s="137" t="s">
        <v>7237</v>
      </c>
      <c r="B24" s="93" t="s">
        <v>7257</v>
      </c>
      <c r="D24" s="91" t="s">
        <v>7258</v>
      </c>
      <c r="H24" s="91">
        <f>15000*0.1386</f>
        <v>2079</v>
      </c>
      <c r="K24" s="91"/>
      <c r="L24" s="91"/>
      <c r="M24" s="91"/>
      <c r="N24" s="91" t="s">
        <v>7243</v>
      </c>
      <c r="O24" s="91"/>
      <c r="P24" s="91"/>
      <c r="Q24" s="91"/>
      <c r="R24" s="91">
        <f>R21*3%</f>
        <v>62.234999999999999</v>
      </c>
    </row>
    <row r="25" spans="1:18" x14ac:dyDescent="0.2">
      <c r="A25" s="106"/>
      <c r="D25" s="91" t="s">
        <v>7259</v>
      </c>
      <c r="K25" s="93"/>
      <c r="L25" s="93"/>
      <c r="M25" s="93"/>
      <c r="N25" s="91"/>
      <c r="O25" s="91"/>
      <c r="P25" s="91"/>
      <c r="Q25" s="91"/>
      <c r="R25" s="91"/>
    </row>
    <row r="26" spans="1:18" x14ac:dyDescent="0.2">
      <c r="A26" s="106"/>
      <c r="N26" s="94" t="s">
        <v>52</v>
      </c>
      <c r="O26" s="94"/>
      <c r="P26" s="91"/>
      <c r="Q26" s="91"/>
      <c r="R26" s="91">
        <v>6</v>
      </c>
    </row>
    <row r="27" spans="1:18" x14ac:dyDescent="0.2">
      <c r="D27" s="91" t="s">
        <v>7243</v>
      </c>
      <c r="H27" s="91">
        <f>H24*3%</f>
        <v>62.37</v>
      </c>
      <c r="N27" s="91"/>
      <c r="O27" s="91"/>
      <c r="P27" s="91"/>
      <c r="Q27" s="91"/>
      <c r="R27" s="91"/>
    </row>
    <row r="28" spans="1:18" x14ac:dyDescent="0.2">
      <c r="A28" s="93"/>
      <c r="B28" s="93"/>
      <c r="C28" s="93"/>
      <c r="N28" s="91" t="s">
        <v>7252</v>
      </c>
      <c r="O28" s="91"/>
      <c r="P28" s="91"/>
      <c r="Q28" s="91"/>
      <c r="R28" s="91"/>
    </row>
    <row r="29" spans="1:18" x14ac:dyDescent="0.2">
      <c r="A29" s="1"/>
      <c r="B29" s="1"/>
      <c r="C29" s="1"/>
      <c r="D29" s="94" t="s">
        <v>52</v>
      </c>
      <c r="E29" s="94"/>
      <c r="H29" s="91">
        <v>6</v>
      </c>
      <c r="K29" s="106"/>
      <c r="L29" s="91"/>
      <c r="M29" s="91"/>
      <c r="N29" s="91"/>
      <c r="O29" s="91"/>
      <c r="P29" s="91"/>
      <c r="Q29" s="91"/>
      <c r="R29" s="91"/>
    </row>
    <row r="30" spans="1:18" x14ac:dyDescent="0.2">
      <c r="A30" s="1"/>
      <c r="B30" s="1"/>
      <c r="C30" s="1"/>
    </row>
    <row r="31" spans="1:18" x14ac:dyDescent="0.2">
      <c r="A31" s="1"/>
      <c r="B31" s="1"/>
      <c r="C31" s="1"/>
      <c r="D31" s="91" t="s">
        <v>7315</v>
      </c>
    </row>
    <row r="32" spans="1:18" x14ac:dyDescent="0.2">
      <c r="A32" s="106"/>
    </row>
    <row r="33" spans="1:8" x14ac:dyDescent="0.2">
      <c r="A33" s="106"/>
      <c r="H33" s="384">
        <f>SUM(H20:H30)</f>
        <v>3574.95</v>
      </c>
    </row>
    <row r="34" spans="1:8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Thousand Five Hundred Seventy-Four and 95/100 -----------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B37" s="91" t="s">
        <v>658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99"/>
      <c r="F40" s="228"/>
      <c r="G40" s="229"/>
      <c r="H40" s="229"/>
    </row>
    <row r="41" spans="1:8" x14ac:dyDescent="0.2">
      <c r="A41" s="23"/>
      <c r="B41" s="101"/>
    </row>
    <row r="43" spans="1:8" x14ac:dyDescent="0.2">
      <c r="A43" s="91" t="s">
        <v>8</v>
      </c>
      <c r="F43" s="98" t="s">
        <v>7</v>
      </c>
      <c r="H43" s="102"/>
    </row>
    <row r="47" spans="1:8" x14ac:dyDescent="0.2">
      <c r="A47" s="101"/>
      <c r="B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/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93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4813</v>
      </c>
    </row>
    <row r="10" spans="1:6" x14ac:dyDescent="0.2">
      <c r="A10" s="91" t="s">
        <v>4816</v>
      </c>
      <c r="D10" s="92" t="s">
        <v>1357</v>
      </c>
      <c r="E10" s="98" t="s">
        <v>4815</v>
      </c>
    </row>
    <row r="11" spans="1:6" x14ac:dyDescent="0.2">
      <c r="A11" s="91" t="s">
        <v>4817</v>
      </c>
      <c r="D11" s="92" t="s">
        <v>1330</v>
      </c>
      <c r="E11" s="98" t="s">
        <v>1220</v>
      </c>
    </row>
    <row r="12" spans="1:6" x14ac:dyDescent="0.2">
      <c r="A12" s="91" t="s">
        <v>1245</v>
      </c>
      <c r="D12" s="92" t="s">
        <v>1224</v>
      </c>
      <c r="E12" s="92" t="s">
        <v>4814</v>
      </c>
    </row>
    <row r="13" spans="1:6" x14ac:dyDescent="0.2">
      <c r="A13" s="91" t="s">
        <v>4819</v>
      </c>
    </row>
    <row r="14" spans="1:6" x14ac:dyDescent="0.2">
      <c r="A14" s="91" t="s">
        <v>4818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4798</v>
      </c>
    </row>
    <row r="19" spans="1:6" x14ac:dyDescent="0.2">
      <c r="A19" s="94"/>
      <c r="B19" s="240"/>
    </row>
    <row r="20" spans="1:6" x14ac:dyDescent="0.2">
      <c r="A20" s="93" t="s">
        <v>4820</v>
      </c>
      <c r="B20" s="93" t="s">
        <v>4821</v>
      </c>
      <c r="C20" s="153" t="s">
        <v>4822</v>
      </c>
      <c r="F20" s="91">
        <v>3450</v>
      </c>
    </row>
    <row r="21" spans="1:6" x14ac:dyDescent="0.2">
      <c r="A21" s="93"/>
      <c r="B21" s="195"/>
      <c r="C21" s="153" t="s">
        <v>2147</v>
      </c>
      <c r="F21" s="91">
        <f>F20*6%</f>
        <v>207</v>
      </c>
    </row>
    <row r="22" spans="1:6" x14ac:dyDescent="0.2">
      <c r="A22" s="93"/>
      <c r="B22" s="195"/>
      <c r="C22" s="153"/>
    </row>
    <row r="23" spans="1:6" x14ac:dyDescent="0.2">
      <c r="A23" s="93"/>
      <c r="B23" s="195"/>
      <c r="C23" s="153"/>
    </row>
    <row r="24" spans="1:6" x14ac:dyDescent="0.2">
      <c r="A24" s="93"/>
      <c r="B24" s="195"/>
      <c r="C24" s="153"/>
    </row>
    <row r="25" spans="1:6" x14ac:dyDescent="0.2">
      <c r="B25" s="191"/>
    </row>
    <row r="26" spans="1:6" x14ac:dyDescent="0.2">
      <c r="A26" s="93"/>
      <c r="B26" s="240"/>
      <c r="C26" s="153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3657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Thousand Six Hundred Fifty-Seven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219E-62CB-49A7-AFBB-CB3239AE3908}">
  <sheetPr codeName="Sheet712">
    <pageSetUpPr fitToPage="1"/>
  </sheetPr>
  <dimension ref="A1:H53"/>
  <sheetViews>
    <sheetView topLeftCell="A16" workbookViewId="0">
      <selection activeCell="D50" sqref="D50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7302</v>
      </c>
      <c r="F9" s="92" t="s">
        <v>1317</v>
      </c>
      <c r="G9" s="91" t="s">
        <v>8528</v>
      </c>
    </row>
    <row r="10" spans="1:8" x14ac:dyDescent="0.2">
      <c r="A10" s="91" t="s">
        <v>7303</v>
      </c>
      <c r="F10" s="92" t="s">
        <v>1329</v>
      </c>
      <c r="G10" s="91" t="s">
        <v>8530</v>
      </c>
    </row>
    <row r="11" spans="1:8" x14ac:dyDescent="0.2">
      <c r="A11" s="91" t="s">
        <v>7304</v>
      </c>
      <c r="F11" s="92" t="s">
        <v>1330</v>
      </c>
      <c r="G11" s="91" t="s">
        <v>1220</v>
      </c>
    </row>
    <row r="12" spans="1:8" x14ac:dyDescent="0.2">
      <c r="A12" s="91" t="s">
        <v>1862</v>
      </c>
      <c r="F12" s="92" t="s">
        <v>1331</v>
      </c>
      <c r="G12" s="91" t="s">
        <v>8529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98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4118</v>
      </c>
      <c r="E18" s="2"/>
    </row>
    <row r="19" spans="1:8" x14ac:dyDescent="0.2">
      <c r="A19" s="144"/>
      <c r="D19" s="2"/>
      <c r="E19" s="2"/>
    </row>
    <row r="20" spans="1:8" x14ac:dyDescent="0.2">
      <c r="A20" s="137" t="s">
        <v>8531</v>
      </c>
      <c r="B20" s="93"/>
      <c r="C20" s="93"/>
      <c r="D20" s="91" t="s">
        <v>8532</v>
      </c>
      <c r="H20" s="91">
        <v>830</v>
      </c>
    </row>
    <row r="21" spans="1:8" x14ac:dyDescent="0.2">
      <c r="A21" s="106"/>
    </row>
    <row r="23" spans="1:8" x14ac:dyDescent="0.2">
      <c r="A23" s="106"/>
    </row>
    <row r="26" spans="1:8" x14ac:dyDescent="0.2">
      <c r="A26" s="1"/>
      <c r="B26" s="1"/>
      <c r="C26" s="1"/>
    </row>
    <row r="27" spans="1:8" x14ac:dyDescent="0.2">
      <c r="A27" s="1"/>
      <c r="B27" s="1"/>
      <c r="C27" s="1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SUM(H19:H31)</f>
        <v>830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Eight Hundred Thirty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40" spans="1:8" x14ac:dyDescent="0.2">
      <c r="A40" s="91" t="s">
        <v>120</v>
      </c>
      <c r="D40" s="99"/>
      <c r="E40" s="499"/>
    </row>
    <row r="41" spans="1:8" x14ac:dyDescent="0.2">
      <c r="D41" s="99"/>
      <c r="E41" s="499"/>
    </row>
    <row r="42" spans="1:8" x14ac:dyDescent="0.2">
      <c r="A42" s="101"/>
      <c r="B42" s="101"/>
      <c r="C42" s="386"/>
      <c r="F42" s="227"/>
      <c r="G42" s="227"/>
      <c r="H42" s="227"/>
    </row>
    <row r="43" spans="1:8" x14ac:dyDescent="0.2">
      <c r="F43" s="227"/>
      <c r="G43" s="227"/>
      <c r="H43" s="227"/>
    </row>
    <row r="44" spans="1:8" x14ac:dyDescent="0.2">
      <c r="A44" s="91" t="s">
        <v>8</v>
      </c>
      <c r="D44" s="91" t="s">
        <v>8</v>
      </c>
      <c r="F44" s="228"/>
      <c r="G44" s="229"/>
      <c r="H44" s="229"/>
    </row>
    <row r="45" spans="1:8" x14ac:dyDescent="0.2">
      <c r="A45" s="1"/>
      <c r="D45" s="1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ACF5-C984-42A3-9133-704CA552B9C3}">
  <sheetPr codeName="Sheet732">
    <pageSetUpPr fitToPage="1"/>
  </sheetPr>
  <dimension ref="A1:I58"/>
  <sheetViews>
    <sheetView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155" t="s">
        <v>7543</v>
      </c>
      <c r="I9" s="61"/>
    </row>
    <row r="10" spans="1:9" x14ac:dyDescent="0.2">
      <c r="A10" s="91" t="s">
        <v>7545</v>
      </c>
      <c r="F10" s="92" t="s">
        <v>1335</v>
      </c>
      <c r="G10" s="155" t="s">
        <v>7542</v>
      </c>
      <c r="I10" s="113"/>
    </row>
    <row r="11" spans="1:9" x14ac:dyDescent="0.2">
      <c r="A11" s="91" t="s">
        <v>7546</v>
      </c>
      <c r="F11" s="92" t="s">
        <v>1333</v>
      </c>
      <c r="G11" s="155" t="s">
        <v>1220</v>
      </c>
      <c r="I11" s="113"/>
    </row>
    <row r="12" spans="1:9" x14ac:dyDescent="0.2">
      <c r="A12" s="91" t="s">
        <v>7547</v>
      </c>
      <c r="F12" s="92" t="s">
        <v>1331</v>
      </c>
      <c r="G12" s="91" t="s">
        <v>7544</v>
      </c>
      <c r="I12" s="113"/>
    </row>
    <row r="13" spans="1:9" x14ac:dyDescent="0.2">
      <c r="A13" s="91" t="s">
        <v>7548</v>
      </c>
    </row>
    <row r="14" spans="1:9" x14ac:dyDescent="0.2">
      <c r="A14" s="91" t="s">
        <v>2926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C18" s="93"/>
      <c r="D18" s="2" t="s">
        <v>5673</v>
      </c>
    </row>
    <row r="19" spans="1:8" x14ac:dyDescent="0.2">
      <c r="A19" s="93"/>
      <c r="B19" s="93"/>
      <c r="C19" s="93"/>
    </row>
    <row r="20" spans="1:8" x14ac:dyDescent="0.2">
      <c r="A20" s="93" t="s">
        <v>7483</v>
      </c>
      <c r="B20" s="93"/>
      <c r="D20" s="91" t="s">
        <v>7549</v>
      </c>
      <c r="H20" s="91">
        <v>7000</v>
      </c>
    </row>
    <row r="21" spans="1:8" x14ac:dyDescent="0.2">
      <c r="D21" s="91" t="s">
        <v>7550</v>
      </c>
    </row>
    <row r="22" spans="1:8" x14ac:dyDescent="0.2">
      <c r="A22" s="93"/>
      <c r="B22" s="93"/>
    </row>
    <row r="23" spans="1:8" x14ac:dyDescent="0.2">
      <c r="A23" s="93"/>
      <c r="B23" s="406"/>
      <c r="D23" s="91" t="s">
        <v>7552</v>
      </c>
      <c r="H23" s="91">
        <v>1275</v>
      </c>
    </row>
    <row r="24" spans="1:8" x14ac:dyDescent="0.2">
      <c r="A24" s="93"/>
      <c r="B24" s="93"/>
      <c r="D24" s="91" t="s">
        <v>7551</v>
      </c>
    </row>
    <row r="25" spans="1:8" x14ac:dyDescent="0.2">
      <c r="A25" s="93"/>
      <c r="B25" s="406"/>
    </row>
    <row r="26" spans="1:8" x14ac:dyDescent="0.2">
      <c r="A26" s="93"/>
      <c r="B26" s="93"/>
    </row>
    <row r="27" spans="1:8" x14ac:dyDescent="0.2">
      <c r="A27" s="93"/>
      <c r="B27" s="406"/>
    </row>
    <row r="28" spans="1:8" x14ac:dyDescent="0.2">
      <c r="D28" s="2"/>
    </row>
    <row r="29" spans="1:8" x14ac:dyDescent="0.2">
      <c r="A29" s="111"/>
      <c r="B29" s="93"/>
      <c r="C29" s="93"/>
      <c r="D29" s="2"/>
      <c r="H29" s="110"/>
    </row>
    <row r="30" spans="1:8" x14ac:dyDescent="0.2">
      <c r="A30" s="111"/>
      <c r="B30" s="93"/>
      <c r="C30" s="93"/>
      <c r="D30" s="2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11"/>
      <c r="B34" s="93"/>
      <c r="C34" s="93"/>
      <c r="H34" s="110"/>
    </row>
    <row r="35" spans="1:8" x14ac:dyDescent="0.2">
      <c r="A35" s="111"/>
      <c r="B35" s="93"/>
      <c r="C35" s="93"/>
      <c r="H35" s="110"/>
    </row>
    <row r="36" spans="1:8" x14ac:dyDescent="0.2">
      <c r="A36" s="111"/>
      <c r="B36" s="93"/>
      <c r="C36" s="93"/>
      <c r="H36" s="110"/>
    </row>
    <row r="37" spans="1:8" x14ac:dyDescent="0.2">
      <c r="A37" s="109"/>
      <c r="B37" s="406"/>
      <c r="C37" s="406"/>
    </row>
    <row r="39" spans="1:8" ht="13.5" thickBot="1" x14ac:dyDescent="0.25">
      <c r="H39" s="107">
        <f>SUM(H18:H37)</f>
        <v>8275</v>
      </c>
    </row>
    <row r="40" spans="1:8" ht="13.5" thickTop="1" x14ac:dyDescent="0.2"/>
    <row r="41" spans="1:8" ht="20.100000000000001" customHeight="1" x14ac:dyDescent="0.2">
      <c r="A41" s="96" t="s">
        <v>336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Eight Thousand Two Hundred Seventy-Five and NO/100 -----------</v>
      </c>
      <c r="C41" s="185"/>
      <c r="D41" s="97"/>
      <c r="E41" s="97"/>
      <c r="F41" s="97"/>
      <c r="G41" s="97"/>
      <c r="H41" s="97"/>
    </row>
    <row r="42" spans="1:8" ht="20.100000000000001" customHeight="1" x14ac:dyDescent="0.2">
      <c r="A42" s="113"/>
      <c r="B42" s="103"/>
      <c r="C42" s="103"/>
      <c r="D42" s="61"/>
      <c r="E42" s="61"/>
      <c r="F42" s="61"/>
      <c r="G42" s="61"/>
      <c r="H42" s="61"/>
    </row>
    <row r="43" spans="1:8" ht="25.5" x14ac:dyDescent="0.2">
      <c r="A43" s="94" t="s">
        <v>3973</v>
      </c>
      <c r="F43" s="218" t="s">
        <v>3975</v>
      </c>
      <c r="G43" s="219"/>
      <c r="H43" s="220"/>
    </row>
    <row r="44" spans="1:8" x14ac:dyDescent="0.2">
      <c r="F44" s="228"/>
      <c r="G44" s="229"/>
      <c r="H44" s="229"/>
    </row>
    <row r="45" spans="1:8" x14ac:dyDescent="0.2">
      <c r="A45" s="1"/>
      <c r="D45" s="406"/>
      <c r="E45" s="406"/>
    </row>
    <row r="46" spans="1:8" x14ac:dyDescent="0.2">
      <c r="A46" s="91" t="s">
        <v>121</v>
      </c>
      <c r="D46" s="406"/>
      <c r="E46" s="406"/>
    </row>
    <row r="47" spans="1:8" x14ac:dyDescent="0.2">
      <c r="A47" s="101"/>
      <c r="B47" s="101"/>
    </row>
    <row r="49" spans="1:8" x14ac:dyDescent="0.2">
      <c r="A49" s="98" t="s">
        <v>8</v>
      </c>
      <c r="D49" s="98" t="s">
        <v>8</v>
      </c>
      <c r="F49" s="98" t="s">
        <v>7</v>
      </c>
      <c r="H49" s="102"/>
    </row>
    <row r="53" spans="1:8" x14ac:dyDescent="0.2">
      <c r="A53" s="101"/>
      <c r="B53" s="101"/>
      <c r="D53" s="101"/>
      <c r="F53" s="101"/>
      <c r="G53" s="101"/>
      <c r="H53" s="101"/>
    </row>
    <row r="54" spans="1:8" s="3" customFormat="1" ht="17.100000000000001" customHeight="1" x14ac:dyDescent="0.2">
      <c r="A54" s="91" t="s">
        <v>4066</v>
      </c>
      <c r="B54" s="104"/>
      <c r="C54" s="104"/>
      <c r="D54" s="91" t="s">
        <v>50</v>
      </c>
      <c r="E54" s="61"/>
      <c r="F54" s="61" t="s">
        <v>3</v>
      </c>
      <c r="G54" s="61"/>
      <c r="H54" s="61"/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8CCA-508A-4BE1-8CFB-5C65A6B72965}">
  <sheetPr codeName="Sheet748">
    <pageSetUpPr fitToPage="1"/>
  </sheetPr>
  <dimension ref="A1:H56"/>
  <sheetViews>
    <sheetView workbookViewId="0">
      <selection activeCell="G9" sqref="G9:G12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85546875" style="1" customWidth="1"/>
    <col min="4" max="4" width="23" style="1" customWidth="1"/>
    <col min="5" max="5" width="0.855468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7897</v>
      </c>
      <c r="H9" s="91"/>
    </row>
    <row r="10" spans="1:8" x14ac:dyDescent="0.2">
      <c r="A10" s="91" t="s">
        <v>7900</v>
      </c>
      <c r="B10" s="91"/>
      <c r="C10" s="91"/>
      <c r="D10" s="91"/>
      <c r="E10" s="91"/>
      <c r="F10" s="92" t="s">
        <v>1357</v>
      </c>
      <c r="G10" s="98" t="s">
        <v>7899</v>
      </c>
      <c r="H10" s="91"/>
    </row>
    <row r="11" spans="1:8" x14ac:dyDescent="0.2">
      <c r="A11" s="91" t="s">
        <v>7901</v>
      </c>
      <c r="B11" s="91"/>
      <c r="C11" s="91"/>
      <c r="D11" s="91"/>
      <c r="E11" s="91"/>
      <c r="F11" s="92" t="s">
        <v>1330</v>
      </c>
      <c r="G11" s="98" t="s">
        <v>1220</v>
      </c>
      <c r="H11" s="91"/>
    </row>
    <row r="12" spans="1:8" x14ac:dyDescent="0.2">
      <c r="A12" s="91" t="s">
        <v>1284</v>
      </c>
      <c r="B12" s="91"/>
      <c r="C12" s="91"/>
      <c r="D12" s="91"/>
      <c r="E12" s="91"/>
      <c r="F12" s="92" t="s">
        <v>1224</v>
      </c>
      <c r="G12" s="92" t="s">
        <v>7898</v>
      </c>
      <c r="H12" s="91"/>
    </row>
    <row r="13" spans="1:8" x14ac:dyDescent="0.2">
      <c r="A13" s="91" t="s">
        <v>7902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 t="s">
        <v>7903</v>
      </c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456" t="s">
        <v>7559</v>
      </c>
      <c r="C16" s="456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7904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/>
      <c r="E19" s="2"/>
      <c r="F19" s="91"/>
      <c r="G19" s="91"/>
      <c r="H19" s="91"/>
    </row>
    <row r="20" spans="1:8" x14ac:dyDescent="0.2">
      <c r="A20" s="137" t="s">
        <v>7905</v>
      </c>
      <c r="B20" s="93" t="s">
        <v>7906</v>
      </c>
      <c r="C20" s="91"/>
      <c r="D20" s="91" t="s">
        <v>7907</v>
      </c>
      <c r="E20" s="91"/>
      <c r="F20" s="91"/>
      <c r="G20" s="91"/>
      <c r="H20" s="91">
        <v>585</v>
      </c>
    </row>
    <row r="21" spans="1:8" x14ac:dyDescent="0.2">
      <c r="A21" s="105"/>
      <c r="B21" s="91"/>
      <c r="C21" s="91"/>
      <c r="D21" s="91" t="s">
        <v>7908</v>
      </c>
      <c r="E21" s="91"/>
      <c r="F21" s="91"/>
      <c r="G21" s="91"/>
      <c r="H21" s="91"/>
    </row>
    <row r="22" spans="1:8" x14ac:dyDescent="0.2">
      <c r="A22" s="137"/>
      <c r="B22" s="91"/>
      <c r="C22" s="91"/>
      <c r="D22" s="91"/>
      <c r="E22" s="91"/>
      <c r="F22" s="91"/>
      <c r="G22" s="91"/>
      <c r="H22" s="91"/>
    </row>
    <row r="23" spans="1:8" x14ac:dyDescent="0.2">
      <c r="A23" s="106"/>
      <c r="B23" s="91"/>
      <c r="C23" s="91"/>
      <c r="D23" s="91" t="s">
        <v>7909</v>
      </c>
      <c r="E23" s="143"/>
      <c r="F23" s="91"/>
      <c r="G23" s="91"/>
      <c r="H23" s="91">
        <v>80</v>
      </c>
    </row>
    <row r="24" spans="1:8" x14ac:dyDescent="0.2">
      <c r="D24" s="91"/>
      <c r="E24" s="91"/>
      <c r="F24" s="91"/>
      <c r="G24" s="91"/>
      <c r="H24" s="91"/>
    </row>
    <row r="25" spans="1:8" x14ac:dyDescent="0.2">
      <c r="A25" s="137"/>
      <c r="B25" s="91"/>
      <c r="C25" s="91"/>
      <c r="D25" s="91" t="s">
        <v>7910</v>
      </c>
      <c r="E25" s="91"/>
      <c r="F25" s="91"/>
      <c r="G25" s="91"/>
      <c r="H25" s="91">
        <v>250</v>
      </c>
    </row>
    <row r="26" spans="1:8" x14ac:dyDescent="0.2">
      <c r="A26" s="106"/>
      <c r="B26" s="91"/>
      <c r="C26" s="91"/>
      <c r="D26" s="91"/>
      <c r="E26" s="91"/>
      <c r="F26" s="91"/>
      <c r="G26" s="91"/>
      <c r="H26" s="91"/>
    </row>
    <row r="27" spans="1:8" x14ac:dyDescent="0.2">
      <c r="A27" s="91"/>
      <c r="B27" s="91"/>
      <c r="C27" s="91"/>
      <c r="D27" s="91" t="s">
        <v>7911</v>
      </c>
      <c r="E27" s="91"/>
      <c r="F27" s="91"/>
      <c r="G27" s="91"/>
      <c r="H27" s="91">
        <v>350</v>
      </c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1265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Two Hundred Sixty-Five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457"/>
      <c r="E42" s="457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FAF0-B06B-4015-B3B5-0B58E12DCCB9}">
  <sheetPr codeName="Sheet749"/>
  <dimension ref="A1:R54"/>
  <sheetViews>
    <sheetView view="pageBreakPreview" topLeftCell="A22" zoomScaleNormal="100" zoomScaleSheetLayoutView="100" workbookViewId="0">
      <selection activeCell="D16" sqref="D16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" style="91" customWidth="1"/>
    <col min="4" max="4" width="21" style="91" customWidth="1"/>
    <col min="5" max="5" width="0.855468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  <c r="J8" s="91" t="s">
        <v>8888</v>
      </c>
      <c r="K8" s="91">
        <v>43902</v>
      </c>
      <c r="L8" s="91" t="s">
        <v>8889</v>
      </c>
      <c r="M8" s="91" t="s">
        <v>7934</v>
      </c>
    </row>
    <row r="9" spans="1:15" x14ac:dyDescent="0.2">
      <c r="F9" s="92" t="s">
        <v>1358</v>
      </c>
      <c r="G9" s="91" t="s">
        <v>8888</v>
      </c>
    </row>
    <row r="10" spans="1:15" x14ac:dyDescent="0.2">
      <c r="A10" s="91" t="s">
        <v>7935</v>
      </c>
      <c r="F10" s="92" t="s">
        <v>1357</v>
      </c>
      <c r="G10" s="92" t="s">
        <v>8852</v>
      </c>
    </row>
    <row r="11" spans="1:15" x14ac:dyDescent="0.2">
      <c r="A11" s="91" t="s">
        <v>7936</v>
      </c>
      <c r="F11" s="92" t="s">
        <v>1330</v>
      </c>
      <c r="G11" s="92" t="s">
        <v>1220</v>
      </c>
    </row>
    <row r="12" spans="1:15" x14ac:dyDescent="0.2">
      <c r="A12" s="91" t="s">
        <v>7937</v>
      </c>
      <c r="F12" s="92" t="s">
        <v>1224</v>
      </c>
      <c r="G12" s="92" t="s">
        <v>8889</v>
      </c>
    </row>
    <row r="13" spans="1:15" x14ac:dyDescent="0.2">
      <c r="A13" s="91" t="s">
        <v>1611</v>
      </c>
    </row>
    <row r="14" spans="1:15" x14ac:dyDescent="0.2">
      <c r="L14" s="2"/>
    </row>
    <row r="16" spans="1:15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J16" s="93"/>
      <c r="K16" s="93"/>
      <c r="L16" s="91"/>
      <c r="M16" s="91"/>
      <c r="N16" s="91"/>
      <c r="O16" s="91"/>
    </row>
    <row r="18" spans="1:18" x14ac:dyDescent="0.2">
      <c r="D18" s="2" t="s">
        <v>7938</v>
      </c>
      <c r="E18" s="2"/>
      <c r="J18" s="93"/>
      <c r="K18" s="93"/>
    </row>
    <row r="20" spans="1:18" x14ac:dyDescent="0.2">
      <c r="A20" s="93" t="s">
        <v>8487</v>
      </c>
      <c r="B20" s="195" t="s">
        <v>8890</v>
      </c>
      <c r="C20" s="93"/>
      <c r="D20" s="91" t="s">
        <v>8891</v>
      </c>
      <c r="E20" s="94"/>
      <c r="H20" s="91">
        <v>360000</v>
      </c>
    </row>
    <row r="21" spans="1:18" x14ac:dyDescent="0.2">
      <c r="D21" s="91" t="s">
        <v>8892</v>
      </c>
      <c r="E21" s="94"/>
      <c r="L21" s="94"/>
      <c r="M21" s="94"/>
    </row>
    <row r="22" spans="1:18" x14ac:dyDescent="0.2">
      <c r="A22" s="93"/>
      <c r="B22" s="93"/>
      <c r="C22" s="93"/>
      <c r="D22" s="91" t="s">
        <v>8893</v>
      </c>
      <c r="E22" s="94"/>
      <c r="L22" s="94"/>
      <c r="M22" s="94"/>
    </row>
    <row r="23" spans="1:18" x14ac:dyDescent="0.2">
      <c r="A23" s="93"/>
      <c r="B23" s="93"/>
      <c r="C23" s="93"/>
      <c r="D23" s="94" t="s">
        <v>8894</v>
      </c>
      <c r="E23" s="94"/>
      <c r="L23" s="94"/>
      <c r="M23" s="94"/>
    </row>
    <row r="24" spans="1:18" x14ac:dyDescent="0.2">
      <c r="A24" s="93"/>
      <c r="B24" s="93"/>
      <c r="C24" s="93"/>
      <c r="D24" s="94" t="s">
        <v>8895</v>
      </c>
      <c r="E24" s="94"/>
      <c r="L24" s="94"/>
      <c r="M24" s="94"/>
    </row>
    <row r="25" spans="1:18" x14ac:dyDescent="0.2">
      <c r="A25" s="93"/>
      <c r="B25" s="195"/>
      <c r="D25" s="91" t="s">
        <v>8896</v>
      </c>
      <c r="L25" s="94"/>
    </row>
    <row r="26" spans="1:18" x14ac:dyDescent="0.2">
      <c r="A26" s="93"/>
      <c r="B26" s="93"/>
      <c r="C26" s="93"/>
      <c r="E26" s="94"/>
      <c r="L26" s="94"/>
      <c r="M26" s="94"/>
    </row>
    <row r="27" spans="1:18" x14ac:dyDescent="0.2">
      <c r="A27" s="93"/>
      <c r="B27" s="93"/>
      <c r="C27" s="93"/>
      <c r="E27" s="94"/>
      <c r="K27" s="93" t="s">
        <v>7878</v>
      </c>
      <c r="L27" s="195" t="s">
        <v>7941</v>
      </c>
      <c r="N27" s="91" t="s">
        <v>7942</v>
      </c>
      <c r="R27" s="91">
        <v>360000</v>
      </c>
    </row>
    <row r="28" spans="1:18" x14ac:dyDescent="0.2">
      <c r="A28" s="93"/>
      <c r="B28" s="93"/>
      <c r="C28" s="93"/>
      <c r="E28" s="94"/>
      <c r="K28" s="93"/>
      <c r="L28" s="93"/>
      <c r="M28" s="93"/>
      <c r="N28" s="91" t="s">
        <v>7939</v>
      </c>
      <c r="O28" s="94"/>
    </row>
    <row r="29" spans="1:18" x14ac:dyDescent="0.2">
      <c r="A29" s="93"/>
      <c r="B29" s="93"/>
      <c r="C29" s="93"/>
      <c r="E29" s="2"/>
      <c r="K29" s="93"/>
      <c r="L29" s="93"/>
      <c r="M29" s="93"/>
      <c r="N29" s="91" t="s">
        <v>7943</v>
      </c>
      <c r="O29" s="94"/>
    </row>
    <row r="30" spans="1:18" x14ac:dyDescent="0.2">
      <c r="A30" s="93"/>
      <c r="B30" s="93"/>
      <c r="C30" s="93"/>
      <c r="E30" s="2"/>
      <c r="K30" s="93"/>
      <c r="L30" s="93"/>
      <c r="M30" s="93"/>
      <c r="N30" s="91" t="s">
        <v>7940</v>
      </c>
      <c r="O30" s="94"/>
    </row>
    <row r="31" spans="1:18" x14ac:dyDescent="0.2">
      <c r="A31" s="93"/>
      <c r="B31" s="93"/>
      <c r="C31" s="93"/>
      <c r="K31" s="93"/>
      <c r="L31" s="93"/>
      <c r="M31" s="93"/>
      <c r="N31" s="91" t="s">
        <v>7944</v>
      </c>
      <c r="O31" s="2"/>
    </row>
    <row r="32" spans="1:18" x14ac:dyDescent="0.2">
      <c r="A32" s="93"/>
      <c r="B32" s="93"/>
      <c r="C32" s="93"/>
      <c r="D32" s="94"/>
      <c r="E32" s="94"/>
      <c r="K32" s="93"/>
      <c r="L32" s="93"/>
      <c r="M32" s="93"/>
      <c r="N32" s="91" t="s">
        <v>7945</v>
      </c>
      <c r="O32" s="2"/>
    </row>
    <row r="34" spans="1:8" ht="13.5" thickBot="1" x14ac:dyDescent="0.25">
      <c r="H34" s="95">
        <f>SUM(H19:H33)</f>
        <v>360000</v>
      </c>
    </row>
    <row r="35" spans="1:8" ht="13.5" thickTop="1" x14ac:dyDescent="0.2"/>
    <row r="36" spans="1:8" ht="20.100000000000001" customHeight="1" x14ac:dyDescent="0.2">
      <c r="A36" s="96" t="s">
        <v>1075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Three Hundred Sixty Thousand and NO/100 -----------</v>
      </c>
      <c r="C36" s="185"/>
      <c r="D36" s="97"/>
      <c r="E36" s="97"/>
      <c r="F36" s="97"/>
      <c r="G36" s="97"/>
      <c r="H36" s="97"/>
    </row>
    <row r="37" spans="1:8" ht="20.100000000000001" customHeight="1" x14ac:dyDescent="0.2">
      <c r="A37" s="113"/>
      <c r="B37" s="103"/>
      <c r="C37" s="103"/>
      <c r="D37" s="61"/>
      <c r="E37" s="61"/>
      <c r="F37" s="388"/>
      <c r="G37" s="388"/>
      <c r="H37" s="388"/>
    </row>
    <row r="38" spans="1:8" ht="25.5" x14ac:dyDescent="0.2">
      <c r="A38" s="235" t="s">
        <v>3973</v>
      </c>
      <c r="D38" s="98" t="s">
        <v>8</v>
      </c>
      <c r="F38" s="218" t="s">
        <v>3975</v>
      </c>
      <c r="G38" s="219"/>
      <c r="H38" s="220"/>
    </row>
    <row r="39" spans="1:8" x14ac:dyDescent="0.2">
      <c r="A39" s="98"/>
      <c r="D39" s="98"/>
      <c r="F39" s="228"/>
      <c r="G39" s="229"/>
      <c r="H39" s="229"/>
    </row>
    <row r="40" spans="1:8" x14ac:dyDescent="0.2">
      <c r="D40" s="98"/>
      <c r="E40" s="459"/>
    </row>
    <row r="41" spans="1:8" x14ac:dyDescent="0.2">
      <c r="A41" s="98"/>
      <c r="D41" s="98"/>
      <c r="E41" s="459"/>
    </row>
    <row r="42" spans="1:8" x14ac:dyDescent="0.2">
      <c r="A42" s="100"/>
      <c r="B42" s="101"/>
      <c r="C42" s="386"/>
      <c r="D42" s="100"/>
    </row>
    <row r="43" spans="1:8" x14ac:dyDescent="0.2">
      <c r="A43" s="98"/>
      <c r="D43" s="98" t="s">
        <v>50</v>
      </c>
    </row>
    <row r="44" spans="1:8" x14ac:dyDescent="0.2">
      <c r="A44" s="98"/>
      <c r="D44" s="98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C49" s="386"/>
      <c r="D49" s="100"/>
      <c r="F49" s="101"/>
      <c r="G49" s="101"/>
      <c r="H49" s="101"/>
    </row>
    <row r="50" spans="1:8" s="61" customFormat="1" ht="17.100000000000001" customHeight="1" x14ac:dyDescent="0.2">
      <c r="A50" s="98" t="s">
        <v>4047</v>
      </c>
      <c r="B50" s="104"/>
      <c r="C50" s="104"/>
      <c r="D50" s="98" t="s">
        <v>50</v>
      </c>
      <c r="F50" s="61" t="s">
        <v>3</v>
      </c>
    </row>
    <row r="51" spans="1:8" x14ac:dyDescent="0.2">
      <c r="A51" s="98"/>
      <c r="F51" s="91" t="s">
        <v>2</v>
      </c>
    </row>
    <row r="52" spans="1:8" x14ac:dyDescent="0.2">
      <c r="A52" s="98"/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6B9A-F27D-44A2-8C25-58DA464B68E4}">
  <sheetPr codeName="Sheet757"/>
  <dimension ref="A1:K56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0.5703125" style="91" customWidth="1"/>
    <col min="4" max="4" width="21" style="91" customWidth="1"/>
    <col min="5" max="5" width="2" style="91" customWidth="1"/>
    <col min="6" max="6" width="14.42578125" style="91" customWidth="1"/>
    <col min="7" max="7" width="10.140625" style="91" customWidth="1"/>
    <col min="8" max="8" width="13.28515625" style="91" customWidth="1"/>
    <col min="9" max="9" width="9.140625" style="91"/>
    <col min="10" max="10" width="9.7109375" style="91" bestFit="1" customWidth="1"/>
    <col min="11" max="11" width="10.28515625" style="91" bestFit="1" customWidth="1"/>
    <col min="12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1300</v>
      </c>
      <c r="G9" s="91" t="s">
        <v>8054</v>
      </c>
    </row>
    <row r="10" spans="1:8" x14ac:dyDescent="0.2">
      <c r="A10" s="91" t="s">
        <v>8056</v>
      </c>
      <c r="F10" s="92" t="s">
        <v>1356</v>
      </c>
      <c r="G10" s="155" t="s">
        <v>8047</v>
      </c>
    </row>
    <row r="11" spans="1:8" x14ac:dyDescent="0.2">
      <c r="A11" s="91" t="s">
        <v>8057</v>
      </c>
      <c r="F11" s="92" t="s">
        <v>1364</v>
      </c>
      <c r="G11" s="155" t="s">
        <v>1220</v>
      </c>
    </row>
    <row r="12" spans="1:8" x14ac:dyDescent="0.2">
      <c r="A12" s="91" t="s">
        <v>8058</v>
      </c>
      <c r="F12" s="92" t="s">
        <v>1224</v>
      </c>
      <c r="G12" s="91" t="s">
        <v>8055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470" t="s">
        <v>128</v>
      </c>
      <c r="C16" s="470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106"/>
    </row>
    <row r="18" spans="1:11" x14ac:dyDescent="0.2">
      <c r="D18" s="91" t="s">
        <v>4305</v>
      </c>
      <c r="E18" s="2"/>
      <c r="K18" s="110"/>
    </row>
    <row r="19" spans="1:11" x14ac:dyDescent="0.2">
      <c r="E19" s="2"/>
    </row>
    <row r="20" spans="1:11" x14ac:dyDescent="0.2">
      <c r="A20" s="144" t="s">
        <v>4249</v>
      </c>
      <c r="B20" s="93"/>
      <c r="C20" s="93"/>
      <c r="D20" s="2" t="s">
        <v>8060</v>
      </c>
    </row>
    <row r="21" spans="1:11" x14ac:dyDescent="0.2">
      <c r="A21" s="105" t="s">
        <v>8059</v>
      </c>
      <c r="D21" s="91" t="s">
        <v>8061</v>
      </c>
      <c r="H21" s="91">
        <v>182.67</v>
      </c>
    </row>
    <row r="22" spans="1:11" x14ac:dyDescent="0.2">
      <c r="A22" s="137"/>
      <c r="D22" s="91" t="s">
        <v>8062</v>
      </c>
      <c r="H22" s="110">
        <v>207.31</v>
      </c>
    </row>
    <row r="23" spans="1:11" x14ac:dyDescent="0.2">
      <c r="A23" s="137"/>
    </row>
    <row r="24" spans="1:11" x14ac:dyDescent="0.2">
      <c r="A24" s="106"/>
    </row>
    <row r="25" spans="1:11" x14ac:dyDescent="0.2">
      <c r="A25" s="137"/>
    </row>
    <row r="26" spans="1:11" x14ac:dyDescent="0.2">
      <c r="A26" s="106"/>
    </row>
    <row r="27" spans="1:11" x14ac:dyDescent="0.2">
      <c r="A27" s="106"/>
      <c r="D27" s="2"/>
    </row>
    <row r="28" spans="1:11" x14ac:dyDescent="0.2">
      <c r="A28" s="106"/>
    </row>
    <row r="29" spans="1:11" x14ac:dyDescent="0.2">
      <c r="A29" s="106"/>
    </row>
    <row r="32" spans="1:11" x14ac:dyDescent="0.2">
      <c r="D32" s="2"/>
    </row>
    <row r="34" spans="1:8" x14ac:dyDescent="0.2">
      <c r="A34" s="106"/>
    </row>
    <row r="35" spans="1:8" x14ac:dyDescent="0.2">
      <c r="A35" s="106"/>
    </row>
    <row r="36" spans="1:8" ht="13.5" thickBot="1" x14ac:dyDescent="0.25">
      <c r="A36" s="106"/>
      <c r="H36" s="107">
        <f>SUM(H19:H34)</f>
        <v>389.98</v>
      </c>
    </row>
    <row r="37" spans="1:8" ht="13.5" thickTop="1" x14ac:dyDescent="0.2">
      <c r="A37" s="106"/>
      <c r="H37" s="101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Eighty-Nine and 98/100 -----------</v>
      </c>
      <c r="C38" s="185"/>
      <c r="D38" s="97"/>
      <c r="E38" s="97"/>
      <c r="F38" s="97"/>
      <c r="G38" s="97"/>
      <c r="H38" s="207"/>
    </row>
    <row r="39" spans="1:8" ht="20.25" customHeight="1" x14ac:dyDescent="0.2">
      <c r="A39" s="113"/>
      <c r="B39" s="113"/>
      <c r="C39" s="113"/>
      <c r="D39" s="61"/>
      <c r="E39" s="61"/>
      <c r="F39" s="97"/>
      <c r="G39" s="97"/>
      <c r="H39" s="207"/>
    </row>
    <row r="40" spans="1:8" ht="25.5" x14ac:dyDescent="0.2">
      <c r="A40" s="61" t="s">
        <v>10</v>
      </c>
      <c r="F40" s="218" t="s">
        <v>3975</v>
      </c>
      <c r="G40" s="219"/>
      <c r="H40" s="220"/>
    </row>
    <row r="43" spans="1:8" x14ac:dyDescent="0.2">
      <c r="F43" s="227"/>
      <c r="G43" s="227"/>
      <c r="H43" s="227"/>
    </row>
    <row r="44" spans="1:8" x14ac:dyDescent="0.2">
      <c r="A44" s="91" t="s">
        <v>120</v>
      </c>
      <c r="D44" s="392"/>
      <c r="E44" s="471"/>
      <c r="F44" s="228"/>
      <c r="G44" s="229"/>
      <c r="H44" s="229"/>
    </row>
    <row r="45" spans="1:8" x14ac:dyDescent="0.2">
      <c r="A45" s="101"/>
      <c r="B45" s="101"/>
      <c r="D45" s="386"/>
    </row>
    <row r="46" spans="1:8" x14ac:dyDescent="0.2">
      <c r="D46" s="386"/>
    </row>
    <row r="47" spans="1:8" x14ac:dyDescent="0.2">
      <c r="A47" s="91" t="s">
        <v>8</v>
      </c>
      <c r="D47" s="91" t="s">
        <v>8</v>
      </c>
      <c r="F47" s="98" t="s">
        <v>7</v>
      </c>
      <c r="H47" s="102"/>
    </row>
    <row r="51" spans="1:8" x14ac:dyDescent="0.2">
      <c r="A51" s="101"/>
      <c r="B51" s="101"/>
      <c r="D51" s="101"/>
      <c r="F51" s="101"/>
      <c r="G51" s="101"/>
      <c r="H51" s="101"/>
    </row>
    <row r="52" spans="1:8" s="61" customFormat="1" ht="17.100000000000001" customHeight="1" x14ac:dyDescent="0.2">
      <c r="A52" s="61" t="s">
        <v>4066</v>
      </c>
      <c r="B52" s="104"/>
      <c r="C52" s="104"/>
      <c r="D52" s="61" t="s">
        <v>50</v>
      </c>
      <c r="F52" s="61" t="s">
        <v>3</v>
      </c>
    </row>
    <row r="53" spans="1:8" x14ac:dyDescent="0.2">
      <c r="F53" s="91" t="s">
        <v>2</v>
      </c>
    </row>
    <row r="54" spans="1:8" x14ac:dyDescent="0.2">
      <c r="D54" s="386"/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5C7D-9AFA-4565-91A3-9C9097EA700A}">
  <sheetPr codeName="Sheet772"/>
  <dimension ref="A1:H53"/>
  <sheetViews>
    <sheetView view="pageBreakPreview" zoomScale="115" zoomScaleNormal="100" zoomScaleSheetLayoutView="115" workbookViewId="0">
      <selection activeCell="D16" sqref="D16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2" style="91" customWidth="1"/>
    <col min="4" max="4" width="22.42578125" style="91" customWidth="1"/>
    <col min="5" max="5" width="1.7109375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1434</v>
      </c>
      <c r="G9" s="91" t="s">
        <v>8461</v>
      </c>
    </row>
    <row r="10" spans="1:8" x14ac:dyDescent="0.2">
      <c r="A10" s="91" t="s">
        <v>8483</v>
      </c>
      <c r="F10" s="92" t="s">
        <v>1433</v>
      </c>
      <c r="G10" s="91" t="s">
        <v>8443</v>
      </c>
    </row>
    <row r="11" spans="1:8" x14ac:dyDescent="0.2">
      <c r="A11" s="91" t="s">
        <v>8484</v>
      </c>
      <c r="F11" s="92" t="s">
        <v>1431</v>
      </c>
      <c r="G11" s="91" t="s">
        <v>1220</v>
      </c>
    </row>
    <row r="12" spans="1:8" x14ac:dyDescent="0.2">
      <c r="A12" s="91" t="s">
        <v>8485</v>
      </c>
      <c r="F12" s="92" t="s">
        <v>1268</v>
      </c>
      <c r="G12" s="91" t="s">
        <v>770</v>
      </c>
    </row>
    <row r="13" spans="1:8" x14ac:dyDescent="0.2">
      <c r="A13" s="91" t="s">
        <v>8486</v>
      </c>
    </row>
    <row r="16" spans="1:8" s="14" customFormat="1" ht="20.100000000000001" customHeight="1" x14ac:dyDescent="0.2">
      <c r="A16" s="17" t="s">
        <v>1429</v>
      </c>
      <c r="B16" s="495" t="s">
        <v>128</v>
      </c>
      <c r="C16" s="495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8481</v>
      </c>
      <c r="E18" s="2"/>
    </row>
    <row r="19" spans="1:8" x14ac:dyDescent="0.2">
      <c r="B19" s="93"/>
      <c r="C19" s="93"/>
    </row>
    <row r="20" spans="1:8" x14ac:dyDescent="0.2">
      <c r="A20" s="93" t="s">
        <v>8487</v>
      </c>
      <c r="B20" s="195" t="s">
        <v>8488</v>
      </c>
      <c r="C20" s="94"/>
      <c r="D20" s="91" t="s">
        <v>8489</v>
      </c>
      <c r="H20" s="91">
        <f>2900*4.1377</f>
        <v>11999.33</v>
      </c>
    </row>
    <row r="21" spans="1:8" x14ac:dyDescent="0.2">
      <c r="B21" s="191"/>
    </row>
    <row r="22" spans="1:8" x14ac:dyDescent="0.2">
      <c r="A22" s="93"/>
      <c r="B22" s="195"/>
      <c r="C22" s="93"/>
      <c r="D22" s="91" t="s">
        <v>8490</v>
      </c>
    </row>
    <row r="24" spans="1:8" x14ac:dyDescent="0.2">
      <c r="A24" s="108"/>
      <c r="B24" s="138"/>
      <c r="C24" s="138"/>
      <c r="D24" s="91" t="s">
        <v>52</v>
      </c>
      <c r="H24" s="91">
        <v>30</v>
      </c>
    </row>
    <row r="29" spans="1:8" x14ac:dyDescent="0.2">
      <c r="D29" s="2"/>
      <c r="E29" s="2"/>
    </row>
    <row r="33" spans="1:8" ht="13.5" thickBot="1" x14ac:dyDescent="0.25">
      <c r="H33" s="95">
        <f>SUM(H20:H32)</f>
        <v>12029.33</v>
      </c>
    </row>
    <row r="34" spans="1:8" ht="13.5" thickTop="1" x14ac:dyDescent="0.2"/>
    <row r="35" spans="1:8" ht="20.100000000000001" customHeight="1" x14ac:dyDescent="0.2">
      <c r="A35" s="96" t="s">
        <v>336</v>
      </c>
      <c r="B35" s="96" t="s">
        <v>8482</v>
      </c>
      <c r="C35" s="96"/>
      <c r="D35" s="97"/>
      <c r="E35" s="97"/>
      <c r="F35" s="97"/>
      <c r="G35" s="97"/>
      <c r="H35" s="97"/>
    </row>
    <row r="36" spans="1:8" x14ac:dyDescent="0.2">
      <c r="A36" s="94" t="s">
        <v>11</v>
      </c>
    </row>
    <row r="37" spans="1:8" ht="25.5" x14ac:dyDescent="0.2">
      <c r="A37" s="91" t="s">
        <v>10</v>
      </c>
      <c r="D37" s="422"/>
      <c r="F37" s="218" t="s">
        <v>3975</v>
      </c>
      <c r="G37" s="219"/>
      <c r="H37" s="220"/>
    </row>
    <row r="38" spans="1:8" x14ac:dyDescent="0.2">
      <c r="D38" s="386"/>
    </row>
    <row r="39" spans="1:8" x14ac:dyDescent="0.2">
      <c r="A39" s="61"/>
      <c r="D39" s="386"/>
    </row>
    <row r="40" spans="1:8" x14ac:dyDescent="0.2">
      <c r="A40" s="91" t="s">
        <v>121</v>
      </c>
      <c r="D40" s="386"/>
      <c r="E40" s="496"/>
    </row>
    <row r="41" spans="1:8" x14ac:dyDescent="0.2">
      <c r="A41" s="101"/>
      <c r="B41" s="101"/>
      <c r="D41" s="386"/>
    </row>
    <row r="42" spans="1:8" x14ac:dyDescent="0.2">
      <c r="D42" s="475"/>
    </row>
    <row r="43" spans="1:8" x14ac:dyDescent="0.2">
      <c r="D43" s="103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F50" s="91" t="s">
        <v>2</v>
      </c>
    </row>
    <row r="51" spans="1:6" x14ac:dyDescent="0.2">
      <c r="A51" s="103"/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 codeName="Sheet13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80" t="s">
        <v>3222</v>
      </c>
    </row>
    <row r="10" spans="1:6" x14ac:dyDescent="0.2">
      <c r="A10" s="1" t="s">
        <v>49</v>
      </c>
      <c r="D10" s="20" t="s">
        <v>27</v>
      </c>
      <c r="E10" s="20" t="s">
        <v>48</v>
      </c>
    </row>
    <row r="11" spans="1:6" x14ac:dyDescent="0.2">
      <c r="A11" s="1" t="s">
        <v>47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46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" t="s">
        <v>45</v>
      </c>
      <c r="F20" s="1">
        <v>1830.25</v>
      </c>
    </row>
    <row r="22" spans="2:6" x14ac:dyDescent="0.2">
      <c r="C22" s="1" t="s">
        <v>44</v>
      </c>
      <c r="F22" s="7"/>
    </row>
    <row r="24" spans="2:6" x14ac:dyDescent="0.2">
      <c r="B24" s="8" t="s">
        <v>43</v>
      </c>
      <c r="C24" s="1" t="s">
        <v>42</v>
      </c>
      <c r="F24" s="1">
        <v>25.5</v>
      </c>
    </row>
    <row r="25" spans="2:6" x14ac:dyDescent="0.2">
      <c r="B25" s="8" t="s">
        <v>41</v>
      </c>
      <c r="C25" s="1" t="s">
        <v>40</v>
      </c>
      <c r="F25" s="1">
        <v>47.74</v>
      </c>
    </row>
    <row r="26" spans="2:6" x14ac:dyDescent="0.2">
      <c r="B26" s="8" t="s">
        <v>39</v>
      </c>
      <c r="C26" s="1" t="s">
        <v>38</v>
      </c>
      <c r="F26" s="1">
        <v>192.82</v>
      </c>
    </row>
    <row r="27" spans="2:6" x14ac:dyDescent="0.2">
      <c r="C27" s="1" t="s">
        <v>37</v>
      </c>
    </row>
    <row r="32" spans="2:6" ht="13.5" thickBot="1" x14ac:dyDescent="0.25">
      <c r="F32" s="11">
        <f>SUM(F18:F31)</f>
        <v>2096.31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36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B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 codeName="Sheet372"/>
  <dimension ref="A1:O55"/>
  <sheetViews>
    <sheetView view="pageBreakPreview" topLeftCell="A2" zoomScale="115" zoomScaleNormal="100" zoomScaleSheetLayoutView="115" workbookViewId="0">
      <selection activeCell="G9" sqref="G9:G13"/>
    </sheetView>
  </sheetViews>
  <sheetFormatPr defaultRowHeight="12.75" x14ac:dyDescent="0.2"/>
  <cols>
    <col min="1" max="1" width="16" style="91" customWidth="1"/>
    <col min="2" max="2" width="11.140625" style="91" customWidth="1"/>
    <col min="3" max="3" width="1.140625" style="91" customWidth="1"/>
    <col min="4" max="4" width="21" style="91" customWidth="1"/>
    <col min="5" max="5" width="1" style="91" customWidth="1"/>
    <col min="6" max="6" width="18.42578125" style="91" customWidth="1"/>
    <col min="7" max="7" width="12.8554687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2387</v>
      </c>
      <c r="F9" s="92" t="s">
        <v>1317</v>
      </c>
      <c r="G9" s="91" t="s">
        <v>8870</v>
      </c>
    </row>
    <row r="10" spans="1:8" x14ac:dyDescent="0.2">
      <c r="F10" s="92" t="s">
        <v>1329</v>
      </c>
      <c r="G10" s="98" t="s">
        <v>8852</v>
      </c>
    </row>
    <row r="11" spans="1:8" x14ac:dyDescent="0.2">
      <c r="F11" s="92" t="s">
        <v>1330</v>
      </c>
      <c r="G11" s="92" t="s">
        <v>1220</v>
      </c>
    </row>
    <row r="12" spans="1:8" x14ac:dyDescent="0.2">
      <c r="F12" s="92" t="s">
        <v>1331</v>
      </c>
      <c r="G12" s="94" t="s">
        <v>8871</v>
      </c>
    </row>
    <row r="13" spans="1:8" x14ac:dyDescent="0.2">
      <c r="G13" s="153" t="s">
        <v>7931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420"/>
      <c r="D16" s="18" t="s">
        <v>19</v>
      </c>
      <c r="E16" s="18"/>
      <c r="F16" s="17"/>
      <c r="G16" s="16"/>
      <c r="H16" s="15" t="s">
        <v>18</v>
      </c>
    </row>
    <row r="17" spans="1:15" x14ac:dyDescent="0.2">
      <c r="A17" s="106"/>
    </row>
    <row r="18" spans="1:15" x14ac:dyDescent="0.2">
      <c r="D18" s="2" t="s">
        <v>6280</v>
      </c>
      <c r="E18" s="2"/>
    </row>
    <row r="19" spans="1:15" x14ac:dyDescent="0.2">
      <c r="A19" s="106"/>
      <c r="D19" s="2"/>
      <c r="E19" s="2"/>
      <c r="M19" s="91"/>
      <c r="N19" s="91"/>
      <c r="O19" s="91"/>
    </row>
    <row r="20" spans="1:15" x14ac:dyDescent="0.2">
      <c r="A20" s="93" t="s">
        <v>8803</v>
      </c>
      <c r="B20" s="93" t="s">
        <v>8872</v>
      </c>
      <c r="C20" s="93"/>
      <c r="D20" s="91" t="s">
        <v>8063</v>
      </c>
      <c r="H20" s="91">
        <v>188</v>
      </c>
      <c r="M20" s="91"/>
      <c r="N20" s="91"/>
      <c r="O20" s="91"/>
    </row>
    <row r="21" spans="1:15" x14ac:dyDescent="0.2">
      <c r="A21" s="93"/>
      <c r="B21" s="94"/>
      <c r="C21" s="94"/>
      <c r="D21" s="91" t="s">
        <v>8873</v>
      </c>
      <c r="L21" s="91"/>
      <c r="M21" s="91"/>
      <c r="N21" s="91"/>
      <c r="O21" s="91"/>
    </row>
    <row r="22" spans="1:15" x14ac:dyDescent="0.2">
      <c r="A22" s="93"/>
      <c r="B22" s="94"/>
      <c r="C22" s="94"/>
      <c r="D22" s="91" t="s">
        <v>6886</v>
      </c>
      <c r="H22" s="91">
        <f>H20*6%</f>
        <v>11.28</v>
      </c>
      <c r="L22" s="91"/>
      <c r="M22" s="91"/>
      <c r="N22" s="91"/>
      <c r="O22" s="91"/>
    </row>
    <row r="23" spans="1:15" x14ac:dyDescent="0.2">
      <c r="L23" s="91"/>
      <c r="M23" s="91"/>
      <c r="N23" s="91"/>
      <c r="O23" s="91"/>
    </row>
    <row r="24" spans="1:15" x14ac:dyDescent="0.2">
      <c r="D24" s="91" t="s">
        <v>6641</v>
      </c>
      <c r="H24" s="91">
        <v>188</v>
      </c>
      <c r="L24" s="91"/>
      <c r="M24" s="91"/>
      <c r="N24" s="91"/>
      <c r="O24" s="91"/>
    </row>
    <row r="25" spans="1:15" x14ac:dyDescent="0.2">
      <c r="A25" s="137"/>
      <c r="B25" s="99"/>
      <c r="C25" s="421"/>
      <c r="D25" s="91" t="s">
        <v>8873</v>
      </c>
      <c r="L25" s="91"/>
      <c r="M25" s="91"/>
      <c r="N25" s="91"/>
      <c r="O25" s="91"/>
    </row>
    <row r="26" spans="1:15" x14ac:dyDescent="0.2">
      <c r="A26" s="137"/>
      <c r="B26" s="412"/>
      <c r="C26" s="421"/>
      <c r="D26" s="91" t="s">
        <v>6886</v>
      </c>
      <c r="H26" s="91">
        <f>H24*6%</f>
        <v>11.28</v>
      </c>
      <c r="L26" s="91"/>
      <c r="M26" s="91"/>
      <c r="N26" s="91"/>
      <c r="O26" s="91"/>
    </row>
    <row r="27" spans="1:15" x14ac:dyDescent="0.2">
      <c r="A27" s="137"/>
      <c r="B27" s="99"/>
      <c r="C27" s="421"/>
      <c r="L27" s="91"/>
      <c r="M27" s="91"/>
      <c r="N27" s="91"/>
      <c r="O27" s="91"/>
    </row>
    <row r="28" spans="1:15" x14ac:dyDescent="0.2">
      <c r="A28" s="137"/>
      <c r="B28" s="99"/>
      <c r="C28" s="421"/>
      <c r="D28" s="91" t="s">
        <v>7846</v>
      </c>
      <c r="H28" s="91">
        <v>-0.01</v>
      </c>
      <c r="L28" s="91"/>
      <c r="M28" s="91"/>
      <c r="N28" s="91"/>
      <c r="O28" s="91"/>
    </row>
    <row r="30" spans="1:15" x14ac:dyDescent="0.2">
      <c r="A30" s="93"/>
      <c r="B30" s="93"/>
      <c r="C30" s="93"/>
    </row>
    <row r="32" spans="1:15" x14ac:dyDescent="0.2">
      <c r="A32" s="93"/>
      <c r="B32" s="99"/>
      <c r="C32" s="421"/>
    </row>
    <row r="33" spans="1:8" x14ac:dyDescent="0.2">
      <c r="A33" s="93"/>
      <c r="B33" s="99"/>
      <c r="C33" s="421"/>
    </row>
    <row r="34" spans="1:8" x14ac:dyDescent="0.2">
      <c r="A34" s="93"/>
      <c r="B34" s="99"/>
      <c r="C34" s="421"/>
    </row>
    <row r="35" spans="1:8" x14ac:dyDescent="0.2">
      <c r="A35" s="7"/>
      <c r="B35" s="1"/>
      <c r="C35" s="1"/>
      <c r="F35" s="1"/>
      <c r="G35" s="1"/>
      <c r="H35" s="1"/>
    </row>
    <row r="36" spans="1:8" ht="13.5" thickBot="1" x14ac:dyDescent="0.25">
      <c r="A36" s="106"/>
      <c r="H36" s="107">
        <f>SUM(H19:H33)</f>
        <v>398.54999999999995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Ninety-Eight and 55/100 -----------</v>
      </c>
      <c r="C38" s="185"/>
      <c r="D38" s="97"/>
      <c r="E38" s="97"/>
      <c r="F38" s="206"/>
      <c r="G38" s="206"/>
      <c r="H38" s="206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1" spans="1:8" x14ac:dyDescent="0.2">
      <c r="A41" s="1"/>
      <c r="F41" s="227"/>
      <c r="G41" s="227"/>
      <c r="H41" s="227"/>
    </row>
    <row r="42" spans="1:8" x14ac:dyDescent="0.2">
      <c r="F42" s="228"/>
      <c r="G42" s="229"/>
      <c r="H42" s="229"/>
    </row>
    <row r="43" spans="1:8" x14ac:dyDescent="0.2">
      <c r="A43" s="1"/>
      <c r="B43" s="1"/>
      <c r="C43" s="1"/>
    </row>
    <row r="44" spans="1:8" x14ac:dyDescent="0.2">
      <c r="A44" s="101"/>
      <c r="B44" s="101"/>
      <c r="C44" s="386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49" spans="1:8" x14ac:dyDescent="0.2">
      <c r="A49" s="1"/>
      <c r="D49" s="1"/>
    </row>
    <row r="50" spans="1:8" x14ac:dyDescent="0.2">
      <c r="A50" s="101" t="s">
        <v>120</v>
      </c>
      <c r="B50" s="101"/>
      <c r="C50" s="386"/>
      <c r="D50" s="101" t="s">
        <v>120</v>
      </c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 codeName="Sheet14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61</v>
      </c>
    </row>
    <row r="10" spans="1:6" x14ac:dyDescent="0.2">
      <c r="A10" s="1" t="s">
        <v>60</v>
      </c>
      <c r="D10" s="20" t="s">
        <v>27</v>
      </c>
      <c r="E10" s="20" t="s">
        <v>59</v>
      </c>
    </row>
    <row r="11" spans="1:6" x14ac:dyDescent="0.2">
      <c r="A11" s="1" t="s">
        <v>58</v>
      </c>
      <c r="D11" s="20" t="s">
        <v>24</v>
      </c>
      <c r="E11" s="20" t="s">
        <v>23</v>
      </c>
    </row>
    <row r="12" spans="1:6" x14ac:dyDescent="0.2">
      <c r="A12" s="1" t="s">
        <v>57</v>
      </c>
      <c r="D12" s="20" t="s">
        <v>22</v>
      </c>
      <c r="E12" s="19" t="s">
        <v>56</v>
      </c>
    </row>
    <row r="13" spans="1:6" x14ac:dyDescent="0.2">
      <c r="A13" s="1" t="s">
        <v>55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1" spans="2:6" x14ac:dyDescent="0.2">
      <c r="B21" s="8" t="s">
        <v>43</v>
      </c>
      <c r="C21" s="6" t="s">
        <v>54</v>
      </c>
      <c r="F21" s="8">
        <v>29293.54</v>
      </c>
    </row>
    <row r="22" spans="2:6" x14ac:dyDescent="0.2">
      <c r="C22" s="1" t="s">
        <v>53</v>
      </c>
    </row>
    <row r="23" spans="2:6" x14ac:dyDescent="0.2">
      <c r="B23" s="8"/>
    </row>
    <row r="24" spans="2:6" x14ac:dyDescent="0.2">
      <c r="B24" s="8" t="s">
        <v>41</v>
      </c>
      <c r="C24" s="1" t="s">
        <v>52</v>
      </c>
      <c r="F24" s="1">
        <v>27</v>
      </c>
    </row>
    <row r="25" spans="2:6" x14ac:dyDescent="0.2">
      <c r="B25" s="8"/>
    </row>
    <row r="26" spans="2:6" x14ac:dyDescent="0.2">
      <c r="B26" s="8"/>
    </row>
    <row r="32" spans="2:6" ht="13.5" thickBot="1" x14ac:dyDescent="0.25">
      <c r="F32" s="11">
        <f>SUM(F18:F31)</f>
        <v>29320.54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51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50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 codeName="Sheet691">
    <pageSetUpPr fitToPage="1"/>
  </sheetPr>
  <dimension ref="A1:F52"/>
  <sheetViews>
    <sheetView topLeftCell="A10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440</v>
      </c>
    </row>
    <row r="10" spans="1:6" x14ac:dyDescent="0.2">
      <c r="A10" s="1" t="s">
        <v>439</v>
      </c>
      <c r="D10" s="20" t="s">
        <v>27</v>
      </c>
      <c r="E10" s="20" t="s">
        <v>211</v>
      </c>
    </row>
    <row r="11" spans="1:6" x14ac:dyDescent="0.2">
      <c r="A11" s="1" t="s">
        <v>438</v>
      </c>
      <c r="D11" s="20" t="s">
        <v>24</v>
      </c>
      <c r="E11" s="20" t="s">
        <v>23</v>
      </c>
    </row>
    <row r="12" spans="1:6" x14ac:dyDescent="0.2">
      <c r="A12" s="1" t="s">
        <v>437</v>
      </c>
      <c r="D12" s="20" t="s">
        <v>22</v>
      </c>
      <c r="E12" s="19" t="s">
        <v>436</v>
      </c>
    </row>
    <row r="13" spans="1:6" x14ac:dyDescent="0.2">
      <c r="A13" s="1" t="s">
        <v>435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/>
    </row>
    <row r="20" spans="1:6" x14ac:dyDescent="0.2">
      <c r="C20" s="21"/>
    </row>
    <row r="22" spans="1:6" x14ac:dyDescent="0.2">
      <c r="A22" s="8" t="s">
        <v>434</v>
      </c>
      <c r="C22" s="21" t="s">
        <v>433</v>
      </c>
      <c r="F22" s="1">
        <v>60</v>
      </c>
    </row>
    <row r="23" spans="1:6" x14ac:dyDescent="0.2">
      <c r="C23" s="1" t="s">
        <v>432</v>
      </c>
    </row>
    <row r="32" spans="1:6" ht="13.5" thickBot="1" x14ac:dyDescent="0.25">
      <c r="F32" s="11">
        <f>SUM(F18:F31)</f>
        <v>60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367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514">
    <pageSetUpPr fitToPage="1"/>
  </sheetPr>
  <dimension ref="A1:K64"/>
  <sheetViews>
    <sheetView topLeftCell="A25" workbookViewId="0">
      <selection activeCell="F34" sqref="F3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 t="s">
        <v>5262</v>
      </c>
      <c r="B9" s="91"/>
      <c r="C9" s="91"/>
      <c r="D9" s="91"/>
      <c r="E9" s="91"/>
      <c r="F9" s="92" t="s">
        <v>30</v>
      </c>
      <c r="G9" s="91" t="s">
        <v>5259</v>
      </c>
      <c r="H9" s="91"/>
    </row>
    <row r="10" spans="1:10" x14ac:dyDescent="0.2">
      <c r="A10" s="91" t="s">
        <v>5263</v>
      </c>
      <c r="B10" s="91"/>
      <c r="C10" s="91"/>
      <c r="D10" s="91"/>
      <c r="E10" s="91"/>
      <c r="F10" s="92" t="s">
        <v>27</v>
      </c>
      <c r="G10" s="92" t="s">
        <v>5261</v>
      </c>
      <c r="H10" s="91"/>
      <c r="J10" s="20"/>
    </row>
    <row r="11" spans="1:10" x14ac:dyDescent="0.2">
      <c r="A11" s="91" t="s">
        <v>5264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</row>
    <row r="12" spans="1:10" x14ac:dyDescent="0.2">
      <c r="A12" s="91" t="s">
        <v>5265</v>
      </c>
      <c r="B12" s="91"/>
      <c r="C12" s="91"/>
      <c r="D12" s="91"/>
      <c r="E12" s="91"/>
      <c r="F12" s="92" t="s">
        <v>22</v>
      </c>
      <c r="G12" s="92" t="s">
        <v>5260</v>
      </c>
      <c r="H12" s="91"/>
    </row>
    <row r="13" spans="1:10" x14ac:dyDescent="0.2">
      <c r="A13" s="91" t="s">
        <v>5266</v>
      </c>
      <c r="B13" s="91"/>
      <c r="C13" s="91"/>
      <c r="D13" s="91"/>
      <c r="E13" s="91"/>
      <c r="F13" s="91"/>
      <c r="G13" s="91"/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91"/>
      <c r="B17" s="91"/>
      <c r="C17" s="91"/>
      <c r="D17" s="91"/>
      <c r="E17" s="91"/>
      <c r="F17" s="91"/>
      <c r="G17" s="91"/>
      <c r="H17" s="91"/>
    </row>
    <row r="18" spans="1:11" x14ac:dyDescent="0.2">
      <c r="A18" s="91"/>
      <c r="B18" s="91"/>
      <c r="C18" s="91"/>
      <c r="D18" s="2" t="s">
        <v>5268</v>
      </c>
      <c r="E18" s="2"/>
      <c r="F18" s="91"/>
      <c r="G18" s="91"/>
      <c r="H18" s="91"/>
      <c r="K18" s="247"/>
    </row>
    <row r="19" spans="1:11" x14ac:dyDescent="0.2">
      <c r="A19" s="91"/>
      <c r="B19" s="91"/>
      <c r="C19" s="91"/>
      <c r="D19" s="2"/>
      <c r="E19" s="2"/>
      <c r="F19" s="91"/>
      <c r="G19" s="91"/>
      <c r="H19" s="91"/>
    </row>
    <row r="20" spans="1:11" x14ac:dyDescent="0.2">
      <c r="A20" s="93" t="s">
        <v>5258</v>
      </c>
      <c r="B20" s="93" t="s">
        <v>5267</v>
      </c>
      <c r="C20" s="93"/>
      <c r="D20" s="91" t="s">
        <v>5269</v>
      </c>
      <c r="E20" s="91"/>
      <c r="F20" s="91"/>
      <c r="G20" s="91"/>
      <c r="H20" s="91">
        <v>1800</v>
      </c>
    </row>
    <row r="21" spans="1:11" x14ac:dyDescent="0.2">
      <c r="A21" s="91"/>
      <c r="B21" s="94"/>
      <c r="C21" s="94"/>
      <c r="D21" s="91" t="s">
        <v>5270</v>
      </c>
      <c r="H21" s="91"/>
    </row>
    <row r="22" spans="1:11" x14ac:dyDescent="0.2">
      <c r="A22" s="93"/>
      <c r="B22" s="93"/>
      <c r="C22" s="93"/>
      <c r="D22" s="91" t="s">
        <v>2147</v>
      </c>
      <c r="H22" s="91">
        <f>H20*6%</f>
        <v>108</v>
      </c>
    </row>
    <row r="23" spans="1:11" x14ac:dyDescent="0.2">
      <c r="A23" s="91"/>
      <c r="B23" s="94"/>
      <c r="C23" s="94"/>
      <c r="D23" s="91"/>
      <c r="H23" s="91"/>
    </row>
    <row r="24" spans="1:11" x14ac:dyDescent="0.2">
      <c r="A24" s="93"/>
      <c r="B24" s="93"/>
      <c r="C24" s="93"/>
      <c r="D24" s="91"/>
      <c r="H24" s="91"/>
    </row>
    <row r="25" spans="1:11" x14ac:dyDescent="0.2">
      <c r="A25" s="91"/>
      <c r="B25" s="91"/>
      <c r="C25" s="91"/>
      <c r="E25" s="91"/>
      <c r="F25" s="91"/>
      <c r="G25" s="91"/>
      <c r="H25" s="91"/>
    </row>
    <row r="26" spans="1:11" x14ac:dyDescent="0.2">
      <c r="A26" s="91"/>
      <c r="B26" s="94"/>
      <c r="C26" s="94"/>
      <c r="D26" s="91"/>
      <c r="E26" s="91"/>
      <c r="F26" s="91"/>
      <c r="G26" s="91"/>
      <c r="H26" s="91"/>
    </row>
    <row r="27" spans="1:11" x14ac:dyDescent="0.2">
      <c r="A27" s="91"/>
      <c r="B27" s="91"/>
      <c r="C27" s="91"/>
      <c r="D27" s="91"/>
      <c r="E27" s="91"/>
      <c r="F27" s="91"/>
      <c r="G27" s="91"/>
      <c r="H27" s="91"/>
    </row>
    <row r="28" spans="1:11" x14ac:dyDescent="0.2">
      <c r="A28" s="91"/>
      <c r="B28" s="91"/>
      <c r="C28" s="91"/>
      <c r="D28" s="91"/>
      <c r="E28" s="91"/>
      <c r="H28" s="91"/>
    </row>
    <row r="29" spans="1:11" x14ac:dyDescent="0.2">
      <c r="A29" s="91"/>
      <c r="B29" s="91"/>
      <c r="C29" s="91"/>
      <c r="D29" s="91"/>
      <c r="E29" s="91"/>
    </row>
    <row r="30" spans="1:11" x14ac:dyDescent="0.2">
      <c r="A30" s="91"/>
      <c r="B30" s="94"/>
      <c r="C30" s="94"/>
    </row>
    <row r="31" spans="1:11" x14ac:dyDescent="0.2">
      <c r="A31" s="91"/>
      <c r="B31" s="91"/>
      <c r="C31" s="91"/>
    </row>
    <row r="32" spans="1:11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1908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Nine Hundred Eight and NO/100 -----------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/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9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/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customSheetViews>
    <customSheetView guid="{6428A7A0-B31B-40C1-A13E-AD0DCC619E51}" fitToPage="1" topLeftCell="A25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 codeName="Sheet751">
    <pageSetUpPr fitToPage="1"/>
  </sheetPr>
  <dimension ref="A1:H54"/>
  <sheetViews>
    <sheetView topLeftCell="A4" workbookViewId="0">
      <selection activeCell="G9" sqref="G9:G13"/>
    </sheetView>
  </sheetViews>
  <sheetFormatPr defaultRowHeight="12.75" x14ac:dyDescent="0.2"/>
  <cols>
    <col min="1" max="1" width="16.42578125" style="91" customWidth="1"/>
    <col min="2" max="2" width="13.140625" style="91" customWidth="1"/>
    <col min="3" max="3" width="0.85546875" style="91" customWidth="1"/>
    <col min="4" max="4" width="21" style="91" customWidth="1"/>
    <col min="5" max="5" width="1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1517</v>
      </c>
      <c r="G9" s="155" t="s">
        <v>8496</v>
      </c>
    </row>
    <row r="10" spans="1:8" x14ac:dyDescent="0.2">
      <c r="A10" s="91" t="s">
        <v>2198</v>
      </c>
      <c r="F10" s="92" t="s">
        <v>1357</v>
      </c>
      <c r="G10" s="155" t="s">
        <v>8493</v>
      </c>
    </row>
    <row r="11" spans="1:8" x14ac:dyDescent="0.2">
      <c r="A11" s="91" t="s">
        <v>2199</v>
      </c>
      <c r="F11" s="92" t="s">
        <v>1330</v>
      </c>
      <c r="G11" s="155" t="s">
        <v>1220</v>
      </c>
    </row>
    <row r="12" spans="1:8" x14ac:dyDescent="0.2">
      <c r="A12" s="91" t="s">
        <v>2200</v>
      </c>
      <c r="F12" s="92" t="s">
        <v>2202</v>
      </c>
      <c r="G12" s="94" t="s">
        <v>8497</v>
      </c>
    </row>
    <row r="13" spans="1:8" x14ac:dyDescent="0.2">
      <c r="A13" s="91" t="s">
        <v>2201</v>
      </c>
      <c r="G13" s="153" t="s">
        <v>7762</v>
      </c>
    </row>
    <row r="14" spans="1:8" x14ac:dyDescent="0.2">
      <c r="A14" s="91" t="s">
        <v>3670</v>
      </c>
    </row>
    <row r="15" spans="1:8" x14ac:dyDescent="0.2">
      <c r="A15" s="91" t="s">
        <v>3671</v>
      </c>
    </row>
    <row r="17" spans="1:8" s="14" customFormat="1" ht="20.100000000000001" customHeight="1" x14ac:dyDescent="0.2">
      <c r="A17" s="17" t="s">
        <v>1247</v>
      </c>
      <c r="B17" s="31" t="s">
        <v>128</v>
      </c>
      <c r="C17" s="476"/>
      <c r="D17" s="18" t="s">
        <v>19</v>
      </c>
      <c r="E17" s="18"/>
      <c r="F17" s="17"/>
      <c r="G17" s="16"/>
      <c r="H17" s="15" t="s">
        <v>18</v>
      </c>
    </row>
    <row r="19" spans="1:8" x14ac:dyDescent="0.2">
      <c r="D19" s="2" t="s">
        <v>8498</v>
      </c>
      <c r="E19" s="2"/>
    </row>
    <row r="20" spans="1:8" x14ac:dyDescent="0.2">
      <c r="D20" s="2"/>
      <c r="E20" s="2"/>
    </row>
    <row r="21" spans="1:8" x14ac:dyDescent="0.2">
      <c r="A21" s="93" t="s">
        <v>8487</v>
      </c>
      <c r="B21" s="93" t="s">
        <v>8499</v>
      </c>
      <c r="C21" s="93"/>
      <c r="D21" s="91" t="s">
        <v>8500</v>
      </c>
      <c r="H21" s="91">
        <f>3793</f>
        <v>3793</v>
      </c>
    </row>
    <row r="22" spans="1:8" x14ac:dyDescent="0.2">
      <c r="A22" s="93"/>
      <c r="B22" s="93"/>
      <c r="C22" s="93"/>
      <c r="D22" s="91" t="s">
        <v>8323</v>
      </c>
      <c r="H22" s="91">
        <f>H21*10%</f>
        <v>379.3</v>
      </c>
    </row>
    <row r="23" spans="1:8" x14ac:dyDescent="0.2">
      <c r="A23" s="93"/>
      <c r="B23" s="93"/>
      <c r="C23" s="93"/>
      <c r="D23" s="91" t="s">
        <v>8323</v>
      </c>
      <c r="H23" s="91">
        <v>227.7</v>
      </c>
    </row>
    <row r="24" spans="1:8" x14ac:dyDescent="0.2">
      <c r="A24" s="93"/>
      <c r="B24" s="93"/>
      <c r="C24" s="93"/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</row>
    <row r="27" spans="1:8" x14ac:dyDescent="0.2">
      <c r="A27" s="93"/>
      <c r="B27" s="93"/>
      <c r="C27" s="93"/>
    </row>
    <row r="28" spans="1:8" x14ac:dyDescent="0.2">
      <c r="A28" s="93"/>
      <c r="B28" s="93"/>
      <c r="C28" s="93"/>
    </row>
    <row r="29" spans="1:8" x14ac:dyDescent="0.2">
      <c r="A29" s="93"/>
      <c r="B29" s="93"/>
      <c r="C29" s="93"/>
    </row>
    <row r="30" spans="1:8" x14ac:dyDescent="0.2">
      <c r="A30" s="93"/>
      <c r="B30" s="93"/>
      <c r="C30" s="93"/>
    </row>
    <row r="31" spans="1:8" x14ac:dyDescent="0.2">
      <c r="A31" s="93"/>
      <c r="B31" s="93"/>
      <c r="C31" s="93"/>
    </row>
    <row r="35" spans="1:8" ht="13.5" thickBot="1" x14ac:dyDescent="0.25">
      <c r="H35" s="107">
        <f>SUM(H19:H33)</f>
        <v>4400</v>
      </c>
    </row>
    <row r="36" spans="1:8" ht="13.5" thickTop="1" x14ac:dyDescent="0.2"/>
    <row r="37" spans="1:8" ht="20.100000000000001" customHeight="1" x14ac:dyDescent="0.2">
      <c r="A37" s="96" t="s">
        <v>1465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Thousand Four Hundred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388"/>
      <c r="G38" s="388"/>
      <c r="H38" s="61"/>
    </row>
    <row r="39" spans="1:8" ht="25.5" x14ac:dyDescent="0.2">
      <c r="A39" s="235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D41" s="99"/>
      <c r="E41" s="477"/>
    </row>
    <row r="42" spans="1:8" x14ac:dyDescent="0.2">
      <c r="D42" s="99"/>
      <c r="E42" s="477"/>
    </row>
    <row r="43" spans="1:8" x14ac:dyDescent="0.2">
      <c r="A43" s="101"/>
      <c r="B43" s="101"/>
      <c r="C43" s="386"/>
    </row>
    <row r="44" spans="1:8" x14ac:dyDescent="0.2">
      <c r="F44" s="98" t="s">
        <v>7</v>
      </c>
    </row>
    <row r="45" spans="1:8" x14ac:dyDescent="0.2">
      <c r="A45" s="98" t="s">
        <v>8</v>
      </c>
      <c r="D45" s="98" t="s">
        <v>8</v>
      </c>
      <c r="H45" s="102"/>
    </row>
    <row r="49" spans="1:8" x14ac:dyDescent="0.2">
      <c r="A49" s="101"/>
      <c r="B49" s="101"/>
      <c r="C49" s="386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4047</v>
      </c>
      <c r="B50" s="104"/>
      <c r="C50" s="104"/>
      <c r="D50" s="91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 codeName="Sheet7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603</v>
      </c>
    </row>
    <row r="10" spans="1:6" x14ac:dyDescent="0.2">
      <c r="A10" s="1" t="s">
        <v>602</v>
      </c>
      <c r="D10" s="20" t="s">
        <v>27</v>
      </c>
      <c r="E10" s="20" t="s">
        <v>601</v>
      </c>
    </row>
    <row r="11" spans="1:6" x14ac:dyDescent="0.2">
      <c r="A11" s="1" t="s">
        <v>600</v>
      </c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599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598</v>
      </c>
    </row>
    <row r="20" spans="1:6" x14ac:dyDescent="0.2">
      <c r="C20" s="13" t="s">
        <v>597</v>
      </c>
    </row>
    <row r="22" spans="1:6" x14ac:dyDescent="0.2">
      <c r="B22" s="8"/>
    </row>
    <row r="23" spans="1:6" x14ac:dyDescent="0.2">
      <c r="A23" s="1" t="s">
        <v>596</v>
      </c>
      <c r="C23" s="1" t="s">
        <v>595</v>
      </c>
    </row>
    <row r="24" spans="1:6" x14ac:dyDescent="0.2">
      <c r="B24" s="8"/>
      <c r="C24" s="1" t="s">
        <v>594</v>
      </c>
    </row>
    <row r="25" spans="1:6" x14ac:dyDescent="0.2">
      <c r="B25" s="8"/>
      <c r="C25" s="1" t="s">
        <v>593</v>
      </c>
      <c r="F25" s="1">
        <v>925.39</v>
      </c>
    </row>
    <row r="26" spans="1:6" x14ac:dyDescent="0.2">
      <c r="C26" s="8"/>
    </row>
    <row r="27" spans="1:6" x14ac:dyDescent="0.2">
      <c r="B27" s="8"/>
      <c r="C27" s="1" t="s">
        <v>52</v>
      </c>
      <c r="F27" s="1">
        <v>5</v>
      </c>
    </row>
    <row r="28" spans="1:6" x14ac:dyDescent="0.2">
      <c r="B28" s="8"/>
    </row>
    <row r="32" spans="1:6" ht="13.5" thickBot="1" x14ac:dyDescent="0.25">
      <c r="F32" s="11">
        <f>SUM(F18:F31)</f>
        <v>930.39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592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 codeName="Sheet771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499</v>
      </c>
    </row>
    <row r="10" spans="1:6" x14ac:dyDescent="0.2">
      <c r="A10" s="1" t="s">
        <v>498</v>
      </c>
      <c r="D10" s="20" t="s">
        <v>27</v>
      </c>
      <c r="E10" s="20" t="s">
        <v>211</v>
      </c>
    </row>
    <row r="11" spans="1:6" x14ac:dyDescent="0.2">
      <c r="A11" s="1" t="s">
        <v>497</v>
      </c>
      <c r="D11" s="20" t="s">
        <v>24</v>
      </c>
      <c r="E11" s="20" t="s">
        <v>23</v>
      </c>
    </row>
    <row r="12" spans="1:6" x14ac:dyDescent="0.2">
      <c r="A12" s="1" t="s">
        <v>366</v>
      </c>
      <c r="D12" s="20" t="s">
        <v>22</v>
      </c>
      <c r="E12" s="19" t="s">
        <v>496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0" spans="1:6" x14ac:dyDescent="0.2">
      <c r="C20" s="13" t="s">
        <v>495</v>
      </c>
    </row>
    <row r="23" spans="1:6" x14ac:dyDescent="0.2">
      <c r="A23" s="1" t="s">
        <v>494</v>
      </c>
      <c r="C23" s="1" t="s">
        <v>493</v>
      </c>
      <c r="F23" s="1">
        <v>5865</v>
      </c>
    </row>
    <row r="24" spans="1:6" x14ac:dyDescent="0.2">
      <c r="C24" s="1" t="s">
        <v>492</v>
      </c>
    </row>
    <row r="32" spans="1:6" ht="13.5" thickBot="1" x14ac:dyDescent="0.25">
      <c r="F32" s="11">
        <f>SUM(F19:F31)</f>
        <v>5865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491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 codeName="Sheet151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191</v>
      </c>
    </row>
    <row r="10" spans="1:6" x14ac:dyDescent="0.2">
      <c r="A10" s="1" t="s">
        <v>190</v>
      </c>
      <c r="D10" s="20" t="s">
        <v>27</v>
      </c>
      <c r="E10" s="20" t="s">
        <v>100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189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97</v>
      </c>
    </row>
    <row r="21" spans="2:6" x14ac:dyDescent="0.2">
      <c r="C21" s="13" t="s">
        <v>96</v>
      </c>
    </row>
    <row r="22" spans="2:6" x14ac:dyDescent="0.2">
      <c r="C22" s="12"/>
    </row>
    <row r="25" spans="2:6" x14ac:dyDescent="0.2">
      <c r="C25" s="1" t="s">
        <v>188</v>
      </c>
      <c r="F25" s="1">
        <v>1772</v>
      </c>
    </row>
    <row r="26" spans="2:6" x14ac:dyDescent="0.2">
      <c r="B26" s="8"/>
    </row>
    <row r="27" spans="2:6" x14ac:dyDescent="0.2">
      <c r="B27" s="8"/>
    </row>
    <row r="28" spans="2:6" x14ac:dyDescent="0.2">
      <c r="B28" s="8"/>
    </row>
    <row r="32" spans="2:6" ht="13.5" thickBot="1" x14ac:dyDescent="0.25">
      <c r="F32" s="11">
        <f>SUM(F18:F31)</f>
        <v>1772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187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 codeName="Sheet161">
    <pageSetUpPr fitToPage="1"/>
  </sheetPr>
  <dimension ref="A1:F55"/>
  <sheetViews>
    <sheetView topLeftCell="A16" workbookViewId="0">
      <selection activeCell="F34" sqref="F34"/>
    </sheetView>
  </sheetViews>
  <sheetFormatPr defaultRowHeight="12.75" x14ac:dyDescent="0.2"/>
  <cols>
    <col min="1" max="1" width="15.7109375" style="1" customWidth="1"/>
    <col min="2" max="2" width="1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1317</v>
      </c>
      <c r="E9" s="91" t="s">
        <v>5054</v>
      </c>
    </row>
    <row r="10" spans="1:6" s="91" customFormat="1" x14ac:dyDescent="0.2">
      <c r="A10" s="91" t="s">
        <v>2128</v>
      </c>
      <c r="D10" s="92" t="s">
        <v>1357</v>
      </c>
      <c r="E10" s="98" t="s">
        <v>4234</v>
      </c>
    </row>
    <row r="11" spans="1:6" s="91" customFormat="1" x14ac:dyDescent="0.2">
      <c r="A11" s="91" t="s">
        <v>2561</v>
      </c>
      <c r="D11" s="92" t="s">
        <v>1330</v>
      </c>
      <c r="E11" s="92" t="s">
        <v>1220</v>
      </c>
    </row>
    <row r="12" spans="1:6" s="91" customFormat="1" x14ac:dyDescent="0.2">
      <c r="A12" s="91" t="s">
        <v>2562</v>
      </c>
      <c r="D12" s="92" t="s">
        <v>1224</v>
      </c>
      <c r="E12" s="92" t="s">
        <v>5055</v>
      </c>
    </row>
    <row r="13" spans="1:6" s="91" customFormat="1" x14ac:dyDescent="0.2">
      <c r="A13" s="91" t="s">
        <v>2563</v>
      </c>
    </row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C18" s="2" t="s">
        <v>5056</v>
      </c>
    </row>
    <row r="19" spans="1:6" s="91" customFormat="1" x14ac:dyDescent="0.2">
      <c r="C19" s="2"/>
    </row>
    <row r="20" spans="1:6" s="91" customFormat="1" x14ac:dyDescent="0.2">
      <c r="A20" s="93" t="s">
        <v>5057</v>
      </c>
      <c r="B20" s="94" t="s">
        <v>5058</v>
      </c>
      <c r="C20" s="91" t="s">
        <v>5059</v>
      </c>
      <c r="F20" s="91">
        <v>1800</v>
      </c>
    </row>
    <row r="21" spans="1:6" s="91" customFormat="1" x14ac:dyDescent="0.2">
      <c r="B21" s="94"/>
      <c r="C21" s="91" t="s">
        <v>5060</v>
      </c>
    </row>
    <row r="22" spans="1:6" s="91" customFormat="1" x14ac:dyDescent="0.2">
      <c r="B22" s="94"/>
    </row>
    <row r="23" spans="1:6" s="91" customFormat="1" x14ac:dyDescent="0.2">
      <c r="B23" s="94"/>
    </row>
    <row r="24" spans="1:6" s="91" customFormat="1" x14ac:dyDescent="0.2"/>
    <row r="25" spans="1:6" s="91" customFormat="1" x14ac:dyDescent="0.2">
      <c r="B25" s="94"/>
    </row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>
      <c r="B30" s="94"/>
    </row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SUM(F18:F32)</f>
        <v>1800</v>
      </c>
    </row>
    <row r="35" spans="1:6" s="91" customFormat="1" ht="13.5" thickTop="1" x14ac:dyDescent="0.2"/>
    <row r="36" spans="1:6" s="91" customFormat="1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Eight Hundred and NO/100 -----------</v>
      </c>
      <c r="C36" s="97"/>
      <c r="D36" s="206"/>
      <c r="E36" s="206"/>
      <c r="F36" s="206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/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 codeName="Sheet171">
    <pageSetUpPr fitToPage="1"/>
  </sheetPr>
  <dimension ref="A1:F94"/>
  <sheetViews>
    <sheetView view="pageBreakPreview" zoomScaleSheetLayoutView="100" workbookViewId="0">
      <selection activeCell="F34" sqref="F34"/>
    </sheetView>
  </sheetViews>
  <sheetFormatPr defaultRowHeight="12.75" x14ac:dyDescent="0.2"/>
  <cols>
    <col min="1" max="1" width="17" style="91" customWidth="1"/>
    <col min="2" max="2" width="13.42578125" style="91" customWidth="1"/>
    <col min="3" max="3" width="22.5703125" style="91" customWidth="1"/>
    <col min="4" max="4" width="16.42578125" style="91" customWidth="1"/>
    <col min="5" max="5" width="9.85546875" style="91" customWidth="1"/>
    <col min="6" max="6" width="13.8554687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9" t="s">
        <v>33</v>
      </c>
      <c r="B2" s="529"/>
      <c r="C2" s="529"/>
      <c r="D2" s="529"/>
      <c r="E2" s="529"/>
      <c r="F2" s="529"/>
    </row>
    <row r="3" spans="1:6" x14ac:dyDescent="0.2">
      <c r="A3" s="529" t="s">
        <v>1829</v>
      </c>
      <c r="B3" s="529"/>
      <c r="C3" s="529"/>
      <c r="D3" s="529"/>
      <c r="E3" s="529"/>
      <c r="F3" s="529"/>
    </row>
    <row r="4" spans="1:6" x14ac:dyDescent="0.2">
      <c r="A4" s="529" t="s">
        <v>1828</v>
      </c>
      <c r="B4" s="529"/>
      <c r="C4" s="529"/>
      <c r="D4" s="529"/>
      <c r="E4" s="529"/>
      <c r="F4" s="529"/>
    </row>
    <row r="5" spans="1:6" x14ac:dyDescent="0.2">
      <c r="A5" s="99"/>
      <c r="B5" s="99"/>
      <c r="C5" s="99"/>
      <c r="D5" s="99"/>
      <c r="E5" s="99"/>
      <c r="F5" s="99"/>
    </row>
    <row r="6" spans="1:6" x14ac:dyDescent="0.2">
      <c r="A6" s="99"/>
      <c r="B6" s="99"/>
      <c r="C6" s="99"/>
      <c r="D6" s="99"/>
      <c r="E6" s="99"/>
      <c r="F6" s="99"/>
    </row>
    <row r="7" spans="1:6" x14ac:dyDescent="0.2">
      <c r="A7" s="99"/>
      <c r="B7" s="99"/>
      <c r="C7" s="99"/>
      <c r="D7" s="99"/>
      <c r="E7" s="99"/>
      <c r="F7" s="99"/>
    </row>
    <row r="9" spans="1:6" x14ac:dyDescent="0.2">
      <c r="A9" s="91" t="s">
        <v>32</v>
      </c>
      <c r="D9" s="22" t="s">
        <v>31</v>
      </c>
    </row>
    <row r="10" spans="1:6" x14ac:dyDescent="0.2">
      <c r="D10" s="92" t="s">
        <v>1267</v>
      </c>
      <c r="E10" s="91" t="s">
        <v>1873</v>
      </c>
    </row>
    <row r="11" spans="1:6" x14ac:dyDescent="0.2">
      <c r="A11" s="91" t="s">
        <v>1871</v>
      </c>
      <c r="D11" s="92" t="s">
        <v>1357</v>
      </c>
      <c r="E11" s="105" t="s">
        <v>1838</v>
      </c>
    </row>
    <row r="12" spans="1:6" x14ac:dyDescent="0.2">
      <c r="A12" s="91" t="s">
        <v>1872</v>
      </c>
      <c r="D12" s="92" t="s">
        <v>1330</v>
      </c>
      <c r="E12" s="92" t="s">
        <v>1220</v>
      </c>
    </row>
    <row r="13" spans="1:6" x14ac:dyDescent="0.2">
      <c r="A13" s="91" t="s">
        <v>1015</v>
      </c>
      <c r="D13" s="92" t="s">
        <v>1224</v>
      </c>
      <c r="E13" s="92" t="s">
        <v>1874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C18" s="2" t="s">
        <v>1869</v>
      </c>
    </row>
    <row r="20" spans="1:6" x14ac:dyDescent="0.2">
      <c r="A20" s="93" t="s">
        <v>1766</v>
      </c>
      <c r="B20" s="93" t="s">
        <v>1875</v>
      </c>
      <c r="C20" s="91" t="s">
        <v>1876</v>
      </c>
      <c r="F20" s="91">
        <v>1500</v>
      </c>
    </row>
    <row r="31" spans="1:6" ht="13.5" thickBot="1" x14ac:dyDescent="0.25">
      <c r="F31" s="107">
        <f>SUM(F18:F30)</f>
        <v>1500</v>
      </c>
    </row>
    <row r="32" spans="1:6" ht="13.5" thickTop="1" x14ac:dyDescent="0.2"/>
    <row r="34" spans="1:6" ht="20.100000000000001" customHeight="1" thickBot="1" x14ac:dyDescent="0.25">
      <c r="A34" s="149" t="s">
        <v>336</v>
      </c>
      <c r="B34" s="96" t="s">
        <v>1877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3" spans="1:6" ht="14.25" x14ac:dyDescent="0.2">
      <c r="A43" s="120"/>
      <c r="B43" s="120"/>
      <c r="C43" s="120"/>
      <c r="D43" s="120"/>
      <c r="E43" s="120"/>
      <c r="F43" s="120"/>
    </row>
    <row r="44" spans="1:6" ht="14.25" x14ac:dyDescent="0.2">
      <c r="A44" s="120"/>
      <c r="B44" s="120"/>
      <c r="C44" s="120"/>
      <c r="D44" s="120"/>
      <c r="E44" s="120"/>
      <c r="F44" s="120"/>
    </row>
    <row r="45" spans="1:6" ht="14.25" x14ac:dyDescent="0.2">
      <c r="A45" s="120"/>
      <c r="B45" s="120"/>
      <c r="C45" s="120"/>
      <c r="D45" s="120"/>
      <c r="E45" s="120"/>
      <c r="F45" s="120"/>
    </row>
    <row r="46" spans="1:6" x14ac:dyDescent="0.2">
      <c r="A46" s="101"/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6" x14ac:dyDescent="0.2">
      <c r="A49" s="91" t="s">
        <v>4066</v>
      </c>
    </row>
    <row r="50" spans="1:6" x14ac:dyDescent="0.2">
      <c r="D50" s="2" t="s">
        <v>1</v>
      </c>
    </row>
    <row r="51" spans="1:6" x14ac:dyDescent="0.2">
      <c r="D51" s="2" t="s">
        <v>0</v>
      </c>
    </row>
    <row r="53" spans="1:6" ht="14.25" x14ac:dyDescent="0.2">
      <c r="A53" s="120"/>
      <c r="B53" s="120"/>
      <c r="C53" s="120"/>
      <c r="D53" s="120"/>
      <c r="E53" s="120"/>
      <c r="F53" s="120"/>
    </row>
    <row r="54" spans="1:6" ht="14.25" x14ac:dyDescent="0.2">
      <c r="A54" s="120"/>
      <c r="B54" s="120"/>
      <c r="C54" s="120"/>
      <c r="D54" s="120"/>
      <c r="E54" s="120"/>
      <c r="F54" s="120"/>
    </row>
    <row r="55" spans="1:6" ht="14.25" x14ac:dyDescent="0.2">
      <c r="A55" s="120"/>
      <c r="B55" s="120"/>
      <c r="C55" s="120"/>
      <c r="D55" s="120"/>
      <c r="E55" s="120"/>
      <c r="F55" s="120"/>
    </row>
    <row r="56" spans="1:6" ht="14.25" x14ac:dyDescent="0.2">
      <c r="A56" s="120"/>
      <c r="B56" s="120"/>
      <c r="C56" s="120"/>
      <c r="D56" s="120"/>
      <c r="E56" s="120"/>
      <c r="F56" s="120"/>
    </row>
    <row r="57" spans="1:6" ht="14.25" x14ac:dyDescent="0.2">
      <c r="A57" s="120"/>
      <c r="B57" s="120"/>
      <c r="C57" s="120"/>
      <c r="D57" s="120"/>
      <c r="E57" s="120"/>
      <c r="F57" s="120"/>
    </row>
    <row r="58" spans="1:6" ht="14.25" x14ac:dyDescent="0.2">
      <c r="A58" s="120"/>
      <c r="B58" s="120"/>
      <c r="C58" s="120"/>
      <c r="D58" s="120"/>
      <c r="E58" s="120"/>
      <c r="F58" s="120"/>
    </row>
    <row r="59" spans="1:6" ht="14.25" x14ac:dyDescent="0.2">
      <c r="A59" s="120"/>
      <c r="B59" s="120"/>
      <c r="C59" s="120"/>
      <c r="D59" s="120"/>
      <c r="E59" s="120"/>
      <c r="F59" s="120"/>
    </row>
    <row r="60" spans="1:6" ht="14.25" x14ac:dyDescent="0.2">
      <c r="A60" s="120"/>
      <c r="B60" s="120"/>
      <c r="C60" s="120"/>
      <c r="D60" s="120"/>
      <c r="E60" s="120"/>
      <c r="F60" s="120"/>
    </row>
    <row r="61" spans="1:6" ht="14.25" x14ac:dyDescent="0.2">
      <c r="A61" s="120"/>
      <c r="B61" s="120"/>
      <c r="C61" s="120"/>
      <c r="D61" s="120"/>
      <c r="E61" s="120"/>
      <c r="F61" s="120"/>
    </row>
    <row r="62" spans="1:6" ht="14.25" x14ac:dyDescent="0.2">
      <c r="A62" s="120"/>
      <c r="B62" s="120"/>
      <c r="C62" s="120"/>
      <c r="D62" s="120"/>
      <c r="E62" s="120"/>
      <c r="F62" s="120"/>
    </row>
    <row r="63" spans="1:6" ht="14.25" x14ac:dyDescent="0.2">
      <c r="A63" s="120"/>
      <c r="B63" s="120"/>
      <c r="C63" s="120"/>
      <c r="D63" s="120"/>
      <c r="E63" s="120"/>
      <c r="F63" s="120"/>
    </row>
    <row r="64" spans="1:6" ht="14.25" x14ac:dyDescent="0.2">
      <c r="A64" s="120"/>
      <c r="B64" s="120"/>
      <c r="C64" s="120"/>
      <c r="D64" s="120"/>
      <c r="E64" s="120"/>
      <c r="F64" s="120"/>
    </row>
    <row r="65" spans="1:6" ht="14.25" x14ac:dyDescent="0.2">
      <c r="A65" s="120"/>
      <c r="B65" s="120"/>
      <c r="C65" s="120"/>
      <c r="D65" s="120"/>
      <c r="E65" s="120"/>
      <c r="F65" s="120"/>
    </row>
    <row r="66" spans="1:6" ht="14.25" x14ac:dyDescent="0.2">
      <c r="A66" s="120"/>
      <c r="B66" s="120"/>
      <c r="C66" s="120"/>
      <c r="D66" s="120"/>
      <c r="E66" s="120"/>
      <c r="F66" s="120"/>
    </row>
    <row r="67" spans="1:6" ht="14.25" x14ac:dyDescent="0.2">
      <c r="A67" s="120"/>
      <c r="B67" s="120"/>
      <c r="C67" s="120"/>
      <c r="D67" s="120"/>
      <c r="E67" s="120"/>
      <c r="F67" s="120"/>
    </row>
    <row r="68" spans="1:6" ht="14.25" x14ac:dyDescent="0.2">
      <c r="A68" s="120"/>
      <c r="B68" s="120"/>
      <c r="C68" s="120"/>
      <c r="D68" s="120"/>
      <c r="E68" s="120"/>
      <c r="F68" s="120"/>
    </row>
    <row r="69" spans="1:6" ht="14.25" x14ac:dyDescent="0.2">
      <c r="A69" s="120"/>
      <c r="B69" s="120"/>
      <c r="C69" s="120"/>
      <c r="D69" s="120"/>
      <c r="E69" s="120"/>
      <c r="F69" s="120"/>
    </row>
    <row r="70" spans="1:6" ht="14.25" x14ac:dyDescent="0.2">
      <c r="A70" s="120"/>
      <c r="B70" s="120"/>
      <c r="C70" s="120"/>
      <c r="D70" s="120"/>
      <c r="E70" s="120"/>
      <c r="F70" s="120"/>
    </row>
    <row r="71" spans="1:6" ht="14.25" x14ac:dyDescent="0.2">
      <c r="A71" s="120"/>
      <c r="B71" s="120"/>
      <c r="C71" s="120"/>
      <c r="D71" s="120"/>
      <c r="E71" s="120"/>
      <c r="F71" s="120"/>
    </row>
    <row r="72" spans="1:6" ht="14.25" x14ac:dyDescent="0.2">
      <c r="A72" s="120"/>
      <c r="B72" s="120"/>
      <c r="C72" s="120"/>
      <c r="D72" s="120"/>
      <c r="E72" s="120"/>
      <c r="F72" s="120"/>
    </row>
    <row r="73" spans="1:6" ht="14.25" x14ac:dyDescent="0.2">
      <c r="A73" s="120"/>
      <c r="B73" s="120"/>
      <c r="C73" s="120"/>
      <c r="D73" s="120"/>
      <c r="E73" s="120"/>
      <c r="F73" s="120"/>
    </row>
    <row r="74" spans="1:6" ht="14.25" x14ac:dyDescent="0.2">
      <c r="A74" s="120"/>
      <c r="B74" s="120"/>
      <c r="C74" s="120"/>
      <c r="D74" s="120"/>
      <c r="E74" s="120"/>
      <c r="F74" s="120"/>
    </row>
    <row r="75" spans="1:6" ht="14.25" x14ac:dyDescent="0.2">
      <c r="A75" s="120"/>
      <c r="B75" s="120"/>
      <c r="C75" s="120"/>
      <c r="D75" s="120"/>
      <c r="E75" s="120"/>
      <c r="F75" s="120"/>
    </row>
    <row r="76" spans="1:6" ht="14.25" x14ac:dyDescent="0.2">
      <c r="A76" s="120"/>
      <c r="B76" s="120"/>
      <c r="C76" s="120"/>
      <c r="D76" s="120"/>
      <c r="E76" s="120"/>
      <c r="F76" s="120"/>
    </row>
    <row r="77" spans="1:6" ht="14.25" x14ac:dyDescent="0.2">
      <c r="A77" s="120"/>
      <c r="B77" s="120"/>
      <c r="C77" s="120"/>
      <c r="D77" s="120"/>
      <c r="E77" s="120"/>
      <c r="F77" s="120"/>
    </row>
    <row r="78" spans="1:6" ht="14.25" x14ac:dyDescent="0.2">
      <c r="A78" s="120"/>
      <c r="B78" s="120"/>
      <c r="C78" s="120"/>
      <c r="D78" s="120"/>
      <c r="E78" s="120"/>
      <c r="F78" s="120"/>
    </row>
    <row r="79" spans="1:6" ht="14.25" x14ac:dyDescent="0.2">
      <c r="A79" s="120"/>
      <c r="B79" s="120"/>
      <c r="C79" s="120"/>
      <c r="D79" s="120"/>
      <c r="E79" s="120"/>
      <c r="F79" s="120"/>
    </row>
    <row r="80" spans="1:6" ht="14.25" x14ac:dyDescent="0.2">
      <c r="A80" s="120"/>
      <c r="B80" s="120"/>
      <c r="C80" s="120"/>
      <c r="D80" s="120"/>
      <c r="E80" s="120"/>
      <c r="F80" s="120"/>
    </row>
    <row r="81" spans="1:6" ht="14.25" x14ac:dyDescent="0.2">
      <c r="A81" s="120"/>
      <c r="B81" s="120"/>
      <c r="C81" s="120"/>
      <c r="D81" s="120"/>
      <c r="E81" s="120"/>
      <c r="F81" s="120"/>
    </row>
    <row r="82" spans="1:6" ht="14.25" x14ac:dyDescent="0.2">
      <c r="A82" s="120"/>
      <c r="B82" s="120"/>
      <c r="C82" s="120"/>
      <c r="D82" s="120"/>
      <c r="E82" s="120"/>
      <c r="F82" s="120"/>
    </row>
    <row r="83" spans="1:6" ht="14.25" x14ac:dyDescent="0.2">
      <c r="A83" s="120"/>
      <c r="B83" s="120"/>
      <c r="C83" s="120"/>
      <c r="D83" s="120"/>
      <c r="E83" s="120"/>
      <c r="F83" s="120"/>
    </row>
    <row r="84" spans="1:6" ht="14.25" x14ac:dyDescent="0.2">
      <c r="A84" s="120"/>
      <c r="B84" s="120"/>
      <c r="C84" s="120"/>
      <c r="D84" s="120"/>
      <c r="E84" s="120"/>
      <c r="F84" s="120"/>
    </row>
    <row r="85" spans="1:6" ht="14.25" x14ac:dyDescent="0.2">
      <c r="A85" s="120"/>
      <c r="B85" s="120"/>
      <c r="C85" s="120"/>
      <c r="D85" s="120"/>
      <c r="E85" s="120"/>
      <c r="F85" s="120"/>
    </row>
    <row r="86" spans="1:6" ht="14.25" x14ac:dyDescent="0.2">
      <c r="A86" s="120"/>
      <c r="B86" s="120"/>
      <c r="C86" s="120"/>
      <c r="D86" s="120"/>
      <c r="E86" s="120"/>
      <c r="F86" s="120"/>
    </row>
    <row r="87" spans="1:6" ht="14.25" x14ac:dyDescent="0.2">
      <c r="A87" s="120"/>
      <c r="B87" s="120"/>
      <c r="C87" s="120"/>
      <c r="D87" s="120"/>
      <c r="E87" s="120"/>
      <c r="F87" s="120"/>
    </row>
    <row r="88" spans="1:6" ht="14.25" x14ac:dyDescent="0.2">
      <c r="A88" s="120"/>
      <c r="B88" s="120"/>
      <c r="C88" s="120"/>
      <c r="D88" s="120"/>
      <c r="E88" s="120"/>
      <c r="F88" s="120"/>
    </row>
    <row r="89" spans="1:6" ht="14.25" x14ac:dyDescent="0.2">
      <c r="A89" s="120"/>
      <c r="B89" s="120"/>
      <c r="C89" s="120"/>
      <c r="D89" s="120"/>
      <c r="E89" s="120"/>
      <c r="F89" s="120"/>
    </row>
    <row r="90" spans="1:6" ht="14.25" x14ac:dyDescent="0.2">
      <c r="A90" s="120"/>
      <c r="B90" s="120"/>
      <c r="C90" s="120"/>
      <c r="D90" s="120"/>
      <c r="E90" s="120"/>
      <c r="F90" s="120"/>
    </row>
    <row r="91" spans="1:6" ht="14.25" x14ac:dyDescent="0.2">
      <c r="A91" s="120"/>
      <c r="B91" s="120"/>
      <c r="C91" s="120"/>
      <c r="D91" s="120"/>
      <c r="E91" s="120"/>
      <c r="F91" s="120"/>
    </row>
    <row r="92" spans="1:6" ht="14.25" x14ac:dyDescent="0.2">
      <c r="A92" s="120"/>
      <c r="B92" s="120"/>
      <c r="C92" s="120"/>
      <c r="D92" s="120"/>
      <c r="E92" s="120"/>
      <c r="F92" s="120"/>
    </row>
    <row r="93" spans="1:6" ht="14.25" x14ac:dyDescent="0.2">
      <c r="A93" s="120"/>
      <c r="B93" s="120"/>
      <c r="C93" s="120"/>
      <c r="D93" s="120"/>
      <c r="E93" s="120"/>
      <c r="F93" s="120"/>
    </row>
    <row r="94" spans="1:6" ht="14.25" x14ac:dyDescent="0.2">
      <c r="A94" s="120"/>
      <c r="B94" s="120"/>
      <c r="C94" s="120"/>
      <c r="D94" s="120"/>
      <c r="E94" s="120"/>
      <c r="F94" s="120"/>
    </row>
  </sheetData>
  <customSheetViews>
    <customSheetView guid="{6428A7A0-B31B-40C1-A13E-AD0DCC619E51}" showPageBreaks="1" fitToPage="1" view="pageBreakPreview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 codeName="Sheet2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1103</v>
      </c>
    </row>
    <row r="10" spans="1:6" x14ac:dyDescent="0.2">
      <c r="A10" s="1" t="s">
        <v>1102</v>
      </c>
      <c r="D10" s="20" t="s">
        <v>27</v>
      </c>
      <c r="E10" s="20" t="s">
        <v>559</v>
      </c>
    </row>
    <row r="11" spans="1:6" x14ac:dyDescent="0.2">
      <c r="A11" s="1" t="s">
        <v>1101</v>
      </c>
      <c r="D11" s="20" t="s">
        <v>24</v>
      </c>
      <c r="E11" s="20" t="s">
        <v>23</v>
      </c>
    </row>
    <row r="12" spans="1:6" x14ac:dyDescent="0.2">
      <c r="A12" s="1" t="s">
        <v>279</v>
      </c>
      <c r="D12" s="20" t="s">
        <v>22</v>
      </c>
      <c r="E12" s="19" t="s">
        <v>1100</v>
      </c>
    </row>
    <row r="13" spans="1:6" x14ac:dyDescent="0.2">
      <c r="A13" s="1" t="s">
        <v>278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1099</v>
      </c>
    </row>
    <row r="20" spans="1:6" x14ac:dyDescent="0.2">
      <c r="C20" s="13" t="s">
        <v>1098</v>
      </c>
    </row>
    <row r="21" spans="1:6" x14ac:dyDescent="0.2">
      <c r="C21" s="21"/>
    </row>
    <row r="22" spans="1:6" x14ac:dyDescent="0.2">
      <c r="C22" s="21"/>
    </row>
    <row r="23" spans="1:6" x14ac:dyDescent="0.2">
      <c r="C23" s="21"/>
    </row>
    <row r="24" spans="1:6" x14ac:dyDescent="0.2">
      <c r="A24" s="21" t="s">
        <v>1097</v>
      </c>
      <c r="C24" s="21" t="s">
        <v>1096</v>
      </c>
      <c r="F24" s="1">
        <v>2693</v>
      </c>
    </row>
    <row r="25" spans="1:6" x14ac:dyDescent="0.2">
      <c r="C25" s="21" t="s">
        <v>1095</v>
      </c>
    </row>
    <row r="27" spans="1:6" x14ac:dyDescent="0.2">
      <c r="A27" s="21"/>
      <c r="C27" s="21"/>
      <c r="F27" s="21"/>
    </row>
    <row r="28" spans="1:6" x14ac:dyDescent="0.2">
      <c r="B28" s="8"/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SUM(F19:F32)</f>
        <v>2693</v>
      </c>
    </row>
    <row r="34" spans="1:6" ht="14.25" thickTop="1" thickBot="1" x14ac:dyDescent="0.25">
      <c r="F34" s="11"/>
    </row>
    <row r="35" spans="1:6" ht="20.100000000000001" customHeight="1" thickTop="1" x14ac:dyDescent="0.2">
      <c r="A35" s="24" t="s">
        <v>1094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 codeName="Sheet2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1112</v>
      </c>
    </row>
    <row r="10" spans="1:6" x14ac:dyDescent="0.2">
      <c r="A10" s="1" t="s">
        <v>1111</v>
      </c>
      <c r="D10" s="20" t="s">
        <v>27</v>
      </c>
      <c r="E10" s="20" t="s">
        <v>280</v>
      </c>
    </row>
    <row r="11" spans="1:6" x14ac:dyDescent="0.2">
      <c r="A11" s="1" t="s">
        <v>1110</v>
      </c>
      <c r="D11" s="20" t="s">
        <v>24</v>
      </c>
      <c r="E11" s="20" t="s">
        <v>23</v>
      </c>
    </row>
    <row r="12" spans="1:6" x14ac:dyDescent="0.2">
      <c r="A12" s="1" t="s">
        <v>1109</v>
      </c>
      <c r="D12" s="20" t="s">
        <v>22</v>
      </c>
      <c r="E12" s="19" t="s">
        <v>1108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21"/>
    </row>
    <row r="21" spans="1:6" x14ac:dyDescent="0.2">
      <c r="C21" s="21"/>
    </row>
    <row r="22" spans="1:6" x14ac:dyDescent="0.2">
      <c r="C22" s="12"/>
    </row>
    <row r="23" spans="1:6" x14ac:dyDescent="0.2">
      <c r="A23" s="1" t="s">
        <v>1107</v>
      </c>
      <c r="C23" s="1" t="s">
        <v>1106</v>
      </c>
      <c r="F23" s="1">
        <v>11300</v>
      </c>
    </row>
    <row r="24" spans="1:6" x14ac:dyDescent="0.2">
      <c r="C24" s="1" t="s">
        <v>1105</v>
      </c>
    </row>
    <row r="26" spans="1:6" x14ac:dyDescent="0.2">
      <c r="B26" s="8"/>
      <c r="C26" s="21"/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11300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1104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 codeName="Sheet22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1122</v>
      </c>
    </row>
    <row r="10" spans="1:6" x14ac:dyDescent="0.2">
      <c r="A10" s="21" t="s">
        <v>1121</v>
      </c>
      <c r="D10" s="20" t="s">
        <v>27</v>
      </c>
      <c r="E10" s="20" t="s">
        <v>260</v>
      </c>
    </row>
    <row r="11" spans="1:6" x14ac:dyDescent="0.2">
      <c r="A11" s="21" t="s">
        <v>1120</v>
      </c>
      <c r="D11" s="20" t="s">
        <v>24</v>
      </c>
      <c r="E11" s="20" t="s">
        <v>23</v>
      </c>
    </row>
    <row r="12" spans="1:6" x14ac:dyDescent="0.2">
      <c r="A12" s="21" t="s">
        <v>1119</v>
      </c>
      <c r="D12" s="20" t="s">
        <v>22</v>
      </c>
      <c r="E12" s="20" t="s">
        <v>1118</v>
      </c>
    </row>
    <row r="13" spans="1:6" x14ac:dyDescent="0.2">
      <c r="A13" s="1" t="s">
        <v>1117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1116</v>
      </c>
    </row>
    <row r="20" spans="1:6" x14ac:dyDescent="0.2">
      <c r="C20" s="13" t="s">
        <v>1115</v>
      </c>
    </row>
    <row r="21" spans="1:6" x14ac:dyDescent="0.2">
      <c r="C21" s="13"/>
    </row>
    <row r="23" spans="1:6" x14ac:dyDescent="0.2">
      <c r="A23" s="1" t="s">
        <v>1114</v>
      </c>
      <c r="C23" s="21" t="s">
        <v>1113</v>
      </c>
      <c r="F23" s="1">
        <v>640</v>
      </c>
    </row>
    <row r="24" spans="1:6" x14ac:dyDescent="0.2">
      <c r="A24" s="21"/>
    </row>
    <row r="25" spans="1:6" x14ac:dyDescent="0.2">
      <c r="C25" s="21"/>
    </row>
    <row r="26" spans="1:6" x14ac:dyDescent="0.2">
      <c r="B26" s="8"/>
      <c r="C26" s="21"/>
    </row>
    <row r="32" spans="1:6" ht="13.5" thickBot="1" x14ac:dyDescent="0.25">
      <c r="F32" s="11">
        <f>SUM(F19:F31)</f>
        <v>640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564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 codeName="Sheet23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1133</v>
      </c>
    </row>
    <row r="10" spans="1:6" x14ac:dyDescent="0.2">
      <c r="A10" s="1" t="s">
        <v>1132</v>
      </c>
      <c r="D10" s="20" t="s">
        <v>27</v>
      </c>
      <c r="E10" s="20" t="s">
        <v>1131</v>
      </c>
    </row>
    <row r="11" spans="1:6" x14ac:dyDescent="0.2">
      <c r="A11" s="1" t="s">
        <v>1130</v>
      </c>
      <c r="D11" s="20" t="s">
        <v>24</v>
      </c>
      <c r="E11" s="20" t="s">
        <v>23</v>
      </c>
    </row>
    <row r="12" spans="1:6" x14ac:dyDescent="0.2">
      <c r="A12" s="1" t="s">
        <v>1129</v>
      </c>
      <c r="D12" s="20" t="s">
        <v>22</v>
      </c>
      <c r="E12" s="20" t="s">
        <v>1128</v>
      </c>
    </row>
    <row r="13" spans="1:6" x14ac:dyDescent="0.2">
      <c r="A13" s="1" t="s">
        <v>1127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1126</v>
      </c>
    </row>
    <row r="21" spans="1:6" x14ac:dyDescent="0.2">
      <c r="C21" s="13" t="s">
        <v>1125</v>
      </c>
    </row>
    <row r="22" spans="1:6" x14ac:dyDescent="0.2">
      <c r="C22" s="21"/>
    </row>
    <row r="23" spans="1:6" x14ac:dyDescent="0.2">
      <c r="A23" s="1" t="s">
        <v>1124</v>
      </c>
      <c r="C23" s="1" t="s">
        <v>226</v>
      </c>
      <c r="F23" s="1">
        <v>20000</v>
      </c>
    </row>
    <row r="25" spans="1:6" x14ac:dyDescent="0.2">
      <c r="C25" s="21"/>
    </row>
    <row r="26" spans="1:6" x14ac:dyDescent="0.2">
      <c r="C26" s="21"/>
    </row>
    <row r="27" spans="1:6" x14ac:dyDescent="0.2">
      <c r="C27" s="21"/>
      <c r="F27" s="13"/>
    </row>
    <row r="28" spans="1:6" x14ac:dyDescent="0.2">
      <c r="B28" s="8"/>
    </row>
    <row r="29" spans="1:6" x14ac:dyDescent="0.2">
      <c r="B29" s="8"/>
    </row>
    <row r="31" spans="1:6" ht="13.5" thickBot="1" x14ac:dyDescent="0.25">
      <c r="F31" s="25">
        <f>SUM(F19:F30)</f>
        <v>20000</v>
      </c>
    </row>
    <row r="32" spans="1:6" ht="13.5" thickTop="1" x14ac:dyDescent="0.2"/>
    <row r="33" spans="1:6" ht="20.100000000000001" customHeight="1" x14ac:dyDescent="0.2">
      <c r="A33" s="10" t="s">
        <v>1123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598E-B287-47D5-8D06-16F415316124}">
  <sheetPr codeName="Sheet739"/>
  <dimension ref="A1:O56"/>
  <sheetViews>
    <sheetView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15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5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5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5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15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  <c r="J8" s="152" t="s">
        <v>8439</v>
      </c>
      <c r="K8" s="152">
        <v>43817</v>
      </c>
      <c r="L8" s="152" t="s">
        <v>770</v>
      </c>
      <c r="M8" s="152" t="s">
        <v>770</v>
      </c>
    </row>
    <row r="9" spans="1:15" x14ac:dyDescent="0.2">
      <c r="A9" s="153"/>
      <c r="B9" s="153"/>
      <c r="C9" s="153"/>
      <c r="D9" s="153"/>
      <c r="E9" s="153"/>
      <c r="F9" s="155" t="s">
        <v>1517</v>
      </c>
      <c r="G9" s="153" t="s">
        <v>8439</v>
      </c>
      <c r="H9" s="153"/>
    </row>
    <row r="10" spans="1:15" x14ac:dyDescent="0.2">
      <c r="A10" s="153" t="s">
        <v>7728</v>
      </c>
      <c r="B10" s="153"/>
      <c r="C10" s="153"/>
      <c r="D10" s="153"/>
      <c r="E10" s="153"/>
      <c r="F10" s="155" t="s">
        <v>1357</v>
      </c>
      <c r="G10" s="155" t="s">
        <v>8265</v>
      </c>
      <c r="H10" s="153"/>
    </row>
    <row r="11" spans="1:15" x14ac:dyDescent="0.2">
      <c r="A11" s="153" t="s">
        <v>7729</v>
      </c>
      <c r="B11" s="153"/>
      <c r="C11" s="153"/>
      <c r="D11" s="153"/>
      <c r="E11" s="153"/>
      <c r="F11" s="155" t="s">
        <v>1330</v>
      </c>
      <c r="G11" s="155" t="s">
        <v>2625</v>
      </c>
      <c r="H11" s="153"/>
    </row>
    <row r="12" spans="1:15" x14ac:dyDescent="0.2">
      <c r="A12" s="153" t="s">
        <v>7730</v>
      </c>
      <c r="B12" s="153"/>
      <c r="C12" s="153"/>
      <c r="D12" s="153"/>
      <c r="E12" s="153"/>
      <c r="F12" s="155" t="s">
        <v>1377</v>
      </c>
      <c r="G12" s="155" t="s">
        <v>770</v>
      </c>
      <c r="H12" s="153"/>
      <c r="K12" s="169" t="s">
        <v>7698</v>
      </c>
      <c r="L12" s="169"/>
      <c r="M12" s="153"/>
      <c r="N12" s="153"/>
      <c r="O12" s="153">
        <v>14019.6</v>
      </c>
    </row>
    <row r="13" spans="1:15" x14ac:dyDescent="0.2">
      <c r="A13" s="153" t="s">
        <v>6522</v>
      </c>
      <c r="B13" s="153"/>
      <c r="C13" s="153"/>
      <c r="D13" s="153"/>
      <c r="E13" s="153"/>
      <c r="F13" s="153"/>
      <c r="G13" s="153"/>
      <c r="H13" s="153"/>
      <c r="K13" s="153" t="s">
        <v>7699</v>
      </c>
      <c r="L13" s="153"/>
      <c r="O13" s="153">
        <f>84967.32/2</f>
        <v>42483.66</v>
      </c>
    </row>
    <row r="14" spans="1:15" x14ac:dyDescent="0.2">
      <c r="A14" s="153"/>
      <c r="B14" s="153"/>
      <c r="C14" s="153"/>
      <c r="D14" s="153"/>
      <c r="E14" s="153"/>
      <c r="F14" s="153"/>
      <c r="G14" s="153"/>
      <c r="H14" s="153"/>
      <c r="K14" s="153" t="s">
        <v>7700</v>
      </c>
      <c r="L14" s="153"/>
      <c r="M14" s="153"/>
      <c r="N14" s="153"/>
      <c r="O14" s="153">
        <f>9150.33/2</f>
        <v>4575.165</v>
      </c>
    </row>
    <row r="15" spans="1:15" x14ac:dyDescent="0.2">
      <c r="A15" s="153"/>
      <c r="B15" s="153"/>
      <c r="C15" s="153"/>
      <c r="D15" s="153"/>
      <c r="E15" s="153"/>
      <c r="F15" s="153"/>
      <c r="G15" s="153"/>
      <c r="H15" s="153"/>
      <c r="K15" s="153" t="s">
        <v>4892</v>
      </c>
      <c r="L15" s="153"/>
      <c r="O15" s="153">
        <f>8550.98/2</f>
        <v>4275.49</v>
      </c>
    </row>
    <row r="16" spans="1:15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79"/>
      <c r="B18" s="153"/>
      <c r="C18" s="153"/>
      <c r="D18" s="163" t="s">
        <v>7731</v>
      </c>
      <c r="E18" s="163"/>
      <c r="F18" s="153"/>
      <c r="G18" s="153"/>
      <c r="H18" s="153"/>
    </row>
    <row r="19" spans="1:8" x14ac:dyDescent="0.2">
      <c r="A19" s="153"/>
      <c r="B19" s="153"/>
      <c r="C19" s="153"/>
      <c r="D19" s="163"/>
      <c r="E19" s="163"/>
      <c r="F19" s="153"/>
      <c r="G19" s="153"/>
      <c r="H19" s="153"/>
    </row>
    <row r="20" spans="1:8" x14ac:dyDescent="0.2">
      <c r="A20" s="187" t="s">
        <v>8289</v>
      </c>
      <c r="B20" s="168" t="s">
        <v>8440</v>
      </c>
      <c r="C20" s="153"/>
      <c r="D20" s="169" t="s">
        <v>8441</v>
      </c>
      <c r="E20" s="169"/>
      <c r="F20" s="153"/>
      <c r="G20" s="153"/>
      <c r="H20" s="153">
        <v>75000</v>
      </c>
    </row>
    <row r="21" spans="1:8" x14ac:dyDescent="0.2">
      <c r="A21" s="199"/>
      <c r="B21" s="153"/>
      <c r="C21" s="153"/>
      <c r="D21" s="153" t="s">
        <v>8442</v>
      </c>
      <c r="E21" s="153"/>
      <c r="H21" s="153"/>
    </row>
    <row r="22" spans="1:8" x14ac:dyDescent="0.2">
      <c r="A22" s="179"/>
      <c r="B22" s="267"/>
      <c r="C22" s="267"/>
      <c r="D22" s="153"/>
      <c r="E22" s="153"/>
      <c r="F22" s="153"/>
      <c r="G22" s="153"/>
      <c r="H22" s="153"/>
    </row>
    <row r="23" spans="1:8" x14ac:dyDescent="0.2">
      <c r="D23" s="153" t="s">
        <v>52</v>
      </c>
      <c r="E23" s="153"/>
      <c r="H23" s="153">
        <v>30</v>
      </c>
    </row>
    <row r="24" spans="1:8" x14ac:dyDescent="0.2">
      <c r="A24" s="198"/>
      <c r="B24" s="153"/>
      <c r="C24" s="153"/>
      <c r="D24" s="153"/>
      <c r="H24" s="153"/>
    </row>
    <row r="25" spans="1:8" x14ac:dyDescent="0.2">
      <c r="A25" s="199"/>
      <c r="B25" s="153"/>
      <c r="C25" s="153"/>
      <c r="D25" s="153"/>
      <c r="E25" s="153"/>
      <c r="H25" s="153"/>
    </row>
    <row r="26" spans="1:8" x14ac:dyDescent="0.2">
      <c r="A26" s="179"/>
    </row>
    <row r="27" spans="1:8" x14ac:dyDescent="0.2">
      <c r="B27" s="153"/>
      <c r="C27" s="153"/>
      <c r="D27" s="153"/>
      <c r="E27" s="153"/>
      <c r="H27" s="153"/>
    </row>
    <row r="28" spans="1:8" x14ac:dyDescent="0.2">
      <c r="A28" s="198"/>
      <c r="B28" s="153"/>
      <c r="C28" s="153"/>
      <c r="D28" s="163"/>
      <c r="E28" s="163"/>
      <c r="H28" s="153"/>
    </row>
    <row r="29" spans="1:8" x14ac:dyDescent="0.2">
      <c r="A29" s="199"/>
      <c r="B29" s="153"/>
      <c r="C29" s="153"/>
      <c r="D29" s="153"/>
      <c r="E29" s="153"/>
      <c r="H29" s="153"/>
    </row>
    <row r="30" spans="1:8" x14ac:dyDescent="0.2">
      <c r="A30" s="198"/>
      <c r="B30" s="153"/>
      <c r="C30" s="153"/>
      <c r="D30" s="153"/>
      <c r="E30" s="153"/>
      <c r="H30" s="153"/>
    </row>
    <row r="31" spans="1:8" x14ac:dyDescent="0.2">
      <c r="A31" s="199"/>
      <c r="B31" s="153"/>
      <c r="C31" s="153"/>
      <c r="D31" s="163"/>
      <c r="E31" s="163"/>
      <c r="H31" s="153"/>
    </row>
    <row r="32" spans="1:8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423">
        <f>SUM(H19:H34)</f>
        <v>75030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Seventy-Five Thousand Thirty and NO/100 -----------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7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3216</v>
      </c>
      <c r="D9" s="92" t="s">
        <v>1317</v>
      </c>
      <c r="E9" s="91" t="s">
        <v>3900</v>
      </c>
    </row>
    <row r="10" spans="1:6" x14ac:dyDescent="0.2">
      <c r="A10" s="91" t="s">
        <v>3217</v>
      </c>
      <c r="D10" s="92" t="s">
        <v>1329</v>
      </c>
      <c r="E10" s="91" t="s">
        <v>3902</v>
      </c>
    </row>
    <row r="11" spans="1:6" x14ac:dyDescent="0.2">
      <c r="A11" s="91" t="s">
        <v>3218</v>
      </c>
      <c r="D11" s="92" t="s">
        <v>1330</v>
      </c>
      <c r="E11" s="91" t="s">
        <v>1220</v>
      </c>
    </row>
    <row r="12" spans="1:6" x14ac:dyDescent="0.2">
      <c r="A12" s="91" t="s">
        <v>3219</v>
      </c>
      <c r="D12" s="92" t="s">
        <v>1331</v>
      </c>
      <c r="E12" s="94" t="s">
        <v>3901</v>
      </c>
    </row>
    <row r="13" spans="1:6" x14ac:dyDescent="0.2">
      <c r="A13" s="91" t="s">
        <v>3069</v>
      </c>
    </row>
    <row r="14" spans="1:6" x14ac:dyDescent="0.2">
      <c r="A14" s="91" t="s">
        <v>3220</v>
      </c>
    </row>
    <row r="15" spans="1:6" x14ac:dyDescent="0.2">
      <c r="A15" s="91" t="s">
        <v>3221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3841</v>
      </c>
    </row>
    <row r="19" spans="1:6" x14ac:dyDescent="0.2">
      <c r="A19" s="106"/>
      <c r="C19" s="2"/>
    </row>
    <row r="20" spans="1:6" x14ac:dyDescent="0.2">
      <c r="A20" s="93" t="s">
        <v>3903</v>
      </c>
      <c r="B20" s="99" t="s">
        <v>3904</v>
      </c>
      <c r="C20" s="91" t="s">
        <v>3842</v>
      </c>
      <c r="F20" s="91">
        <v>20000</v>
      </c>
    </row>
    <row r="21" spans="1:6" x14ac:dyDescent="0.2">
      <c r="A21" s="93"/>
      <c r="B21" s="94"/>
      <c r="C21" s="91" t="s">
        <v>3843</v>
      </c>
    </row>
    <row r="22" spans="1:6" x14ac:dyDescent="0.2">
      <c r="A22" s="93"/>
      <c r="B22" s="99"/>
      <c r="C22" s="91" t="s">
        <v>3844</v>
      </c>
    </row>
    <row r="24" spans="1:6" x14ac:dyDescent="0.2">
      <c r="C24" s="91" t="s">
        <v>3905</v>
      </c>
      <c r="F24" s="91">
        <v>-4880</v>
      </c>
    </row>
    <row r="25" spans="1:6" x14ac:dyDescent="0.2">
      <c r="A25" s="137"/>
      <c r="B25" s="99"/>
      <c r="C25" s="91" t="s">
        <v>3906</v>
      </c>
      <c r="F25" s="91">
        <v>-14880</v>
      </c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240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Hundred Forty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 codeName="Sheet616"/>
  <dimension ref="A1:H53"/>
  <sheetViews>
    <sheetView view="pageBreakPreview" topLeftCell="A5" zoomScaleNormal="100" zoomScaleSheetLayoutView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17.5703125" style="91" customWidth="1"/>
    <col min="5" max="5" width="1.42578125" style="91" customWidth="1"/>
    <col min="6" max="6" width="14.5703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5" t="s">
        <v>8576</v>
      </c>
    </row>
    <row r="10" spans="1:8" x14ac:dyDescent="0.2">
      <c r="A10" s="91" t="s">
        <v>5980</v>
      </c>
      <c r="F10" s="92" t="s">
        <v>1329</v>
      </c>
      <c r="G10" s="155" t="s">
        <v>8559</v>
      </c>
    </row>
    <row r="11" spans="1:8" x14ac:dyDescent="0.2">
      <c r="A11" s="91" t="s">
        <v>5981</v>
      </c>
      <c r="F11" s="92" t="s">
        <v>1330</v>
      </c>
      <c r="G11" s="155" t="s">
        <v>1220</v>
      </c>
    </row>
    <row r="12" spans="1:8" x14ac:dyDescent="0.2">
      <c r="A12" s="91" t="s">
        <v>5982</v>
      </c>
      <c r="F12" s="92" t="s">
        <v>1377</v>
      </c>
      <c r="G12" s="91" t="s">
        <v>8577</v>
      </c>
    </row>
    <row r="13" spans="1:8" x14ac:dyDescent="0.2">
      <c r="A13" s="94" t="s">
        <v>2513</v>
      </c>
      <c r="G13" s="91" t="s">
        <v>7931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5983</v>
      </c>
    </row>
    <row r="19" spans="1:8" x14ac:dyDescent="0.2">
      <c r="A19" s="106"/>
      <c r="B19" s="94"/>
    </row>
    <row r="20" spans="1:8" x14ac:dyDescent="0.2">
      <c r="A20" s="142" t="s">
        <v>8578</v>
      </c>
      <c r="B20" s="142" t="s">
        <v>8579</v>
      </c>
      <c r="C20" s="93"/>
      <c r="D20" s="91" t="s">
        <v>6454</v>
      </c>
      <c r="H20" s="91">
        <v>3000</v>
      </c>
    </row>
    <row r="21" spans="1:8" x14ac:dyDescent="0.2">
      <c r="A21" s="106"/>
      <c r="D21" s="94" t="s">
        <v>8580</v>
      </c>
      <c r="E21" s="94"/>
    </row>
    <row r="22" spans="1:8" x14ac:dyDescent="0.2">
      <c r="A22" s="106"/>
    </row>
    <row r="23" spans="1:8" x14ac:dyDescent="0.2">
      <c r="A23" s="106"/>
      <c r="D23" s="91" t="s">
        <v>2147</v>
      </c>
      <c r="H23" s="91">
        <f>H20*6%</f>
        <v>180</v>
      </c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  <c r="D26" s="94"/>
    </row>
    <row r="27" spans="1:8" x14ac:dyDescent="0.2">
      <c r="A27" s="1"/>
      <c r="B27" s="1"/>
      <c r="C27" s="1"/>
      <c r="D27" s="94"/>
      <c r="E27" s="94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06"/>
    </row>
    <row r="34" spans="1:8" ht="13.5" thickBot="1" x14ac:dyDescent="0.25">
      <c r="A34" s="106"/>
      <c r="H34" s="107">
        <f>SUM(H19:H32)</f>
        <v>3180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One Hundred Eighty and NO/100 -----------</v>
      </c>
      <c r="C36" s="185"/>
      <c r="D36" s="97"/>
      <c r="E36" s="97"/>
      <c r="F36" s="97"/>
      <c r="G36" s="222"/>
      <c r="H36" s="222"/>
    </row>
    <row r="37" spans="1:8" ht="20.100000000000001" customHeight="1" x14ac:dyDescent="0.2">
      <c r="A37" s="113"/>
      <c r="B37" s="103"/>
      <c r="C37" s="103"/>
      <c r="D37" s="61"/>
      <c r="E37" s="61"/>
      <c r="F37" s="61"/>
      <c r="G37" s="222"/>
      <c r="H37" s="222"/>
    </row>
    <row r="38" spans="1:8" ht="25.5" x14ac:dyDescent="0.2">
      <c r="A38" s="94" t="s">
        <v>3973</v>
      </c>
      <c r="F38" s="218" t="s">
        <v>3975</v>
      </c>
      <c r="G38" s="219"/>
      <c r="H38" s="220"/>
    </row>
    <row r="39" spans="1:8" x14ac:dyDescent="0.2">
      <c r="F39" s="228"/>
      <c r="G39" s="229"/>
      <c r="H39" s="229"/>
    </row>
    <row r="40" spans="1:8" x14ac:dyDescent="0.2">
      <c r="A40" s="1"/>
      <c r="D40" s="99"/>
      <c r="E40" s="99"/>
    </row>
    <row r="41" spans="1:8" x14ac:dyDescent="0.2">
      <c r="A41" s="91" t="s">
        <v>120</v>
      </c>
      <c r="D41" s="99"/>
      <c r="E41" s="99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 codeName="Sheet2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1145</v>
      </c>
    </row>
    <row r="10" spans="1:6" x14ac:dyDescent="0.2">
      <c r="A10" s="1" t="s">
        <v>1144</v>
      </c>
      <c r="D10" s="20" t="s">
        <v>27</v>
      </c>
      <c r="E10" s="20" t="s">
        <v>280</v>
      </c>
    </row>
    <row r="11" spans="1:6" x14ac:dyDescent="0.2">
      <c r="A11" s="1" t="s">
        <v>1143</v>
      </c>
      <c r="D11" s="20" t="s">
        <v>24</v>
      </c>
      <c r="E11" s="20" t="s">
        <v>23</v>
      </c>
    </row>
    <row r="12" spans="1:6" x14ac:dyDescent="0.2">
      <c r="A12" s="1" t="s">
        <v>1142</v>
      </c>
      <c r="D12" s="20" t="s">
        <v>22</v>
      </c>
      <c r="E12" s="19" t="s">
        <v>1141</v>
      </c>
    </row>
    <row r="13" spans="1:6" x14ac:dyDescent="0.2">
      <c r="A13" s="1" t="s">
        <v>1140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1139</v>
      </c>
    </row>
    <row r="21" spans="1:6" x14ac:dyDescent="0.2">
      <c r="C21" s="13" t="s">
        <v>1138</v>
      </c>
    </row>
    <row r="22" spans="1:6" x14ac:dyDescent="0.2">
      <c r="C22" s="12"/>
    </row>
    <row r="24" spans="1:6" x14ac:dyDescent="0.2">
      <c r="A24" s="1" t="s">
        <v>1137</v>
      </c>
      <c r="C24" s="8" t="s">
        <v>1136</v>
      </c>
      <c r="F24" s="1">
        <v>14000</v>
      </c>
    </row>
    <row r="25" spans="1:6" x14ac:dyDescent="0.2">
      <c r="C25" s="1" t="s">
        <v>1135</v>
      </c>
    </row>
    <row r="26" spans="1:6" x14ac:dyDescent="0.2">
      <c r="B26" s="8"/>
      <c r="C26" s="21"/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14000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1134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 topLeftCell="A1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sheetPr codeName="Sheet2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1163</v>
      </c>
    </row>
    <row r="10" spans="1:6" x14ac:dyDescent="0.2">
      <c r="A10" s="21" t="s">
        <v>1162</v>
      </c>
      <c r="D10" s="20" t="s">
        <v>27</v>
      </c>
      <c r="E10" s="20" t="s">
        <v>559</v>
      </c>
    </row>
    <row r="11" spans="1:6" x14ac:dyDescent="0.2">
      <c r="A11" s="21" t="s">
        <v>1161</v>
      </c>
      <c r="D11" s="20" t="s">
        <v>24</v>
      </c>
      <c r="E11" s="20" t="s">
        <v>23</v>
      </c>
    </row>
    <row r="12" spans="1:6" x14ac:dyDescent="0.2">
      <c r="A12" s="21" t="s">
        <v>1160</v>
      </c>
      <c r="D12" s="20" t="s">
        <v>22</v>
      </c>
      <c r="E12" s="19" t="s">
        <v>1159</v>
      </c>
    </row>
    <row r="13" spans="1:6" x14ac:dyDescent="0.2">
      <c r="A13" s="21" t="s">
        <v>524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958</v>
      </c>
    </row>
    <row r="21" spans="1:6" x14ac:dyDescent="0.2">
      <c r="C21" s="21"/>
    </row>
    <row r="22" spans="1:6" x14ac:dyDescent="0.2">
      <c r="C22" s="21"/>
    </row>
    <row r="23" spans="1:6" x14ac:dyDescent="0.2">
      <c r="C23" s="21"/>
    </row>
    <row r="24" spans="1:6" x14ac:dyDescent="0.2">
      <c r="A24" s="21" t="s">
        <v>1158</v>
      </c>
      <c r="C24" s="21" t="s">
        <v>1157</v>
      </c>
      <c r="F24" s="1">
        <v>150</v>
      </c>
    </row>
    <row r="25" spans="1:6" x14ac:dyDescent="0.2">
      <c r="C25" s="1" t="s">
        <v>1156</v>
      </c>
      <c r="F25" s="1">
        <v>1500</v>
      </c>
    </row>
    <row r="26" spans="1:6" x14ac:dyDescent="0.2">
      <c r="C26" s="1" t="s">
        <v>1155</v>
      </c>
      <c r="F26" s="1">
        <v>850</v>
      </c>
    </row>
    <row r="27" spans="1:6" x14ac:dyDescent="0.2">
      <c r="A27" s="21"/>
      <c r="C27" s="21"/>
    </row>
    <row r="28" spans="1:6" x14ac:dyDescent="0.2">
      <c r="C28" s="12"/>
      <c r="F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2500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24" t="s">
        <v>790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sheetPr codeName="Sheet711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465</v>
      </c>
    </row>
    <row r="10" spans="1:6" x14ac:dyDescent="0.2">
      <c r="A10" s="1" t="s">
        <v>464</v>
      </c>
      <c r="D10" s="20" t="s">
        <v>27</v>
      </c>
      <c r="E10" s="20" t="s">
        <v>463</v>
      </c>
    </row>
    <row r="11" spans="1:6" x14ac:dyDescent="0.2">
      <c r="A11" s="1" t="s">
        <v>462</v>
      </c>
      <c r="D11" s="20" t="s">
        <v>24</v>
      </c>
      <c r="E11" s="20" t="s">
        <v>23</v>
      </c>
    </row>
    <row r="12" spans="1:6" x14ac:dyDescent="0.2">
      <c r="A12" s="1" t="s">
        <v>461</v>
      </c>
      <c r="D12" s="20" t="s">
        <v>22</v>
      </c>
      <c r="E12" s="20" t="s">
        <v>460</v>
      </c>
    </row>
    <row r="13" spans="1:6" x14ac:dyDescent="0.2">
      <c r="A13" s="1" t="s">
        <v>459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458</v>
      </c>
    </row>
    <row r="20" spans="1:6" x14ac:dyDescent="0.2">
      <c r="C20" s="13" t="s">
        <v>457</v>
      </c>
    </row>
    <row r="22" spans="1:6" x14ac:dyDescent="0.2">
      <c r="A22" s="8" t="s">
        <v>456</v>
      </c>
      <c r="C22" s="21" t="s">
        <v>455</v>
      </c>
      <c r="F22" s="1">
        <v>1400</v>
      </c>
    </row>
    <row r="23" spans="1:6" x14ac:dyDescent="0.2">
      <c r="C23" s="1" t="s">
        <v>454</v>
      </c>
      <c r="F23" s="1">
        <v>400</v>
      </c>
    </row>
    <row r="24" spans="1:6" x14ac:dyDescent="0.2">
      <c r="C24" s="8" t="s">
        <v>453</v>
      </c>
      <c r="F24" s="1">
        <v>360</v>
      </c>
    </row>
    <row r="25" spans="1:6" x14ac:dyDescent="0.2">
      <c r="C25" s="8" t="s">
        <v>452</v>
      </c>
      <c r="F25" s="1">
        <v>108</v>
      </c>
    </row>
    <row r="26" spans="1:6" x14ac:dyDescent="0.2">
      <c r="C26" s="8" t="s">
        <v>451</v>
      </c>
      <c r="F26" s="1">
        <v>216</v>
      </c>
    </row>
    <row r="32" spans="1:6" ht="13.5" thickBot="1" x14ac:dyDescent="0.25">
      <c r="F32" s="11">
        <f>SUM(F18:F31)</f>
        <v>2484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450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sheetPr codeName="Sheet548">
    <pageSetUpPr fitToPage="1"/>
  </sheetPr>
  <dimension ref="A1:H54"/>
  <sheetViews>
    <sheetView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1" style="91" customWidth="1"/>
    <col min="4" max="4" width="21" style="91" customWidth="1"/>
    <col min="5" max="5" width="1.425781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6023</v>
      </c>
    </row>
    <row r="10" spans="1:8" x14ac:dyDescent="0.2">
      <c r="A10" s="91" t="s">
        <v>5345</v>
      </c>
      <c r="F10" s="92" t="s">
        <v>1444</v>
      </c>
      <c r="G10" s="92" t="s">
        <v>6012</v>
      </c>
    </row>
    <row r="11" spans="1:8" x14ac:dyDescent="0.2">
      <c r="A11" s="91" t="s">
        <v>5346</v>
      </c>
      <c r="F11" s="92" t="s">
        <v>1431</v>
      </c>
      <c r="G11" s="92" t="s">
        <v>1220</v>
      </c>
    </row>
    <row r="12" spans="1:8" x14ac:dyDescent="0.2">
      <c r="A12" s="91" t="s">
        <v>5347</v>
      </c>
      <c r="F12" s="92" t="s">
        <v>1268</v>
      </c>
      <c r="G12" s="92" t="s">
        <v>6024</v>
      </c>
    </row>
    <row r="13" spans="1:8" x14ac:dyDescent="0.2">
      <c r="A13" s="91" t="s">
        <v>3943</v>
      </c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11"/>
      <c r="B18" s="93"/>
      <c r="C18" s="93"/>
      <c r="D18" s="2" t="s">
        <v>5348</v>
      </c>
      <c r="E18" s="2"/>
    </row>
    <row r="20" spans="1:8" x14ac:dyDescent="0.2">
      <c r="A20" s="111" t="s">
        <v>5911</v>
      </c>
      <c r="B20" s="111" t="s">
        <v>6025</v>
      </c>
      <c r="C20" s="111"/>
      <c r="D20" s="91" t="s">
        <v>6026</v>
      </c>
      <c r="H20" s="110">
        <v>53760</v>
      </c>
    </row>
    <row r="21" spans="1:8" x14ac:dyDescent="0.2">
      <c r="A21" s="111"/>
      <c r="B21" s="93"/>
      <c r="C21" s="93"/>
      <c r="D21" s="91" t="s">
        <v>5830</v>
      </c>
    </row>
    <row r="22" spans="1:8" x14ac:dyDescent="0.2">
      <c r="D22" s="143"/>
      <c r="E22" s="143"/>
    </row>
    <row r="23" spans="1:8" x14ac:dyDescent="0.2">
      <c r="D23" s="91" t="s">
        <v>2147</v>
      </c>
      <c r="H23" s="91">
        <f>H20*6%</f>
        <v>3225.6</v>
      </c>
    </row>
    <row r="25" spans="1:8" x14ac:dyDescent="0.2">
      <c r="D25" s="2"/>
      <c r="E25" s="2"/>
      <c r="H25" s="110"/>
    </row>
    <row r="26" spans="1:8" x14ac:dyDescent="0.2">
      <c r="H26" s="110"/>
    </row>
    <row r="27" spans="1:8" x14ac:dyDescent="0.2">
      <c r="A27" s="93"/>
      <c r="B27" s="99"/>
      <c r="C27" s="99"/>
      <c r="H27" s="110"/>
    </row>
    <row r="29" spans="1:8" x14ac:dyDescent="0.2">
      <c r="A29" s="111"/>
      <c r="B29" s="93"/>
      <c r="C29" s="93"/>
    </row>
    <row r="31" spans="1:8" x14ac:dyDescent="0.2">
      <c r="A31" s="108"/>
    </row>
    <row r="35" spans="1:8" ht="13.5" thickBot="1" x14ac:dyDescent="0.25">
      <c r="H35" s="95">
        <f>SUM(H20:H33)</f>
        <v>56985.599999999999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Fifty-Six Thousand Nine Hundred Eighty-Five and 60/100 -----------</v>
      </c>
      <c r="C37" s="185"/>
      <c r="D37" s="97"/>
      <c r="E37" s="222"/>
      <c r="F37" s="222"/>
      <c r="G37" s="222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D41" s="99"/>
      <c r="E41" s="99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F49D-C8D3-4D54-9BCB-170FDAD141B4}">
  <sheetPr>
    <tabColor rgb="FFFFFF00"/>
    <pageSetUpPr fitToPage="1"/>
  </sheetPr>
  <dimension ref="A1:H52"/>
  <sheetViews>
    <sheetView topLeftCell="A4" workbookViewId="0">
      <selection activeCell="H33" sqref="H33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1" style="91" customWidth="1"/>
    <col min="4" max="4" width="21" style="91" customWidth="1"/>
    <col min="5" max="5" width="0.7109375" style="91" customWidth="1"/>
    <col min="6" max="6" width="16.42578125" style="91" customWidth="1"/>
    <col min="7" max="7" width="7.8554687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1393</v>
      </c>
      <c r="G9" s="91" t="s">
        <v>8963</v>
      </c>
    </row>
    <row r="10" spans="1:8" x14ac:dyDescent="0.2">
      <c r="A10" s="91" t="s">
        <v>1479</v>
      </c>
      <c r="F10" s="92" t="s">
        <v>1356</v>
      </c>
      <c r="G10" s="94" t="s">
        <v>8945</v>
      </c>
    </row>
    <row r="11" spans="1:8" x14ac:dyDescent="0.2">
      <c r="A11" s="91" t="s">
        <v>1480</v>
      </c>
      <c r="F11" s="92" t="s">
        <v>1364</v>
      </c>
      <c r="G11" s="91" t="s">
        <v>1220</v>
      </c>
    </row>
    <row r="12" spans="1:8" x14ac:dyDescent="0.2">
      <c r="F12" s="92" t="s">
        <v>1394</v>
      </c>
      <c r="G12" s="91" t="s">
        <v>8964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20</v>
      </c>
      <c r="B16" s="17"/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09"/>
      <c r="D18" s="2" t="s">
        <v>8966</v>
      </c>
      <c r="E18" s="2"/>
    </row>
    <row r="19" spans="1:8" x14ac:dyDescent="0.2">
      <c r="A19" s="133"/>
      <c r="B19" s="93"/>
      <c r="C19" s="93"/>
      <c r="D19" s="2"/>
      <c r="E19" s="2"/>
    </row>
    <row r="20" spans="1:8" x14ac:dyDescent="0.2">
      <c r="A20" s="133" t="s">
        <v>4249</v>
      </c>
      <c r="B20" s="517"/>
      <c r="C20" s="517"/>
      <c r="D20" s="91" t="s">
        <v>4732</v>
      </c>
      <c r="E20" s="2"/>
      <c r="H20" s="91">
        <v>120</v>
      </c>
    </row>
    <row r="21" spans="1:8" x14ac:dyDescent="0.2">
      <c r="A21" s="91" t="s">
        <v>8965</v>
      </c>
      <c r="D21" s="91" t="s">
        <v>8967</v>
      </c>
      <c r="H21" s="91">
        <v>377.2</v>
      </c>
    </row>
    <row r="22" spans="1:8" x14ac:dyDescent="0.2">
      <c r="A22" s="136"/>
      <c r="B22" s="93"/>
      <c r="C22" s="93"/>
    </row>
    <row r="23" spans="1:8" x14ac:dyDescent="0.2">
      <c r="A23" s="136"/>
      <c r="B23" s="517"/>
      <c r="C23" s="517"/>
    </row>
    <row r="24" spans="1:8" x14ac:dyDescent="0.2">
      <c r="A24" s="109"/>
      <c r="B24" s="93"/>
      <c r="C24" s="93"/>
    </row>
    <row r="25" spans="1:8" x14ac:dyDescent="0.2">
      <c r="A25" s="109"/>
      <c r="B25" s="93"/>
      <c r="C25" s="93"/>
    </row>
    <row r="26" spans="1:8" x14ac:dyDescent="0.2">
      <c r="A26" s="109"/>
      <c r="B26" s="517"/>
      <c r="C26" s="517"/>
    </row>
    <row r="27" spans="1:8" x14ac:dyDescent="0.2">
      <c r="A27" s="109"/>
      <c r="B27" s="517"/>
      <c r="C27" s="517"/>
    </row>
    <row r="28" spans="1:8" x14ac:dyDescent="0.2">
      <c r="A28" s="109"/>
      <c r="B28" s="517"/>
      <c r="C28" s="517"/>
    </row>
    <row r="29" spans="1:8" x14ac:dyDescent="0.2">
      <c r="A29" s="109"/>
      <c r="B29" s="517"/>
      <c r="C29" s="517"/>
    </row>
    <row r="30" spans="1:8" x14ac:dyDescent="0.2">
      <c r="A30" s="109"/>
      <c r="B30" s="517"/>
      <c r="C30" s="517"/>
    </row>
    <row r="31" spans="1:8" x14ac:dyDescent="0.2">
      <c r="A31" s="109"/>
    </row>
    <row r="32" spans="1:8" x14ac:dyDescent="0.2">
      <c r="A32" s="109"/>
    </row>
    <row r="33" spans="1:8" ht="13.5" thickBot="1" x14ac:dyDescent="0.25">
      <c r="A33" s="109"/>
      <c r="H33" s="95">
        <f>SUM(H18:H32)</f>
        <v>497.2</v>
      </c>
    </row>
    <row r="34" spans="1:8" ht="13.5" thickTop="1" x14ac:dyDescent="0.2">
      <c r="H34" s="101"/>
    </row>
    <row r="35" spans="1:8" ht="20.100000000000001" customHeight="1" x14ac:dyDescent="0.2">
      <c r="A35" s="96" t="s">
        <v>122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 Hundred Ninety-Seven and 20/100 -----------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517"/>
      <c r="E40" s="517"/>
      <c r="F40" s="228"/>
      <c r="G40" s="229"/>
      <c r="H40" s="229"/>
    </row>
    <row r="41" spans="1:8" x14ac:dyDescent="0.2">
      <c r="A41" s="101"/>
      <c r="B41" s="101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D47" s="101"/>
      <c r="F47" s="101"/>
      <c r="G47" s="101"/>
      <c r="H47" s="101"/>
    </row>
    <row r="48" spans="1:8" s="61" customFormat="1" ht="17.100000000000001" customHeight="1" x14ac:dyDescent="0.2">
      <c r="A48" s="61" t="s">
        <v>4066</v>
      </c>
      <c r="B48" s="104"/>
      <c r="C48" s="104"/>
      <c r="D48" s="61" t="s">
        <v>50</v>
      </c>
      <c r="F48" s="61" t="s">
        <v>3</v>
      </c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sheetPr codeName="Sheet630">
    <pageSetUpPr fitToPage="1"/>
  </sheetPr>
  <dimension ref="A1:H53"/>
  <sheetViews>
    <sheetView topLeftCell="A10"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9" width="9.140625" style="152"/>
    <col min="10" max="10" width="9.42578125" style="152" bestFit="1" customWidth="1"/>
    <col min="11" max="11" width="9.140625" style="152"/>
    <col min="12" max="12" width="10.42578125" style="152" bestFit="1" customWidth="1"/>
    <col min="13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A9" s="153" t="s">
        <v>6221</v>
      </c>
      <c r="F9" s="155" t="s">
        <v>1317</v>
      </c>
      <c r="G9" s="91" t="s">
        <v>6411</v>
      </c>
    </row>
    <row r="10" spans="1:8" x14ac:dyDescent="0.2">
      <c r="A10" s="153" t="s">
        <v>6222</v>
      </c>
      <c r="F10" s="155" t="s">
        <v>1329</v>
      </c>
      <c r="G10" s="92" t="s">
        <v>6412</v>
      </c>
    </row>
    <row r="11" spans="1:8" x14ac:dyDescent="0.2">
      <c r="A11" s="153" t="s">
        <v>6223</v>
      </c>
      <c r="F11" s="155" t="s">
        <v>1330</v>
      </c>
      <c r="G11" s="92" t="s">
        <v>1220</v>
      </c>
    </row>
    <row r="12" spans="1:8" x14ac:dyDescent="0.2">
      <c r="A12" s="153" t="s">
        <v>6224</v>
      </c>
      <c r="F12" s="155" t="s">
        <v>1331</v>
      </c>
      <c r="G12" s="94" t="s">
        <v>770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291"/>
      <c r="B18" s="285"/>
      <c r="C18" s="168"/>
      <c r="D18" s="163" t="s">
        <v>6075</v>
      </c>
      <c r="E18" s="163"/>
    </row>
    <row r="19" spans="1:8" x14ac:dyDescent="0.2">
      <c r="A19" s="164"/>
      <c r="E19" s="163"/>
    </row>
    <row r="20" spans="1:8" x14ac:dyDescent="0.2">
      <c r="A20" s="168" t="s">
        <v>6413</v>
      </c>
      <c r="B20" s="168" t="s">
        <v>6414</v>
      </c>
      <c r="D20" s="153" t="s">
        <v>6225</v>
      </c>
      <c r="H20" s="153">
        <f>1708*3.976</f>
        <v>6791.0079999999998</v>
      </c>
    </row>
    <row r="21" spans="1:8" x14ac:dyDescent="0.2">
      <c r="A21" s="164"/>
      <c r="D21" s="153" t="s">
        <v>6441</v>
      </c>
    </row>
    <row r="22" spans="1:8" x14ac:dyDescent="0.2">
      <c r="A22" s="164"/>
    </row>
    <row r="23" spans="1:8" x14ac:dyDescent="0.2">
      <c r="A23" s="168"/>
      <c r="B23" s="173"/>
      <c r="E23" s="163"/>
    </row>
    <row r="24" spans="1:8" x14ac:dyDescent="0.2">
      <c r="A24" s="166"/>
      <c r="B24" s="168"/>
      <c r="C24" s="168"/>
      <c r="D24" s="153" t="s">
        <v>52</v>
      </c>
      <c r="H24" s="153">
        <v>20</v>
      </c>
    </row>
    <row r="25" spans="1:8" x14ac:dyDescent="0.2">
      <c r="A25" s="164"/>
    </row>
    <row r="26" spans="1:8" x14ac:dyDescent="0.2">
      <c r="A26" s="164"/>
      <c r="D26" s="153" t="s">
        <v>2147</v>
      </c>
      <c r="H26" s="153">
        <v>1.2</v>
      </c>
    </row>
    <row r="27" spans="1:8" x14ac:dyDescent="0.2">
      <c r="A27" s="168"/>
      <c r="D27" s="163"/>
      <c r="E27" s="163"/>
    </row>
    <row r="29" spans="1:8" x14ac:dyDescent="0.2">
      <c r="A29" s="168"/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6812.2079999999996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 Thousand Eight Hundred Twelve and 21/100 -----------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6" t="s">
        <v>10</v>
      </c>
      <c r="D37" s="156"/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F44" s="175" t="s">
        <v>7</v>
      </c>
      <c r="H44" s="176"/>
    </row>
    <row r="48" spans="1:8" x14ac:dyDescent="0.2">
      <c r="A48" s="174"/>
      <c r="B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/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3650-AA47-411B-BC8C-1FC92B38CE14}">
  <sheetPr codeName="Sheet713"/>
  <dimension ref="A1:N55"/>
  <sheetViews>
    <sheetView topLeftCell="A4" zoomScaleNormal="100" zoomScaleSheetLayoutView="100" workbookViewId="0">
      <selection activeCell="E9" sqref="E9:E12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4.7109375" style="91" customWidth="1"/>
    <col min="5" max="5" width="9" style="91" customWidth="1"/>
    <col min="6" max="6" width="13.28515625" style="91" customWidth="1"/>
    <col min="7" max="10" width="9.140625" style="1"/>
    <col min="11" max="11" width="20" style="1" customWidth="1"/>
    <col min="12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A9" s="91" t="s">
        <v>7305</v>
      </c>
      <c r="D9" s="92" t="s">
        <v>1317</v>
      </c>
      <c r="E9" s="155" t="s">
        <v>7454</v>
      </c>
    </row>
    <row r="10" spans="1:12" x14ac:dyDescent="0.2">
      <c r="A10" s="91" t="s">
        <v>7306</v>
      </c>
      <c r="D10" s="92" t="s">
        <v>1329</v>
      </c>
      <c r="E10" s="155" t="s">
        <v>7448</v>
      </c>
    </row>
    <row r="11" spans="1:12" x14ac:dyDescent="0.2">
      <c r="A11" s="91" t="s">
        <v>7307</v>
      </c>
      <c r="D11" s="92" t="s">
        <v>1330</v>
      </c>
      <c r="E11" s="155" t="s">
        <v>1220</v>
      </c>
    </row>
    <row r="12" spans="1:12" x14ac:dyDescent="0.2">
      <c r="A12" s="91" t="s">
        <v>7308</v>
      </c>
      <c r="D12" s="92" t="s">
        <v>1331</v>
      </c>
      <c r="E12" s="91" t="s">
        <v>7455</v>
      </c>
    </row>
    <row r="13" spans="1:12" x14ac:dyDescent="0.2">
      <c r="A13" s="91" t="s">
        <v>7309</v>
      </c>
    </row>
    <row r="14" spans="1:12" x14ac:dyDescent="0.2">
      <c r="A14" s="91" t="s">
        <v>7310</v>
      </c>
    </row>
    <row r="15" spans="1:12" x14ac:dyDescent="0.2">
      <c r="I15" s="91"/>
      <c r="J15" s="91"/>
      <c r="K15" s="91"/>
      <c r="L15" s="91"/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I16" s="91"/>
      <c r="J16" s="91"/>
      <c r="K16" s="91"/>
      <c r="L16" s="91"/>
    </row>
    <row r="17" spans="1:14" x14ac:dyDescent="0.2">
      <c r="A17" s="106"/>
      <c r="I17" s="91"/>
      <c r="J17" s="91"/>
      <c r="K17" s="91"/>
      <c r="L17" s="91"/>
    </row>
    <row r="18" spans="1:14" x14ac:dyDescent="0.2">
      <c r="C18" s="2" t="s">
        <v>7458</v>
      </c>
      <c r="I18" s="91"/>
      <c r="J18" s="91"/>
      <c r="K18" s="91"/>
      <c r="L18" s="91"/>
    </row>
    <row r="19" spans="1:14" x14ac:dyDescent="0.2">
      <c r="A19" s="106"/>
      <c r="C19" s="2"/>
      <c r="I19" s="91"/>
      <c r="J19" s="91"/>
      <c r="K19" s="91"/>
      <c r="L19" s="91"/>
    </row>
    <row r="20" spans="1:14" x14ac:dyDescent="0.2">
      <c r="A20" s="93" t="s">
        <v>7456</v>
      </c>
      <c r="B20" s="93" t="s">
        <v>7457</v>
      </c>
      <c r="C20" s="91" t="s">
        <v>7459</v>
      </c>
      <c r="F20" s="91">
        <v>7000</v>
      </c>
    </row>
    <row r="21" spans="1:14" x14ac:dyDescent="0.2">
      <c r="A21" s="93"/>
      <c r="B21" s="94"/>
      <c r="C21" s="91" t="s">
        <v>7440</v>
      </c>
      <c r="F21" s="91">
        <v>3000</v>
      </c>
      <c r="I21" s="91"/>
      <c r="J21" s="91"/>
      <c r="K21" s="91"/>
      <c r="L21" s="91"/>
    </row>
    <row r="22" spans="1:14" x14ac:dyDescent="0.2">
      <c r="A22" s="93"/>
      <c r="B22" s="94"/>
      <c r="I22" s="91"/>
      <c r="J22" s="91"/>
      <c r="K22" s="91"/>
      <c r="L22" s="91"/>
    </row>
    <row r="23" spans="1:14" x14ac:dyDescent="0.2">
      <c r="I23" s="91"/>
      <c r="J23" s="91"/>
      <c r="K23" s="91"/>
      <c r="L23" s="91"/>
    </row>
    <row r="24" spans="1:14" x14ac:dyDescent="0.2">
      <c r="I24" s="91"/>
      <c r="J24" s="91"/>
      <c r="K24" s="91"/>
      <c r="L24" s="91"/>
    </row>
    <row r="25" spans="1:14" x14ac:dyDescent="0.2">
      <c r="A25" s="137"/>
      <c r="B25" s="99"/>
      <c r="I25" s="91"/>
      <c r="J25" s="91"/>
      <c r="K25" s="91"/>
      <c r="L25" s="91"/>
    </row>
    <row r="26" spans="1:14" x14ac:dyDescent="0.2">
      <c r="A26" s="93"/>
      <c r="B26" s="93"/>
      <c r="I26" s="91"/>
      <c r="J26" s="91"/>
      <c r="K26" s="91"/>
      <c r="L26" s="91"/>
    </row>
    <row r="27" spans="1:14" x14ac:dyDescent="0.2">
      <c r="A27" s="93"/>
      <c r="B27" s="94"/>
      <c r="I27" s="91"/>
      <c r="J27" s="91"/>
      <c r="K27" s="91"/>
      <c r="L27" s="91"/>
    </row>
    <row r="28" spans="1:14" x14ac:dyDescent="0.2">
      <c r="I28" s="91"/>
      <c r="J28" s="91"/>
      <c r="K28" s="91"/>
      <c r="L28" s="91"/>
    </row>
    <row r="29" spans="1:14" x14ac:dyDescent="0.2">
      <c r="I29" s="91"/>
      <c r="J29" s="91"/>
      <c r="K29" s="91"/>
      <c r="L29" s="91"/>
    </row>
    <row r="30" spans="1:14" x14ac:dyDescent="0.2">
      <c r="I30" s="91"/>
      <c r="J30" s="91"/>
      <c r="K30" s="91"/>
      <c r="L30" s="91"/>
    </row>
    <row r="31" spans="1:14" x14ac:dyDescent="0.2">
      <c r="A31" s="93"/>
      <c r="B31" s="94"/>
      <c r="I31" s="91"/>
      <c r="J31" s="91"/>
      <c r="K31" s="91"/>
      <c r="L31" s="91"/>
    </row>
    <row r="32" spans="1:14" x14ac:dyDescent="0.2">
      <c r="A32" s="93"/>
      <c r="B32" s="93"/>
      <c r="I32" s="106"/>
      <c r="J32" s="91"/>
      <c r="K32" s="2"/>
      <c r="L32" s="91"/>
      <c r="M32" s="91"/>
      <c r="N32" s="91"/>
    </row>
    <row r="33" spans="1:14" x14ac:dyDescent="0.2">
      <c r="A33" s="106"/>
      <c r="I33" s="91"/>
      <c r="J33" s="93"/>
      <c r="L33" s="91"/>
      <c r="M33" s="91"/>
    </row>
    <row r="34" spans="1:14" x14ac:dyDescent="0.2">
      <c r="A34" s="93"/>
      <c r="B34" s="93"/>
      <c r="I34" s="91"/>
      <c r="J34" s="94"/>
      <c r="L34" s="91"/>
      <c r="M34" s="91"/>
    </row>
    <row r="35" spans="1:14" x14ac:dyDescent="0.2">
      <c r="A35" s="106"/>
      <c r="I35" s="91"/>
      <c r="J35" s="94"/>
      <c r="L35" s="91"/>
      <c r="M35" s="91"/>
    </row>
    <row r="36" spans="1:14" ht="13.5" thickBot="1" x14ac:dyDescent="0.25">
      <c r="A36" s="106"/>
      <c r="F36" s="107">
        <f>SUM(F19:F35)</f>
        <v>10000</v>
      </c>
      <c r="I36" s="91"/>
      <c r="J36" s="91"/>
      <c r="L36" s="91"/>
      <c r="M36" s="91"/>
    </row>
    <row r="37" spans="1:14" ht="13.5" thickTop="1" x14ac:dyDescent="0.2">
      <c r="A37" s="106"/>
      <c r="F37" s="238"/>
      <c r="I37" s="91"/>
      <c r="J37" s="99"/>
      <c r="L37" s="91"/>
      <c r="M37" s="91"/>
    </row>
    <row r="38" spans="1:14" ht="20.100000000000001" customHeight="1" x14ac:dyDescent="0.2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Ten Thousand and NO/100 -----------</v>
      </c>
      <c r="C38" s="97"/>
      <c r="D38" s="206"/>
      <c r="E38" s="206"/>
      <c r="F38" s="206"/>
      <c r="I38" s="91"/>
      <c r="J38" s="91"/>
      <c r="K38" s="91"/>
      <c r="L38" s="91"/>
      <c r="M38" s="91"/>
      <c r="N38" s="91"/>
    </row>
    <row r="39" spans="1:14" x14ac:dyDescent="0.2">
      <c r="A39" s="94"/>
    </row>
    <row r="40" spans="1:14" ht="25.5" x14ac:dyDescent="0.2">
      <c r="A40" s="91" t="s">
        <v>10</v>
      </c>
      <c r="D40" s="218" t="s">
        <v>3975</v>
      </c>
      <c r="E40" s="219"/>
      <c r="F40" s="220"/>
    </row>
    <row r="41" spans="1:14" x14ac:dyDescent="0.2">
      <c r="D41" s="227"/>
      <c r="E41" s="227"/>
      <c r="F41" s="227"/>
    </row>
    <row r="42" spans="1:14" x14ac:dyDescent="0.2">
      <c r="D42" s="228"/>
      <c r="E42" s="229"/>
      <c r="F42" s="229"/>
    </row>
    <row r="43" spans="1:14" x14ac:dyDescent="0.2">
      <c r="A43" s="1"/>
    </row>
    <row r="44" spans="1:14" x14ac:dyDescent="0.2">
      <c r="A44" s="101"/>
      <c r="B44" s="101"/>
    </row>
    <row r="46" spans="1:14" x14ac:dyDescent="0.2">
      <c r="A46" s="91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sheetPr codeName="Sheet592">
    <pageSetUpPr fitToPage="1"/>
  </sheetPr>
  <dimension ref="A1:H54"/>
  <sheetViews>
    <sheetView topLeftCell="A16"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1" style="91" customWidth="1"/>
    <col min="4" max="4" width="21" style="91" customWidth="1"/>
    <col min="5" max="5" width="1.425781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5849</v>
      </c>
    </row>
    <row r="10" spans="1:8" x14ac:dyDescent="0.2">
      <c r="A10" s="91" t="s">
        <v>5850</v>
      </c>
      <c r="F10" s="92" t="s">
        <v>1444</v>
      </c>
      <c r="G10" s="92" t="s">
        <v>5812</v>
      </c>
    </row>
    <row r="11" spans="1:8" x14ac:dyDescent="0.2">
      <c r="A11" s="91" t="s">
        <v>5851</v>
      </c>
      <c r="F11" s="92" t="s">
        <v>1431</v>
      </c>
      <c r="G11" s="91" t="s">
        <v>1220</v>
      </c>
    </row>
    <row r="12" spans="1:8" x14ac:dyDescent="0.2">
      <c r="A12" s="91" t="s">
        <v>5852</v>
      </c>
      <c r="F12" s="92" t="s">
        <v>1268</v>
      </c>
      <c r="G12" s="94" t="s">
        <v>770</v>
      </c>
    </row>
    <row r="13" spans="1:8" x14ac:dyDescent="0.2">
      <c r="A13" s="91" t="s">
        <v>5853</v>
      </c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11"/>
      <c r="B18" s="93"/>
      <c r="C18" s="93"/>
      <c r="D18" s="2" t="s">
        <v>5854</v>
      </c>
      <c r="E18" s="2"/>
    </row>
    <row r="20" spans="1:8" x14ac:dyDescent="0.2">
      <c r="A20" s="111" t="s">
        <v>5806</v>
      </c>
      <c r="B20" s="111" t="s">
        <v>5855</v>
      </c>
      <c r="C20" s="111"/>
      <c r="D20" s="91" t="s">
        <v>5856</v>
      </c>
      <c r="H20" s="110">
        <f>13500*4.3218</f>
        <v>58344.299999999996</v>
      </c>
    </row>
    <row r="21" spans="1:8" x14ac:dyDescent="0.2">
      <c r="A21" s="111"/>
      <c r="B21" s="93"/>
      <c r="C21" s="93"/>
      <c r="D21" s="91" t="s">
        <v>5857</v>
      </c>
    </row>
    <row r="22" spans="1:8" x14ac:dyDescent="0.2">
      <c r="D22" s="143"/>
      <c r="E22" s="143"/>
    </row>
    <row r="23" spans="1:8" x14ac:dyDescent="0.2">
      <c r="D23" s="91" t="s">
        <v>52</v>
      </c>
      <c r="H23" s="91">
        <v>30</v>
      </c>
    </row>
    <row r="25" spans="1:8" x14ac:dyDescent="0.2">
      <c r="D25" s="91" t="s">
        <v>2147</v>
      </c>
      <c r="E25" s="2"/>
      <c r="H25" s="110">
        <f>H23*6%</f>
        <v>1.7999999999999998</v>
      </c>
    </row>
    <row r="26" spans="1:8" x14ac:dyDescent="0.2">
      <c r="H26" s="110"/>
    </row>
    <row r="27" spans="1:8" x14ac:dyDescent="0.2">
      <c r="A27" s="93"/>
      <c r="B27" s="99"/>
      <c r="C27" s="99"/>
      <c r="H27" s="110"/>
    </row>
    <row r="29" spans="1:8" x14ac:dyDescent="0.2">
      <c r="A29" s="111"/>
      <c r="B29" s="93"/>
      <c r="C29" s="93"/>
    </row>
    <row r="31" spans="1:8" x14ac:dyDescent="0.2">
      <c r="A31" s="108"/>
    </row>
    <row r="35" spans="1:8" ht="13.5" thickBot="1" x14ac:dyDescent="0.25">
      <c r="H35" s="95">
        <f>SUM(H20:H33)</f>
        <v>58376.1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Fifty-Eight Thousand Three Hundred Seventy-Six and 10/100 -----------</v>
      </c>
      <c r="C37" s="185"/>
      <c r="D37" s="97"/>
      <c r="E37" s="222"/>
      <c r="F37" s="222"/>
      <c r="G37" s="222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D41" s="99"/>
      <c r="E41" s="99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sheetPr codeName="Sheet426">
    <pageSetUpPr fitToPage="1"/>
  </sheetPr>
  <dimension ref="A1:M68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155" t="s">
        <v>6696</v>
      </c>
    </row>
    <row r="10" spans="1:6" x14ac:dyDescent="0.2">
      <c r="A10" s="91" t="s">
        <v>4462</v>
      </c>
      <c r="D10" s="92" t="s">
        <v>1357</v>
      </c>
      <c r="E10" s="155" t="s">
        <v>6682</v>
      </c>
    </row>
    <row r="11" spans="1:6" x14ac:dyDescent="0.2">
      <c r="A11" s="91" t="s">
        <v>4463</v>
      </c>
      <c r="D11" s="92" t="s">
        <v>1330</v>
      </c>
      <c r="E11" s="155" t="s">
        <v>1220</v>
      </c>
    </row>
    <row r="12" spans="1:6" x14ac:dyDescent="0.2">
      <c r="D12" s="92" t="s">
        <v>1224</v>
      </c>
      <c r="E12" s="94" t="s">
        <v>6697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13" ht="12.75" customHeight="1" x14ac:dyDescent="0.2">
      <c r="A18" s="93"/>
      <c r="C18" s="2" t="s">
        <v>3652</v>
      </c>
      <c r="I18" s="93"/>
      <c r="J18" s="2" t="s">
        <v>6509</v>
      </c>
    </row>
    <row r="19" spans="1:13" x14ac:dyDescent="0.2">
      <c r="A19" s="93"/>
      <c r="B19" s="93"/>
      <c r="J19" s="2"/>
    </row>
    <row r="20" spans="1:13" x14ac:dyDescent="0.2">
      <c r="B20" s="93"/>
      <c r="C20" s="2" t="s">
        <v>6496</v>
      </c>
      <c r="H20" s="91" t="s">
        <v>4249</v>
      </c>
      <c r="J20" s="91" t="s">
        <v>6510</v>
      </c>
      <c r="M20" s="91">
        <v>174.96</v>
      </c>
    </row>
    <row r="21" spans="1:13" x14ac:dyDescent="0.2">
      <c r="A21" s="91" t="s">
        <v>4249</v>
      </c>
      <c r="H21" s="94" t="s">
        <v>6508</v>
      </c>
      <c r="J21" s="91" t="s">
        <v>5927</v>
      </c>
      <c r="M21" s="91">
        <v>60</v>
      </c>
    </row>
    <row r="22" spans="1:13" x14ac:dyDescent="0.2">
      <c r="A22" s="91" t="s">
        <v>6698</v>
      </c>
      <c r="C22" s="91" t="s">
        <v>6699</v>
      </c>
      <c r="F22" s="91">
        <v>1759.5</v>
      </c>
      <c r="J22" s="91" t="s">
        <v>127</v>
      </c>
      <c r="M22" s="91">
        <f>62+90+33</f>
        <v>185</v>
      </c>
    </row>
    <row r="23" spans="1:13" x14ac:dyDescent="0.2">
      <c r="A23" s="94"/>
      <c r="C23" s="91" t="s">
        <v>6700</v>
      </c>
      <c r="F23" s="91">
        <v>120</v>
      </c>
      <c r="J23" s="91" t="s">
        <v>6511</v>
      </c>
      <c r="M23" s="91">
        <v>222.7</v>
      </c>
    </row>
    <row r="24" spans="1:13" x14ac:dyDescent="0.2">
      <c r="C24" s="91" t="s">
        <v>127</v>
      </c>
      <c r="F24" s="91">
        <v>505.03</v>
      </c>
    </row>
    <row r="25" spans="1:13" x14ac:dyDescent="0.2">
      <c r="C25" s="91" t="s">
        <v>6701</v>
      </c>
      <c r="F25" s="91">
        <v>227.85</v>
      </c>
    </row>
    <row r="26" spans="1:13" x14ac:dyDescent="0.2">
      <c r="C26" s="91" t="s">
        <v>6702</v>
      </c>
      <c r="F26" s="91">
        <v>81.38</v>
      </c>
      <c r="I26" s="94"/>
    </row>
    <row r="27" spans="1:13" x14ac:dyDescent="0.2">
      <c r="C27" s="91" t="s">
        <v>6703</v>
      </c>
      <c r="F27" s="91">
        <v>183.38</v>
      </c>
      <c r="H27" s="2" t="s">
        <v>6495</v>
      </c>
    </row>
    <row r="28" spans="1:13" x14ac:dyDescent="0.2">
      <c r="C28" s="143" t="s">
        <v>6704</v>
      </c>
      <c r="D28" s="143"/>
      <c r="E28" s="143"/>
      <c r="F28" s="143">
        <v>-2340</v>
      </c>
    </row>
    <row r="29" spans="1:13" x14ac:dyDescent="0.2">
      <c r="H29" s="2" t="s">
        <v>6496</v>
      </c>
    </row>
    <row r="30" spans="1:13" x14ac:dyDescent="0.2">
      <c r="C30" s="2" t="s">
        <v>6706</v>
      </c>
      <c r="H30" s="2"/>
    </row>
    <row r="31" spans="1:13" x14ac:dyDescent="0.2">
      <c r="H31" s="91" t="s">
        <v>6497</v>
      </c>
      <c r="K31" s="91">
        <v>60</v>
      </c>
    </row>
    <row r="32" spans="1:13" x14ac:dyDescent="0.2">
      <c r="A32" s="91" t="s">
        <v>4249</v>
      </c>
      <c r="C32" s="91" t="s">
        <v>6707</v>
      </c>
      <c r="F32" s="91">
        <v>366.96</v>
      </c>
      <c r="H32" s="91" t="s">
        <v>6498</v>
      </c>
      <c r="K32" s="91">
        <v>1530</v>
      </c>
    </row>
    <row r="33" spans="1:11" x14ac:dyDescent="0.2">
      <c r="A33" s="91" t="s">
        <v>6705</v>
      </c>
      <c r="C33" s="91" t="s">
        <v>5505</v>
      </c>
      <c r="F33" s="91">
        <v>230</v>
      </c>
      <c r="H33" s="91" t="s">
        <v>127</v>
      </c>
      <c r="K33" s="91">
        <v>500</v>
      </c>
    </row>
    <row r="34" spans="1:11" x14ac:dyDescent="0.2">
      <c r="H34" s="91" t="s">
        <v>3864</v>
      </c>
      <c r="K34" s="91">
        <v>150</v>
      </c>
    </row>
    <row r="35" spans="1:11" x14ac:dyDescent="0.2">
      <c r="H35" s="91" t="s">
        <v>6499</v>
      </c>
      <c r="K35" s="91">
        <v>100</v>
      </c>
    </row>
    <row r="36" spans="1:11" x14ac:dyDescent="0.2">
      <c r="C36" s="2" t="s">
        <v>6708</v>
      </c>
    </row>
    <row r="37" spans="1:11" x14ac:dyDescent="0.2">
      <c r="I37" s="94"/>
    </row>
    <row r="38" spans="1:11" x14ac:dyDescent="0.2">
      <c r="A38" s="91" t="s">
        <v>4249</v>
      </c>
      <c r="C38" s="91" t="s">
        <v>3859</v>
      </c>
      <c r="F38" s="91">
        <v>848.75</v>
      </c>
      <c r="I38" s="94"/>
    </row>
    <row r="39" spans="1:11" x14ac:dyDescent="0.2">
      <c r="A39" s="91" t="s">
        <v>6705</v>
      </c>
      <c r="C39" s="91" t="s">
        <v>127</v>
      </c>
      <c r="F39" s="91">
        <v>667.6</v>
      </c>
      <c r="I39" s="94"/>
    </row>
    <row r="40" spans="1:11" x14ac:dyDescent="0.2">
      <c r="C40" s="91" t="s">
        <v>6709</v>
      </c>
      <c r="F40" s="91">
        <v>78.5</v>
      </c>
      <c r="I40" s="94"/>
    </row>
    <row r="41" spans="1:11" x14ac:dyDescent="0.2">
      <c r="C41" s="91" t="s">
        <v>6701</v>
      </c>
      <c r="F41" s="91">
        <v>124.6</v>
      </c>
      <c r="I41" s="94"/>
    </row>
    <row r="42" spans="1:11" x14ac:dyDescent="0.2">
      <c r="C42" s="91" t="s">
        <v>6710</v>
      </c>
      <c r="F42" s="91">
        <v>52.9</v>
      </c>
      <c r="I42" s="94"/>
    </row>
    <row r="43" spans="1:11" x14ac:dyDescent="0.2">
      <c r="B43" s="94"/>
      <c r="C43" s="91" t="s">
        <v>6712</v>
      </c>
      <c r="F43" s="91">
        <v>29</v>
      </c>
    </row>
    <row r="44" spans="1:11" x14ac:dyDescent="0.2">
      <c r="B44" s="94"/>
      <c r="C44" s="91" t="s">
        <v>6711</v>
      </c>
      <c r="F44" s="91">
        <v>42.6</v>
      </c>
    </row>
    <row r="45" spans="1:11" x14ac:dyDescent="0.2">
      <c r="B45" s="94"/>
    </row>
    <row r="46" spans="1:11" x14ac:dyDescent="0.2">
      <c r="B46" s="94"/>
      <c r="C46" s="143" t="s">
        <v>6557</v>
      </c>
      <c r="D46" s="143"/>
      <c r="E46" s="143"/>
      <c r="F46" s="143"/>
    </row>
    <row r="47" spans="1:11" x14ac:dyDescent="0.2">
      <c r="B47" s="94"/>
      <c r="C47" s="143" t="s">
        <v>6713</v>
      </c>
      <c r="D47" s="143"/>
      <c r="E47" s="143"/>
      <c r="F47" s="143">
        <v>-222.7</v>
      </c>
    </row>
    <row r="49" spans="1:6" ht="13.5" thickBot="1" x14ac:dyDescent="0.25">
      <c r="F49" s="95">
        <f>SUM(F19:F48)</f>
        <v>2755.35</v>
      </c>
    </row>
    <row r="50" spans="1:6" ht="13.5" thickTop="1" x14ac:dyDescent="0.2"/>
    <row r="51" spans="1:6" ht="20.100000000000001" customHeight="1" x14ac:dyDescent="0.2">
      <c r="A51" s="96" t="s">
        <v>1075</v>
      </c>
      <c r="B51" s="185" t="str">
        <f>IF(OR(F49&gt;1000000,F49&lt;=0),"",IF(F49&lt;1000,"",IF(MOD(F49,1000000)&gt;=100000,INDEX(numbers,TRUNC(MOD(F49,1000000)/100000,0)+1)&amp;" Hundred","")&amp;IF(MOD(F49,100000)&gt;=20000," "&amp;INDEX(tens,TRUNC(MOD(F49,100000)/10000,0)+1)&amp;IF(MOD(MOD(F49,100000),10000)&gt;=1000,"-"&amp;INDEX(numbers,TRUNC(MOD(MOD(F49,100000),10000)/1000,0)+1),""),IF(MOD(F49,100000)&gt;=1000," "&amp;INDEX(numbers,TRUNC(MOD(F49,100000)/1000,0)+1),""))&amp;" Thousand") &amp; IF(F49&lt;1,"Zero Dollars",IF(MOD(F49,1000)&gt;=100," "&amp;INDEX(numbers,TRUNC(MOD(F49,1000)/100,0)+1)&amp;" Hundred","")&amp;IF(MOD(F49,100)&gt;=20," "&amp;INDEX(tens,TRUNC(MOD(F49,100)/10,0)+1)&amp;IF(MOD(MOD(F49,100),10)&gt;=1,"-"&amp;INDEX(numbers,TRUNC(MOD(MOD(F49,100),10),0)+1),""),IF(MOD(F49,100)&gt;=1," "&amp;INDEX(numbers,TRUNC(MOD(F49,100),0)+1),""))&amp;"") &amp; " and " &amp; IF(MOD(F49,1)&lt;0.005,"NO",ROUND(MOD(F49,1)*100,0)) &amp; "/100 -----------")</f>
        <v xml:space="preserve"> Two Thousand Seven Hundred Fifty-Five and 35/100 -----------</v>
      </c>
      <c r="C51" s="97"/>
      <c r="D51" s="97"/>
      <c r="E51" s="97"/>
      <c r="F51" s="97"/>
    </row>
    <row r="52" spans="1:6" x14ac:dyDescent="0.2">
      <c r="A52" s="94"/>
    </row>
    <row r="53" spans="1:6" ht="25.5" x14ac:dyDescent="0.2">
      <c r="A53" s="98" t="s">
        <v>10</v>
      </c>
      <c r="D53" s="218" t="s">
        <v>3975</v>
      </c>
      <c r="E53" s="219"/>
      <c r="F53" s="220"/>
    </row>
    <row r="54" spans="1:6" x14ac:dyDescent="0.2">
      <c r="A54" s="98"/>
    </row>
    <row r="55" spans="1:6" x14ac:dyDescent="0.2">
      <c r="A55" s="98"/>
      <c r="D55" s="227"/>
      <c r="E55" s="227"/>
      <c r="F55" s="227"/>
    </row>
    <row r="56" spans="1:6" x14ac:dyDescent="0.2">
      <c r="A56" s="98"/>
      <c r="C56" s="99"/>
      <c r="D56" s="228"/>
      <c r="E56" s="229"/>
      <c r="F56" s="229"/>
    </row>
    <row r="57" spans="1:6" x14ac:dyDescent="0.2">
      <c r="A57" s="101"/>
      <c r="B57" s="101"/>
    </row>
    <row r="58" spans="1:6" x14ac:dyDescent="0.2">
      <c r="A58" s="98"/>
    </row>
    <row r="59" spans="1:6" x14ac:dyDescent="0.2">
      <c r="A59" s="98" t="s">
        <v>8</v>
      </c>
      <c r="D59" s="98" t="s">
        <v>7</v>
      </c>
      <c r="F59" s="102"/>
    </row>
    <row r="60" spans="1:6" x14ac:dyDescent="0.2">
      <c r="A60" s="98"/>
    </row>
    <row r="61" spans="1:6" x14ac:dyDescent="0.2">
      <c r="A61" s="98"/>
    </row>
    <row r="62" spans="1:6" x14ac:dyDescent="0.2">
      <c r="A62" s="98"/>
    </row>
    <row r="63" spans="1:6" x14ac:dyDescent="0.2">
      <c r="A63" s="100"/>
      <c r="B63" s="101"/>
      <c r="D63" s="101"/>
      <c r="E63" s="101"/>
      <c r="F63" s="101"/>
    </row>
    <row r="64" spans="1:6" s="61" customFormat="1" ht="17.100000000000001" customHeight="1" x14ac:dyDescent="0.2">
      <c r="A64" s="98" t="s">
        <v>4066</v>
      </c>
      <c r="B64" s="104"/>
      <c r="D64" s="61" t="s">
        <v>3</v>
      </c>
    </row>
    <row r="65" spans="1:4" x14ac:dyDescent="0.2">
      <c r="A65" s="98"/>
      <c r="D65" s="91" t="s">
        <v>2</v>
      </c>
    </row>
    <row r="66" spans="1:4" x14ac:dyDescent="0.2">
      <c r="A66" s="98"/>
    </row>
    <row r="67" spans="1:4" x14ac:dyDescent="0.2">
      <c r="D67" s="2" t="s">
        <v>1</v>
      </c>
    </row>
    <row r="68" spans="1:4" x14ac:dyDescent="0.2">
      <c r="D68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1" orientation="portrait" r:id="rId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86"/>
  <dimension ref="A1:F53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3022</v>
      </c>
    </row>
    <row r="10" spans="1:6" x14ac:dyDescent="0.2">
      <c r="A10" s="91" t="s">
        <v>3025</v>
      </c>
      <c r="D10" s="92" t="s">
        <v>1329</v>
      </c>
      <c r="E10" s="92" t="s">
        <v>3023</v>
      </c>
    </row>
    <row r="11" spans="1:6" x14ac:dyDescent="0.2">
      <c r="A11" s="91" t="s">
        <v>3026</v>
      </c>
      <c r="D11" s="92" t="s">
        <v>1330</v>
      </c>
      <c r="E11" s="92" t="s">
        <v>1220</v>
      </c>
    </row>
    <row r="12" spans="1:6" x14ac:dyDescent="0.2">
      <c r="A12" s="91" t="s">
        <v>3027</v>
      </c>
      <c r="D12" s="92" t="s">
        <v>1331</v>
      </c>
      <c r="E12" s="92" t="s">
        <v>3024</v>
      </c>
    </row>
    <row r="13" spans="1:6" x14ac:dyDescent="0.2">
      <c r="A13" s="91" t="s">
        <v>3028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3029</v>
      </c>
    </row>
    <row r="19" spans="1:6" x14ac:dyDescent="0.2">
      <c r="A19" s="106"/>
      <c r="C19" s="2"/>
    </row>
    <row r="20" spans="1:6" x14ac:dyDescent="0.2">
      <c r="A20" s="93" t="s">
        <v>2975</v>
      </c>
      <c r="B20" s="93" t="s">
        <v>3030</v>
      </c>
      <c r="C20" s="91" t="s">
        <v>3031</v>
      </c>
      <c r="F20" s="91">
        <v>5000</v>
      </c>
    </row>
    <row r="21" spans="1:6" x14ac:dyDescent="0.2">
      <c r="A21" s="93"/>
      <c r="B21" s="94"/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5000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Five Thousand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13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sheetPr codeName="Sheet485"/>
  <dimension ref="A1:F53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4750</v>
      </c>
      <c r="D9" s="92" t="s">
        <v>1317</v>
      </c>
      <c r="E9" s="91" t="s">
        <v>4748</v>
      </c>
    </row>
    <row r="10" spans="1:6" x14ac:dyDescent="0.2">
      <c r="A10" s="91" t="s">
        <v>4751</v>
      </c>
      <c r="D10" s="92" t="s">
        <v>1329</v>
      </c>
      <c r="E10" s="92" t="s">
        <v>4749</v>
      </c>
    </row>
    <row r="11" spans="1:6" x14ac:dyDescent="0.2">
      <c r="A11" s="91" t="s">
        <v>4752</v>
      </c>
      <c r="D11" s="92" t="s">
        <v>1330</v>
      </c>
      <c r="E11" s="92" t="s">
        <v>1220</v>
      </c>
    </row>
    <row r="12" spans="1:6" x14ac:dyDescent="0.2">
      <c r="A12" s="91" t="s">
        <v>4753</v>
      </c>
      <c r="D12" s="92" t="s">
        <v>1331</v>
      </c>
      <c r="E12" s="92" t="s">
        <v>4747</v>
      </c>
    </row>
    <row r="13" spans="1:6" x14ac:dyDescent="0.2">
      <c r="A13" s="91" t="s">
        <v>4754</v>
      </c>
    </row>
    <row r="14" spans="1:6" x14ac:dyDescent="0.2">
      <c r="A14" s="91" t="s">
        <v>4755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4756</v>
      </c>
    </row>
    <row r="19" spans="1:6" x14ac:dyDescent="0.2">
      <c r="A19" s="106"/>
      <c r="C19" s="2" t="s">
        <v>4757</v>
      </c>
    </row>
    <row r="20" spans="1:6" x14ac:dyDescent="0.2">
      <c r="A20" s="93"/>
      <c r="B20" s="93"/>
    </row>
    <row r="21" spans="1:6" x14ac:dyDescent="0.2">
      <c r="A21" s="93" t="s">
        <v>4758</v>
      </c>
      <c r="B21" s="240" t="s">
        <v>4759</v>
      </c>
      <c r="C21" s="91" t="s">
        <v>4760</v>
      </c>
      <c r="F21" s="91">
        <v>2640.42</v>
      </c>
    </row>
    <row r="22" spans="1:6" x14ac:dyDescent="0.2">
      <c r="A22" s="93"/>
      <c r="B22" s="99"/>
      <c r="C22" s="91" t="s">
        <v>4761</v>
      </c>
      <c r="F22" s="91">
        <v>30</v>
      </c>
    </row>
    <row r="23" spans="1:6" x14ac:dyDescent="0.2">
      <c r="C23" s="91" t="s">
        <v>2147</v>
      </c>
      <c r="F23" s="91">
        <f>SUM(F21+F22)*6%</f>
        <v>160.2252</v>
      </c>
    </row>
    <row r="25" spans="1:6" x14ac:dyDescent="0.2">
      <c r="A25" s="137"/>
      <c r="B25" s="99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2830.6451999999999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Eight Hundred Thirty and 65/100 -----------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A39" s="1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1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9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7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sheetPr codeName="Sheet427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6092</v>
      </c>
    </row>
    <row r="10" spans="1:6" x14ac:dyDescent="0.2">
      <c r="A10" s="91" t="s">
        <v>4454</v>
      </c>
      <c r="D10" s="92" t="s">
        <v>1357</v>
      </c>
      <c r="E10" s="98" t="s">
        <v>6060</v>
      </c>
    </row>
    <row r="11" spans="1:6" x14ac:dyDescent="0.2">
      <c r="A11" s="91" t="s">
        <v>4455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4" t="s">
        <v>6093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4449</v>
      </c>
    </row>
    <row r="19" spans="1:6" x14ac:dyDescent="0.2">
      <c r="A19" s="94"/>
      <c r="B19" s="240"/>
    </row>
    <row r="20" spans="1:6" x14ac:dyDescent="0.2">
      <c r="A20" s="92"/>
      <c r="B20" s="195"/>
      <c r="C20" s="153" t="s">
        <v>6091</v>
      </c>
      <c r="F20" s="91">
        <v>1000</v>
      </c>
    </row>
    <row r="21" spans="1:6" x14ac:dyDescent="0.2">
      <c r="A21" s="93"/>
      <c r="B21" s="195"/>
      <c r="C21" s="153"/>
    </row>
    <row r="22" spans="1:6" x14ac:dyDescent="0.2">
      <c r="A22" s="93"/>
      <c r="B22" s="195"/>
      <c r="C22" s="153"/>
    </row>
    <row r="23" spans="1:6" x14ac:dyDescent="0.2">
      <c r="A23" s="92"/>
      <c r="B23" s="195"/>
      <c r="C23" s="153"/>
    </row>
    <row r="24" spans="1:6" x14ac:dyDescent="0.2">
      <c r="A24" s="93"/>
      <c r="B24" s="195"/>
      <c r="C24" s="153"/>
    </row>
    <row r="25" spans="1:6" x14ac:dyDescent="0.2">
      <c r="B25" s="191"/>
    </row>
    <row r="26" spans="1:6" x14ac:dyDescent="0.2">
      <c r="A26" s="93"/>
      <c r="B26" s="240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1000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sheetPr codeName="Sheet374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3662</v>
      </c>
      <c r="D9" s="92" t="s">
        <v>1317</v>
      </c>
      <c r="E9" s="91" t="s">
        <v>3672</v>
      </c>
    </row>
    <row r="10" spans="1:6" x14ac:dyDescent="0.2">
      <c r="A10" s="91" t="s">
        <v>3663</v>
      </c>
      <c r="D10" s="92" t="s">
        <v>1329</v>
      </c>
      <c r="E10" s="91" t="s">
        <v>3661</v>
      </c>
    </row>
    <row r="11" spans="1:6" x14ac:dyDescent="0.2">
      <c r="A11" s="91" t="s">
        <v>3664</v>
      </c>
      <c r="D11" s="92" t="s">
        <v>1330</v>
      </c>
      <c r="E11" s="91" t="s">
        <v>1220</v>
      </c>
    </row>
    <row r="12" spans="1:6" x14ac:dyDescent="0.2">
      <c r="A12" s="91" t="s">
        <v>1508</v>
      </c>
      <c r="D12" s="92" t="s">
        <v>1331</v>
      </c>
      <c r="E12" s="94" t="s">
        <v>3673</v>
      </c>
    </row>
    <row r="13" spans="1:6" x14ac:dyDescent="0.2">
      <c r="A13" s="91" t="s">
        <v>3665</v>
      </c>
    </row>
    <row r="14" spans="1:6" x14ac:dyDescent="0.2">
      <c r="A14" s="91" t="s">
        <v>3666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3567</v>
      </c>
    </row>
    <row r="19" spans="1:6" x14ac:dyDescent="0.2">
      <c r="A19" s="106"/>
      <c r="C19" s="2"/>
    </row>
    <row r="20" spans="1:6" x14ac:dyDescent="0.2">
      <c r="A20" s="93" t="s">
        <v>3667</v>
      </c>
      <c r="B20" s="99" t="s">
        <v>3674</v>
      </c>
      <c r="C20" s="91" t="s">
        <v>3675</v>
      </c>
      <c r="F20" s="91">
        <v>350</v>
      </c>
    </row>
    <row r="21" spans="1:6" x14ac:dyDescent="0.2">
      <c r="A21" s="93"/>
      <c r="B21" s="94"/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350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">
        <v>2689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sheetPr codeName="Sheet428">
    <pageSetUpPr fitToPage="1"/>
  </sheetPr>
  <dimension ref="A1:G57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6.4257812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4346</v>
      </c>
      <c r="F9" s="153"/>
    </row>
    <row r="10" spans="1:6" x14ac:dyDescent="0.2">
      <c r="A10" s="153" t="s">
        <v>3959</v>
      </c>
      <c r="B10" s="153"/>
      <c r="C10" s="153"/>
      <c r="D10" s="155" t="s">
        <v>1357</v>
      </c>
      <c r="E10" s="92" t="s">
        <v>4347</v>
      </c>
      <c r="F10" s="153"/>
    </row>
    <row r="11" spans="1:6" x14ac:dyDescent="0.2">
      <c r="A11" s="153" t="s">
        <v>3962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3960</v>
      </c>
      <c r="B12" s="153"/>
      <c r="C12" s="153"/>
      <c r="D12" s="155" t="s">
        <v>1377</v>
      </c>
      <c r="E12" s="92" t="s">
        <v>770</v>
      </c>
      <c r="F12" s="153"/>
    </row>
    <row r="13" spans="1:6" x14ac:dyDescent="0.2">
      <c r="A13" s="153" t="s">
        <v>3961</v>
      </c>
      <c r="B13" s="153"/>
      <c r="C13" s="153"/>
      <c r="D13" s="153"/>
      <c r="E13" s="91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7" x14ac:dyDescent="0.2">
      <c r="A17" s="153"/>
      <c r="B17" s="153"/>
      <c r="C17" s="153"/>
      <c r="D17" s="153"/>
      <c r="E17" s="153"/>
      <c r="F17" s="153"/>
    </row>
    <row r="18" spans="1:7" x14ac:dyDescent="0.2">
      <c r="A18" s="153"/>
      <c r="B18" s="153"/>
      <c r="C18" s="163"/>
      <c r="D18" s="153"/>
      <c r="E18" s="153"/>
      <c r="F18" s="153"/>
    </row>
    <row r="19" spans="1:7" x14ac:dyDescent="0.2">
      <c r="A19" s="153"/>
      <c r="B19" s="153"/>
      <c r="C19" s="153" t="s">
        <v>3963</v>
      </c>
      <c r="D19" s="153"/>
      <c r="E19" s="153"/>
      <c r="F19" s="153"/>
      <c r="G19" s="153"/>
    </row>
    <row r="20" spans="1:7" x14ac:dyDescent="0.2">
      <c r="A20" s="164"/>
      <c r="B20" s="153"/>
      <c r="C20" s="153" t="s">
        <v>3964</v>
      </c>
      <c r="D20" s="153"/>
      <c r="E20" s="153"/>
      <c r="F20" s="153"/>
      <c r="G20" s="153"/>
    </row>
    <row r="21" spans="1:7" x14ac:dyDescent="0.2">
      <c r="A21" s="153"/>
      <c r="B21" s="153"/>
      <c r="C21" s="153"/>
      <c r="D21" s="153"/>
      <c r="E21" s="153"/>
      <c r="F21" s="153"/>
      <c r="G21" s="153"/>
    </row>
    <row r="22" spans="1:7" x14ac:dyDescent="0.2">
      <c r="A22" s="166" t="s">
        <v>4313</v>
      </c>
      <c r="B22" s="153"/>
      <c r="C22" s="153" t="s">
        <v>4348</v>
      </c>
      <c r="D22" s="153"/>
      <c r="E22" s="153"/>
      <c r="F22" s="153">
        <f>(20000*20%)*2.8239</f>
        <v>11295.6</v>
      </c>
      <c r="G22" s="153"/>
    </row>
    <row r="23" spans="1:7" x14ac:dyDescent="0.2">
      <c r="A23" s="165"/>
      <c r="B23" s="153"/>
      <c r="C23" s="153"/>
      <c r="F23" s="153"/>
      <c r="G23" s="153"/>
    </row>
    <row r="24" spans="1:7" x14ac:dyDescent="0.2">
      <c r="A24" s="165"/>
      <c r="B24" s="153"/>
      <c r="C24" s="153" t="s">
        <v>52</v>
      </c>
      <c r="D24" s="153"/>
      <c r="E24" s="153"/>
      <c r="F24" s="153">
        <v>30</v>
      </c>
      <c r="G24" s="153"/>
    </row>
    <row r="25" spans="1:7" x14ac:dyDescent="0.2">
      <c r="A25" s="166"/>
      <c r="B25" s="153"/>
      <c r="C25" s="153"/>
      <c r="D25" s="153"/>
      <c r="E25" s="153"/>
      <c r="F25" s="153"/>
      <c r="G25" s="153"/>
    </row>
    <row r="26" spans="1:7" x14ac:dyDescent="0.2">
      <c r="A26" s="164"/>
      <c r="B26" s="153"/>
      <c r="G26" s="153"/>
    </row>
    <row r="27" spans="1:7" x14ac:dyDescent="0.2">
      <c r="A27" s="166"/>
      <c r="B27" s="153"/>
      <c r="C27" s="153"/>
      <c r="D27" s="153"/>
      <c r="E27" s="153"/>
      <c r="F27" s="153"/>
      <c r="G27" s="153"/>
    </row>
    <row r="28" spans="1:7" x14ac:dyDescent="0.2">
      <c r="A28" s="164"/>
      <c r="B28" s="153"/>
      <c r="C28" s="167"/>
      <c r="D28" s="153"/>
      <c r="E28" s="153"/>
      <c r="F28" s="153"/>
      <c r="G28" s="153"/>
    </row>
    <row r="29" spans="1:7" x14ac:dyDescent="0.2">
      <c r="A29" s="164"/>
      <c r="B29" s="153"/>
      <c r="C29" s="153"/>
      <c r="D29" s="153"/>
      <c r="E29" s="153"/>
      <c r="F29" s="153"/>
      <c r="G29" s="153"/>
    </row>
    <row r="30" spans="1:7" x14ac:dyDescent="0.2">
      <c r="A30" s="168"/>
      <c r="B30" s="169"/>
      <c r="G30" s="153"/>
    </row>
    <row r="31" spans="1:7" x14ac:dyDescent="0.2">
      <c r="A31" s="168"/>
      <c r="B31" s="169"/>
      <c r="C31" s="153"/>
      <c r="D31" s="153"/>
      <c r="E31" s="153"/>
      <c r="F31" s="153"/>
      <c r="G31" s="153"/>
    </row>
    <row r="32" spans="1:7" x14ac:dyDescent="0.2">
      <c r="A32" s="168"/>
      <c r="B32" s="169"/>
      <c r="C32" s="153"/>
      <c r="D32" s="153"/>
      <c r="E32" s="153"/>
      <c r="F32" s="153"/>
      <c r="G32" s="153"/>
    </row>
    <row r="33" spans="1:7" x14ac:dyDescent="0.2">
      <c r="A33" s="168"/>
      <c r="B33" s="169"/>
      <c r="C33" s="153"/>
      <c r="D33" s="153"/>
      <c r="E33" s="153"/>
      <c r="F33" s="153"/>
      <c r="G33" s="153"/>
    </row>
    <row r="34" spans="1:7" x14ac:dyDescent="0.2">
      <c r="A34" s="153"/>
      <c r="B34" s="153"/>
      <c r="C34" s="153"/>
      <c r="D34" s="153"/>
      <c r="E34" s="153"/>
      <c r="G34" s="153"/>
    </row>
    <row r="35" spans="1:7" ht="13.5" thickBot="1" x14ac:dyDescent="0.25">
      <c r="A35" s="153"/>
      <c r="B35" s="153"/>
      <c r="C35" s="153"/>
      <c r="D35" s="153"/>
      <c r="E35" s="153"/>
      <c r="F35" s="170">
        <f>SUM(F20:F33)</f>
        <v>11325.6</v>
      </c>
      <c r="G35" s="153"/>
    </row>
    <row r="36" spans="1:7" ht="13.5" thickTop="1" x14ac:dyDescent="0.2">
      <c r="A36" s="153"/>
      <c r="B36" s="153"/>
      <c r="C36" s="153"/>
      <c r="D36" s="230"/>
      <c r="E36" s="231"/>
      <c r="F36" s="231"/>
      <c r="G36" s="153"/>
    </row>
    <row r="37" spans="1:7" ht="20.100000000000001" customHeight="1" x14ac:dyDescent="0.2">
      <c r="A37" s="171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Eleven Thousand Three Hundred Twenty-Five and 60/100 -----------</v>
      </c>
      <c r="C37" s="172"/>
      <c r="D37" s="221"/>
      <c r="E37" s="221"/>
      <c r="F37" s="221"/>
      <c r="G37" s="153"/>
    </row>
    <row r="38" spans="1:7" ht="20.100000000000001" customHeight="1" x14ac:dyDescent="0.2">
      <c r="A38" s="197"/>
      <c r="B38" s="103"/>
      <c r="C38" s="156"/>
      <c r="D38" s="221"/>
      <c r="E38" s="221"/>
      <c r="F38" s="221"/>
      <c r="G38" s="153"/>
    </row>
    <row r="39" spans="1:7" ht="25.5" x14ac:dyDescent="0.2">
      <c r="A39" s="169" t="s">
        <v>3974</v>
      </c>
      <c r="B39" s="153"/>
      <c r="C39" s="153"/>
      <c r="D39" s="218" t="s">
        <v>3975</v>
      </c>
      <c r="E39" s="219"/>
      <c r="F39" s="220"/>
    </row>
    <row r="40" spans="1:7" x14ac:dyDescent="0.2">
      <c r="A40" s="153"/>
      <c r="B40" s="153"/>
      <c r="C40" s="153"/>
      <c r="D40" s="228"/>
      <c r="E40" s="229"/>
      <c r="F40" s="229"/>
    </row>
    <row r="41" spans="1:7" x14ac:dyDescent="0.2">
      <c r="B41" s="153"/>
      <c r="C41" s="173"/>
      <c r="D41" s="153"/>
      <c r="E41" s="153"/>
      <c r="F41" s="153"/>
    </row>
    <row r="42" spans="1:7" x14ac:dyDescent="0.2">
      <c r="A42" s="153"/>
      <c r="B42" s="153"/>
      <c r="C42" s="173"/>
      <c r="D42" s="153"/>
      <c r="E42" s="153"/>
      <c r="F42" s="153"/>
    </row>
    <row r="43" spans="1:7" x14ac:dyDescent="0.2">
      <c r="A43" s="174"/>
      <c r="B43" s="174"/>
      <c r="C43" s="153"/>
      <c r="D43" s="153"/>
      <c r="E43" s="153"/>
      <c r="F43" s="153"/>
    </row>
    <row r="44" spans="1:7" x14ac:dyDescent="0.2">
      <c r="B44" s="153"/>
      <c r="C44" s="153"/>
      <c r="D44" s="153"/>
      <c r="E44" s="153"/>
      <c r="F44" s="153"/>
    </row>
    <row r="45" spans="1:7" x14ac:dyDescent="0.2">
      <c r="A45" s="175" t="s">
        <v>8</v>
      </c>
      <c r="C45" s="153"/>
      <c r="D45" s="175" t="s">
        <v>7</v>
      </c>
      <c r="E45" s="153"/>
      <c r="F45" s="176"/>
    </row>
    <row r="46" spans="1:7" x14ac:dyDescent="0.2">
      <c r="A46" s="175"/>
      <c r="C46" s="153"/>
      <c r="D46" s="175"/>
      <c r="E46" s="153"/>
      <c r="F46" s="176"/>
    </row>
    <row r="47" spans="1:7" x14ac:dyDescent="0.2">
      <c r="A47" s="153"/>
      <c r="B47" s="153"/>
      <c r="C47" s="153"/>
      <c r="D47" s="153"/>
      <c r="E47" s="153"/>
      <c r="F47" s="153"/>
    </row>
    <row r="48" spans="1:7" x14ac:dyDescent="0.2">
      <c r="A48" s="153"/>
      <c r="B48" s="153"/>
      <c r="C48" s="153"/>
      <c r="D48" s="153"/>
      <c r="E48" s="153"/>
      <c r="F48" s="153"/>
    </row>
    <row r="49" spans="1:6" x14ac:dyDescent="0.2">
      <c r="A49" s="153"/>
      <c r="B49" s="153"/>
      <c r="C49" s="153"/>
      <c r="D49" s="153"/>
      <c r="E49" s="153"/>
      <c r="F49" s="153"/>
    </row>
    <row r="50" spans="1:6" x14ac:dyDescent="0.2">
      <c r="A50" s="250"/>
      <c r="B50" s="174"/>
      <c r="C50" s="153"/>
      <c r="D50" s="174"/>
      <c r="E50" s="174"/>
      <c r="F50" s="174"/>
    </row>
    <row r="51" spans="1:6" s="178" customFormat="1" ht="17.100000000000001" customHeight="1" x14ac:dyDescent="0.2">
      <c r="A51" s="153" t="s">
        <v>4066</v>
      </c>
      <c r="B51" s="177"/>
      <c r="C51" s="156"/>
      <c r="D51" s="156" t="s">
        <v>3</v>
      </c>
      <c r="E51" s="156"/>
      <c r="F51" s="156"/>
    </row>
    <row r="52" spans="1:6" x14ac:dyDescent="0.2">
      <c r="A52" s="153"/>
      <c r="B52" s="153"/>
      <c r="C52" s="153"/>
      <c r="D52" s="153" t="s">
        <v>2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63" t="s">
        <v>1</v>
      </c>
      <c r="E54" s="153"/>
      <c r="F54" s="153"/>
    </row>
    <row r="55" spans="1:6" x14ac:dyDescent="0.2">
      <c r="A55" s="153"/>
      <c r="B55" s="153"/>
      <c r="C55" s="153"/>
      <c r="D55" s="163" t="s">
        <v>0</v>
      </c>
      <c r="E55" s="153"/>
      <c r="F55" s="153"/>
    </row>
    <row r="56" spans="1:6" x14ac:dyDescent="0.2">
      <c r="A56" s="153"/>
      <c r="B56" s="153"/>
      <c r="C56" s="153"/>
      <c r="D56" s="153"/>
      <c r="E56" s="153"/>
      <c r="F56" s="153"/>
    </row>
    <row r="57" spans="1:6" x14ac:dyDescent="0.2">
      <c r="A57" s="153"/>
      <c r="B57" s="153"/>
      <c r="C57" s="153"/>
      <c r="D57" s="153"/>
      <c r="E57" s="153"/>
      <c r="F57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sheetPr codeName="Sheet375">
    <pageSetUpPr fitToPage="1"/>
  </sheetPr>
  <dimension ref="A1:G54"/>
  <sheetViews>
    <sheetView topLeftCell="A4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7362</v>
      </c>
      <c r="G9" s="61"/>
    </row>
    <row r="10" spans="1:7" x14ac:dyDescent="0.2">
      <c r="A10" s="91" t="s">
        <v>3781</v>
      </c>
      <c r="D10" s="92" t="s">
        <v>1335</v>
      </c>
      <c r="E10" s="92" t="s">
        <v>7358</v>
      </c>
      <c r="G10" s="113"/>
    </row>
    <row r="11" spans="1:7" x14ac:dyDescent="0.2">
      <c r="A11" s="91" t="s">
        <v>3782</v>
      </c>
      <c r="D11" s="92" t="s">
        <v>1333</v>
      </c>
      <c r="E11" s="92" t="s">
        <v>1220</v>
      </c>
      <c r="G11" s="113"/>
    </row>
    <row r="12" spans="1:7" x14ac:dyDescent="0.2">
      <c r="A12" s="91" t="s">
        <v>1862</v>
      </c>
      <c r="D12" s="92" t="s">
        <v>1331</v>
      </c>
      <c r="E12" s="92" t="s">
        <v>7363</v>
      </c>
      <c r="G12" s="113"/>
    </row>
    <row r="13" spans="1:7" x14ac:dyDescent="0.2">
      <c r="A13" s="91" t="s">
        <v>3783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7251</v>
      </c>
    </row>
    <row r="19" spans="1:6" x14ac:dyDescent="0.2">
      <c r="A19" s="93"/>
      <c r="B19" s="111"/>
      <c r="C19" s="2"/>
    </row>
    <row r="20" spans="1:6" x14ac:dyDescent="0.2">
      <c r="A20" s="93" t="s">
        <v>7364</v>
      </c>
      <c r="B20" s="111" t="s">
        <v>7365</v>
      </c>
      <c r="C20" s="91" t="s">
        <v>7366</v>
      </c>
      <c r="F20" s="91">
        <v>250</v>
      </c>
    </row>
    <row r="21" spans="1:6" x14ac:dyDescent="0.2">
      <c r="A21" s="93"/>
      <c r="B21" s="111"/>
    </row>
    <row r="24" spans="1:6" x14ac:dyDescent="0.2">
      <c r="A24" s="93"/>
      <c r="B24" s="109"/>
      <c r="F24" s="151"/>
    </row>
    <row r="25" spans="1:6" x14ac:dyDescent="0.2">
      <c r="A25" s="93"/>
      <c r="B25" s="93"/>
    </row>
    <row r="26" spans="1:6" x14ac:dyDescent="0.2">
      <c r="A26" s="111"/>
      <c r="B26" s="93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1"/>
    </row>
    <row r="35" spans="1:6" ht="13.5" thickBot="1" x14ac:dyDescent="0.25">
      <c r="F35" s="95">
        <f>SUM(F18:F33)</f>
        <v>250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Fifty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sheetPr codeName="Sheet107">
    <pageSetUpPr fitToPage="1"/>
  </sheetPr>
  <dimension ref="A1:H53"/>
  <sheetViews>
    <sheetView workbookViewId="0">
      <selection activeCell="J24" sqref="J2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0.85546875" style="91" customWidth="1"/>
    <col min="4" max="4" width="21" style="91" customWidth="1"/>
    <col min="5" max="5" width="0.7109375" style="91" customWidth="1"/>
    <col min="6" max="6" width="16.42578125" style="91" customWidth="1"/>
    <col min="7" max="7" width="7.710937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5" t="s">
        <v>8297</v>
      </c>
    </row>
    <row r="10" spans="1:8" x14ac:dyDescent="0.2">
      <c r="A10" s="91" t="s">
        <v>1938</v>
      </c>
      <c r="F10" s="92" t="s">
        <v>1444</v>
      </c>
      <c r="G10" s="155" t="s">
        <v>8265</v>
      </c>
    </row>
    <row r="11" spans="1:8" x14ac:dyDescent="0.2">
      <c r="A11" s="94" t="s">
        <v>1939</v>
      </c>
      <c r="F11" s="92" t="s">
        <v>1431</v>
      </c>
      <c r="G11" s="155" t="s">
        <v>1220</v>
      </c>
    </row>
    <row r="12" spans="1:8" x14ac:dyDescent="0.2">
      <c r="A12" s="91" t="s">
        <v>1015</v>
      </c>
      <c r="F12" s="92" t="s">
        <v>1268</v>
      </c>
      <c r="G12" s="91" t="s">
        <v>8298</v>
      </c>
    </row>
    <row r="13" spans="1:8" x14ac:dyDescent="0.2">
      <c r="G13" s="91" t="s">
        <v>7931</v>
      </c>
    </row>
    <row r="14" spans="1:8" x14ac:dyDescent="0.2">
      <c r="A14" s="91" t="s">
        <v>1940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441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7884</v>
      </c>
    </row>
    <row r="20" spans="1:8" x14ac:dyDescent="0.2">
      <c r="A20" s="93" t="s">
        <v>8277</v>
      </c>
      <c r="B20" s="93" t="s">
        <v>8299</v>
      </c>
      <c r="C20" s="93"/>
      <c r="D20" s="91" t="s">
        <v>8300</v>
      </c>
      <c r="H20" s="91">
        <v>3700</v>
      </c>
    </row>
    <row r="21" spans="1:8" x14ac:dyDescent="0.2">
      <c r="D21" s="486" t="s">
        <v>8333</v>
      </c>
    </row>
    <row r="23" spans="1:8" x14ac:dyDescent="0.2">
      <c r="D23" s="91" t="s">
        <v>8301</v>
      </c>
      <c r="H23" s="91">
        <v>158.5</v>
      </c>
    </row>
    <row r="25" spans="1:8" x14ac:dyDescent="0.2">
      <c r="A25" s="111"/>
      <c r="B25" s="93"/>
      <c r="C25" s="93"/>
    </row>
    <row r="26" spans="1:8" x14ac:dyDescent="0.2">
      <c r="A26" s="111"/>
      <c r="B26" s="93"/>
      <c r="C26" s="93"/>
      <c r="H26" s="94"/>
    </row>
    <row r="27" spans="1:8" x14ac:dyDescent="0.2">
      <c r="A27" s="111"/>
      <c r="B27" s="93"/>
      <c r="C27" s="93"/>
      <c r="H27" s="94"/>
    </row>
    <row r="28" spans="1:8" x14ac:dyDescent="0.2">
      <c r="A28" s="111"/>
      <c r="B28" s="93"/>
      <c r="C28" s="93"/>
      <c r="H28" s="94"/>
    </row>
    <row r="29" spans="1:8" x14ac:dyDescent="0.2">
      <c r="A29" s="93"/>
      <c r="B29" s="93"/>
      <c r="C29" s="93"/>
    </row>
    <row r="30" spans="1:8" x14ac:dyDescent="0.2">
      <c r="B30" s="99"/>
      <c r="C30" s="442"/>
    </row>
    <row r="31" spans="1:8" x14ac:dyDescent="0.2">
      <c r="A31" s="93"/>
      <c r="B31" s="93"/>
      <c r="C31" s="93"/>
    </row>
    <row r="32" spans="1:8" x14ac:dyDescent="0.2">
      <c r="B32" s="99"/>
      <c r="C32" s="442"/>
    </row>
    <row r="34" spans="1:8" ht="13.5" thickBot="1" x14ac:dyDescent="0.25">
      <c r="H34" s="95">
        <f>SUM(H20:H32)</f>
        <v>3858.5</v>
      </c>
    </row>
    <row r="35" spans="1:8" ht="13.5" thickTop="1" x14ac:dyDescent="0.2"/>
    <row r="36" spans="1:8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Eight Hundred Fifty-Eight and 50/100 -----------</v>
      </c>
      <c r="C36" s="185"/>
      <c r="D36" s="97"/>
      <c r="E36" s="97"/>
      <c r="F36" s="236"/>
      <c r="G36" s="232"/>
      <c r="H36" s="232"/>
    </row>
    <row r="37" spans="1:8" x14ac:dyDescent="0.2">
      <c r="A37" s="94" t="s">
        <v>11</v>
      </c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2" spans="1:8" x14ac:dyDescent="0.2">
      <c r="A42" s="101"/>
      <c r="B42" s="101"/>
      <c r="C42" s="386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sheetPr codeName="Sheet376">
    <tabColor rgb="FFFFFF00"/>
    <pageSetUpPr fitToPage="1"/>
  </sheetPr>
  <dimension ref="A1:H56"/>
  <sheetViews>
    <sheetView topLeftCell="A13" workbookViewId="0">
      <selection activeCell="L37" sqref="L37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1" style="91" customWidth="1"/>
    <col min="4" max="4" width="21" style="91" customWidth="1"/>
    <col min="5" max="5" width="1" style="91" customWidth="1"/>
    <col min="6" max="6" width="16.42578125" style="91" customWidth="1"/>
    <col min="7" max="7" width="7.710937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8957</v>
      </c>
    </row>
    <row r="10" spans="1:8" x14ac:dyDescent="0.2">
      <c r="A10" s="91" t="s">
        <v>3740</v>
      </c>
      <c r="F10" s="92" t="s">
        <v>1444</v>
      </c>
      <c r="G10" s="94" t="s">
        <v>8945</v>
      </c>
    </row>
    <row r="11" spans="1:8" x14ac:dyDescent="0.2">
      <c r="A11" s="94" t="s">
        <v>3741</v>
      </c>
      <c r="F11" s="92" t="s">
        <v>1431</v>
      </c>
      <c r="G11" s="91" t="s">
        <v>1220</v>
      </c>
    </row>
    <row r="12" spans="1:8" x14ac:dyDescent="0.2">
      <c r="A12" s="91" t="s">
        <v>3742</v>
      </c>
      <c r="F12" s="92" t="s">
        <v>1268</v>
      </c>
      <c r="G12" s="91" t="s">
        <v>8958</v>
      </c>
    </row>
    <row r="13" spans="1:8" x14ac:dyDescent="0.2">
      <c r="A13" s="91" t="s">
        <v>3743</v>
      </c>
      <c r="G13" s="91" t="s">
        <v>7762</v>
      </c>
    </row>
    <row r="14" spans="1:8" x14ac:dyDescent="0.2">
      <c r="A14" s="91" t="s">
        <v>3744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405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146" t="s">
        <v>8959</v>
      </c>
      <c r="E18" s="146"/>
    </row>
    <row r="20" spans="1:8" x14ac:dyDescent="0.2">
      <c r="A20" s="93" t="s">
        <v>8960</v>
      </c>
      <c r="B20" s="93" t="s">
        <v>8961</v>
      </c>
      <c r="C20" s="93"/>
      <c r="D20" s="91" t="s">
        <v>8962</v>
      </c>
      <c r="H20" s="91">
        <v>2112.41</v>
      </c>
    </row>
    <row r="21" spans="1:8" x14ac:dyDescent="0.2">
      <c r="A21" s="93"/>
      <c r="B21" s="93"/>
      <c r="C21" s="93"/>
    </row>
    <row r="22" spans="1:8" x14ac:dyDescent="0.2">
      <c r="A22" s="93"/>
      <c r="B22" s="93"/>
      <c r="C22" s="93"/>
    </row>
    <row r="24" spans="1:8" x14ac:dyDescent="0.2">
      <c r="D24" s="146"/>
    </row>
    <row r="25" spans="1:8" x14ac:dyDescent="0.2">
      <c r="E25" s="2"/>
    </row>
    <row r="26" spans="1:8" x14ac:dyDescent="0.2">
      <c r="A26" s="93"/>
      <c r="B26" s="442"/>
    </row>
    <row r="27" spans="1:8" x14ac:dyDescent="0.2">
      <c r="A27" s="93"/>
      <c r="B27" s="99"/>
      <c r="C27" s="406"/>
    </row>
    <row r="28" spans="1:8" x14ac:dyDescent="0.2">
      <c r="A28" s="111"/>
      <c r="B28" s="93"/>
      <c r="C28" s="93"/>
      <c r="H28" s="94"/>
    </row>
    <row r="29" spans="1:8" x14ac:dyDescent="0.2">
      <c r="A29" s="111"/>
      <c r="B29" s="93"/>
      <c r="C29" s="93"/>
      <c r="H29" s="94"/>
    </row>
    <row r="30" spans="1:8" x14ac:dyDescent="0.2">
      <c r="A30" s="111"/>
      <c r="B30" s="93"/>
      <c r="C30" s="93"/>
      <c r="D30" s="2"/>
      <c r="E30" s="2"/>
      <c r="H30" s="94"/>
    </row>
    <row r="31" spans="1:8" x14ac:dyDescent="0.2">
      <c r="A31" s="111"/>
      <c r="B31" s="93"/>
      <c r="C31" s="93"/>
      <c r="H31" s="94"/>
    </row>
    <row r="32" spans="1:8" x14ac:dyDescent="0.2">
      <c r="A32" s="93"/>
      <c r="B32" s="93"/>
      <c r="C32" s="93"/>
    </row>
    <row r="33" spans="1:8" x14ac:dyDescent="0.2">
      <c r="B33" s="99"/>
      <c r="C33" s="406"/>
    </row>
    <row r="34" spans="1:8" x14ac:dyDescent="0.2">
      <c r="A34" s="93"/>
      <c r="B34" s="93"/>
      <c r="C34" s="93"/>
    </row>
    <row r="35" spans="1:8" x14ac:dyDescent="0.2">
      <c r="B35" s="99"/>
      <c r="C35" s="406"/>
    </row>
    <row r="37" spans="1:8" ht="13.5" thickBot="1" x14ac:dyDescent="0.25">
      <c r="H37" s="95">
        <f>SUM(H18:H35)</f>
        <v>2112.41</v>
      </c>
    </row>
    <row r="38" spans="1:8" ht="13.5" thickTop="1" x14ac:dyDescent="0.2"/>
    <row r="39" spans="1:8" ht="20.100000000000001" customHeight="1" x14ac:dyDescent="0.2">
      <c r="A39" s="96" t="s">
        <v>336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Two Thousand One Hundred Twelve and 41/100 -----------</v>
      </c>
      <c r="C39" s="185"/>
      <c r="D39" s="97"/>
      <c r="E39" s="97"/>
      <c r="F39" s="206"/>
      <c r="G39" s="206"/>
      <c r="H39" s="206"/>
    </row>
    <row r="40" spans="1:8" x14ac:dyDescent="0.2">
      <c r="A40" s="94" t="s">
        <v>11</v>
      </c>
    </row>
    <row r="41" spans="1:8" ht="25.5" x14ac:dyDescent="0.2">
      <c r="A41" s="91" t="s">
        <v>10</v>
      </c>
      <c r="F41" s="218" t="s">
        <v>3975</v>
      </c>
      <c r="G41" s="219"/>
      <c r="H41" s="220"/>
    </row>
    <row r="42" spans="1:8" x14ac:dyDescent="0.2">
      <c r="F42" s="227"/>
      <c r="G42" s="227"/>
      <c r="H42" s="227"/>
    </row>
    <row r="43" spans="1:8" x14ac:dyDescent="0.2">
      <c r="F43" s="228"/>
      <c r="G43" s="229"/>
      <c r="H43" s="229"/>
    </row>
    <row r="45" spans="1:8" x14ac:dyDescent="0.2">
      <c r="A45" s="101"/>
      <c r="B45" s="101"/>
      <c r="C45" s="386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51" spans="1:8" x14ac:dyDescent="0.2">
      <c r="A51" s="101" t="s">
        <v>120</v>
      </c>
      <c r="B51" s="101"/>
      <c r="C51" s="386"/>
      <c r="D51" s="101" t="s">
        <v>120</v>
      </c>
      <c r="F51" s="101"/>
      <c r="G51" s="101"/>
      <c r="H51" s="101"/>
    </row>
    <row r="52" spans="1:8" s="61" customFormat="1" ht="17.100000000000001" customHeight="1" x14ac:dyDescent="0.2">
      <c r="A52" s="103" t="s">
        <v>4066</v>
      </c>
      <c r="B52" s="104"/>
      <c r="C52" s="104"/>
      <c r="D52" s="103" t="s">
        <v>50</v>
      </c>
      <c r="F52" s="61" t="s">
        <v>3</v>
      </c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sheetPr codeName="Sheet339">
    <pageSetUpPr fitToPage="1"/>
  </sheetPr>
  <dimension ref="A1:G54"/>
  <sheetViews>
    <sheetView topLeftCell="A7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5091</v>
      </c>
      <c r="G9" s="61"/>
    </row>
    <row r="10" spans="1:7" x14ac:dyDescent="0.2">
      <c r="A10" s="91" t="s">
        <v>4684</v>
      </c>
      <c r="D10" s="92" t="s">
        <v>1335</v>
      </c>
      <c r="E10" s="92" t="s">
        <v>5090</v>
      </c>
      <c r="G10" s="113"/>
    </row>
    <row r="11" spans="1:7" x14ac:dyDescent="0.2">
      <c r="A11" s="91" t="s">
        <v>4685</v>
      </c>
      <c r="D11" s="92" t="s">
        <v>1333</v>
      </c>
      <c r="E11" s="92" t="s">
        <v>1220</v>
      </c>
      <c r="G11" s="113"/>
    </row>
    <row r="12" spans="1:7" x14ac:dyDescent="0.2">
      <c r="A12" s="91" t="s">
        <v>4686</v>
      </c>
      <c r="D12" s="92" t="s">
        <v>1331</v>
      </c>
      <c r="E12" s="92" t="s">
        <v>5092</v>
      </c>
      <c r="G12" s="113"/>
    </row>
    <row r="13" spans="1:7" x14ac:dyDescent="0.2">
      <c r="A13" s="91" t="s">
        <v>4687</v>
      </c>
    </row>
    <row r="14" spans="1:7" x14ac:dyDescent="0.2">
      <c r="A14" s="91" t="s">
        <v>4688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5093</v>
      </c>
    </row>
    <row r="19" spans="1:6" x14ac:dyDescent="0.2">
      <c r="A19" s="93"/>
      <c r="B19" s="111"/>
      <c r="C19" s="2"/>
    </row>
    <row r="20" spans="1:6" x14ac:dyDescent="0.2">
      <c r="A20" s="93" t="s">
        <v>5053</v>
      </c>
      <c r="B20" s="109" t="s">
        <v>5094</v>
      </c>
      <c r="C20" s="91" t="s">
        <v>5095</v>
      </c>
      <c r="F20" s="91">
        <v>11500</v>
      </c>
    </row>
    <row r="21" spans="1:6" x14ac:dyDescent="0.2">
      <c r="A21" s="93"/>
      <c r="B21" s="111"/>
      <c r="C21" s="91" t="s">
        <v>4689</v>
      </c>
    </row>
    <row r="22" spans="1:6" x14ac:dyDescent="0.2">
      <c r="C22" s="91" t="s">
        <v>4690</v>
      </c>
    </row>
    <row r="23" spans="1:6" x14ac:dyDescent="0.2">
      <c r="C23" s="91" t="s">
        <v>4691</v>
      </c>
    </row>
    <row r="24" spans="1:6" x14ac:dyDescent="0.2">
      <c r="A24" s="93"/>
      <c r="B24" s="109"/>
      <c r="C24" s="91" t="s">
        <v>4692</v>
      </c>
    </row>
    <row r="25" spans="1:6" x14ac:dyDescent="0.2">
      <c r="A25" s="93"/>
      <c r="B25" s="93"/>
      <c r="C25" s="91" t="s">
        <v>4693</v>
      </c>
    </row>
    <row r="26" spans="1:6" x14ac:dyDescent="0.2">
      <c r="A26" s="111"/>
      <c r="B26" s="93"/>
      <c r="C26" s="2"/>
      <c r="F26" s="110"/>
    </row>
    <row r="27" spans="1:6" x14ac:dyDescent="0.2">
      <c r="A27" s="111"/>
      <c r="B27" s="99"/>
      <c r="C27" s="91" t="s">
        <v>4924</v>
      </c>
      <c r="F27" s="91">
        <v>300</v>
      </c>
    </row>
    <row r="28" spans="1:6" x14ac:dyDescent="0.2">
      <c r="A28" s="93"/>
      <c r="B28" s="99"/>
    </row>
    <row r="29" spans="1:6" x14ac:dyDescent="0.2">
      <c r="A29" s="111"/>
      <c r="B29" s="93"/>
    </row>
    <row r="30" spans="1:6" x14ac:dyDescent="0.2">
      <c r="A30" s="111"/>
      <c r="B30" s="93"/>
    </row>
    <row r="31" spans="1:6" x14ac:dyDescent="0.2">
      <c r="A31" s="111"/>
      <c r="B31" s="93"/>
    </row>
    <row r="32" spans="1:6" x14ac:dyDescent="0.2">
      <c r="A32" s="109"/>
      <c r="B32" s="99"/>
    </row>
    <row r="35" spans="1:6" ht="13.5" thickBot="1" x14ac:dyDescent="0.25">
      <c r="F35" s="95">
        <f>SUM(F19:F34)</f>
        <v>11800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Eleven Thousand Eight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sheetPr codeName="Sheet362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3870</v>
      </c>
      <c r="G9" s="61"/>
    </row>
    <row r="10" spans="1:7" x14ac:dyDescent="0.2">
      <c r="A10" s="91" t="s">
        <v>3613</v>
      </c>
      <c r="D10" s="92" t="s">
        <v>1335</v>
      </c>
      <c r="E10" s="92" t="s">
        <v>3865</v>
      </c>
      <c r="G10" s="113"/>
    </row>
    <row r="11" spans="1:7" x14ac:dyDescent="0.2">
      <c r="A11" s="91" t="s">
        <v>3614</v>
      </c>
      <c r="D11" s="92" t="s">
        <v>1333</v>
      </c>
      <c r="E11" s="92" t="s">
        <v>1220</v>
      </c>
      <c r="G11" s="113"/>
    </row>
    <row r="12" spans="1:7" x14ac:dyDescent="0.2">
      <c r="A12" s="91" t="s">
        <v>3615</v>
      </c>
      <c r="D12" s="92" t="s">
        <v>1331</v>
      </c>
      <c r="E12" s="92" t="s">
        <v>3871</v>
      </c>
      <c r="G12" s="113"/>
    </row>
    <row r="13" spans="1:7" x14ac:dyDescent="0.2">
      <c r="A13" s="91" t="s">
        <v>3616</v>
      </c>
    </row>
    <row r="14" spans="1:7" x14ac:dyDescent="0.2">
      <c r="A14" s="91" t="s">
        <v>3617</v>
      </c>
    </row>
    <row r="15" spans="1:7" x14ac:dyDescent="0.2">
      <c r="A15" s="91" t="s">
        <v>2337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3872</v>
      </c>
    </row>
    <row r="20" spans="1:6" x14ac:dyDescent="0.2">
      <c r="A20" s="93" t="s">
        <v>3873</v>
      </c>
      <c r="B20" s="111" t="s">
        <v>3874</v>
      </c>
      <c r="C20" s="91" t="s">
        <v>3875</v>
      </c>
      <c r="F20" s="91">
        <v>2000</v>
      </c>
    </row>
    <row r="21" spans="1:6" x14ac:dyDescent="0.2">
      <c r="A21" s="93"/>
      <c r="B21" s="111"/>
      <c r="C21" s="91" t="s">
        <v>3876</v>
      </c>
    </row>
    <row r="22" spans="1:6" x14ac:dyDescent="0.2">
      <c r="C22" s="2"/>
    </row>
    <row r="23" spans="1:6" x14ac:dyDescent="0.2">
      <c r="C23" s="2" t="s">
        <v>3707</v>
      </c>
    </row>
    <row r="25" spans="1:6" x14ac:dyDescent="0.2">
      <c r="A25" s="93" t="s">
        <v>3873</v>
      </c>
      <c r="B25" s="111" t="s">
        <v>3877</v>
      </c>
      <c r="C25" s="91" t="s">
        <v>3878</v>
      </c>
      <c r="F25" s="151">
        <v>300</v>
      </c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95">
        <f>SUM(F20:F33)</f>
        <v>2300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Three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sheetPr codeName="Sheet20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3.5703125" style="153" customWidth="1"/>
    <col min="2" max="2" width="16" style="153" customWidth="1"/>
    <col min="3" max="3" width="23" style="153" customWidth="1"/>
    <col min="4" max="4" width="16.42578125" style="153" customWidth="1"/>
    <col min="5" max="5" width="10.5703125" style="153" customWidth="1"/>
    <col min="6" max="6" width="13.710937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3009</v>
      </c>
    </row>
    <row r="10" spans="1:6" x14ac:dyDescent="0.2">
      <c r="A10" s="153" t="s">
        <v>2294</v>
      </c>
      <c r="D10" s="155" t="s">
        <v>1222</v>
      </c>
      <c r="E10" s="155" t="s">
        <v>3010</v>
      </c>
    </row>
    <row r="11" spans="1:6" x14ac:dyDescent="0.2">
      <c r="A11" s="153" t="s">
        <v>2295</v>
      </c>
      <c r="D11" s="155" t="s">
        <v>1223</v>
      </c>
      <c r="E11" s="155" t="s">
        <v>1220</v>
      </c>
    </row>
    <row r="12" spans="1:6" x14ac:dyDescent="0.2">
      <c r="A12" s="153" t="s">
        <v>1561</v>
      </c>
      <c r="D12" s="155" t="s">
        <v>1224</v>
      </c>
      <c r="E12" s="155" t="s">
        <v>3011</v>
      </c>
    </row>
    <row r="13" spans="1:6" x14ac:dyDescent="0.2">
      <c r="A13" s="153" t="s">
        <v>2296</v>
      </c>
    </row>
    <row r="14" spans="1:6" x14ac:dyDescent="0.2">
      <c r="A14" s="153" t="s">
        <v>2297</v>
      </c>
    </row>
    <row r="16" spans="1:6" s="162" customFormat="1" ht="20.100000000000001" customHeight="1" x14ac:dyDescent="0.2">
      <c r="A16" s="157" t="s">
        <v>1261</v>
      </c>
      <c r="B16" s="157" t="s">
        <v>1262</v>
      </c>
      <c r="C16" s="159" t="s">
        <v>19</v>
      </c>
      <c r="D16" s="157"/>
      <c r="E16" s="158"/>
      <c r="F16" s="161" t="s">
        <v>18</v>
      </c>
    </row>
    <row r="17" spans="1:6" x14ac:dyDescent="0.2">
      <c r="A17" s="183"/>
    </row>
    <row r="18" spans="1:6" x14ac:dyDescent="0.2">
      <c r="C18" s="163" t="s">
        <v>2298</v>
      </c>
    </row>
    <row r="20" spans="1:6" x14ac:dyDescent="0.2">
      <c r="A20" s="196" t="s">
        <v>3013</v>
      </c>
      <c r="B20" s="183" t="s">
        <v>3012</v>
      </c>
      <c r="C20" s="153" t="s">
        <v>3014</v>
      </c>
      <c r="F20" s="153">
        <v>410</v>
      </c>
    </row>
    <row r="22" spans="1:6" x14ac:dyDescent="0.2">
      <c r="C22" s="163"/>
    </row>
    <row r="23" spans="1:6" x14ac:dyDescent="0.2">
      <c r="A23" s="173"/>
    </row>
    <row r="24" spans="1:6" x14ac:dyDescent="0.2">
      <c r="A24" s="168"/>
    </row>
    <row r="25" spans="1:6" x14ac:dyDescent="0.2">
      <c r="A25" s="173"/>
    </row>
    <row r="26" spans="1:6" x14ac:dyDescent="0.2">
      <c r="A26" s="184"/>
    </row>
    <row r="27" spans="1:6" x14ac:dyDescent="0.2">
      <c r="A27" s="184"/>
    </row>
    <row r="28" spans="1:6" x14ac:dyDescent="0.2">
      <c r="A28" s="183"/>
    </row>
    <row r="29" spans="1:6" x14ac:dyDescent="0.2">
      <c r="A29" s="183"/>
    </row>
    <row r="30" spans="1:6" x14ac:dyDescent="0.2">
      <c r="A30" s="183"/>
    </row>
    <row r="31" spans="1:6" x14ac:dyDescent="0.2">
      <c r="A31" s="183"/>
    </row>
    <row r="32" spans="1:6" ht="13.5" thickBot="1" x14ac:dyDescent="0.25">
      <c r="A32" s="183"/>
      <c r="F32" s="170">
        <f>SUM(F18:F31)</f>
        <v>410</v>
      </c>
    </row>
    <row r="33" spans="1:6" ht="13.5" thickTop="1" x14ac:dyDescent="0.2">
      <c r="A33" s="183"/>
    </row>
    <row r="34" spans="1:6" ht="13.5" thickBot="1" x14ac:dyDescent="0.25">
      <c r="A34" s="183"/>
      <c r="F34" s="170"/>
    </row>
    <row r="35" spans="1:6" ht="20.100000000000001" customHeight="1" thickTop="1" x14ac:dyDescent="0.2">
      <c r="A35" s="171" t="s">
        <v>336</v>
      </c>
      <c r="B35" s="171" t="s">
        <v>3015</v>
      </c>
      <c r="C35" s="172"/>
      <c r="D35" s="172"/>
      <c r="E35" s="172"/>
      <c r="F35" s="172"/>
    </row>
    <row r="36" spans="1:6" ht="25.5" x14ac:dyDescent="0.2">
      <c r="A36" s="169" t="s">
        <v>11</v>
      </c>
      <c r="D36" s="218" t="s">
        <v>3975</v>
      </c>
      <c r="E36" s="219"/>
      <c r="F36" s="220"/>
    </row>
    <row r="37" spans="1:6" x14ac:dyDescent="0.2">
      <c r="A37" s="153" t="s">
        <v>10</v>
      </c>
    </row>
    <row r="39" spans="1:6" x14ac:dyDescent="0.2">
      <c r="D39" s="227"/>
      <c r="E39" s="227"/>
      <c r="F39" s="227"/>
    </row>
    <row r="40" spans="1:6" x14ac:dyDescent="0.2">
      <c r="C40" s="173"/>
      <c r="D40" s="228"/>
      <c r="E40" s="229"/>
      <c r="F40" s="229"/>
    </row>
    <row r="41" spans="1:6" x14ac:dyDescent="0.2">
      <c r="B41" s="174"/>
    </row>
    <row r="42" spans="1:6" x14ac:dyDescent="0.2">
      <c r="A42" s="174"/>
    </row>
    <row r="43" spans="1:6" x14ac:dyDescent="0.2">
      <c r="A43" s="175" t="s">
        <v>8</v>
      </c>
      <c r="D43" s="175" t="s">
        <v>7</v>
      </c>
      <c r="F43" s="173"/>
    </row>
    <row r="47" spans="1:6" x14ac:dyDescent="0.2">
      <c r="A47" s="174" t="s">
        <v>3972</v>
      </c>
      <c r="B47" s="174"/>
      <c r="D47" s="174"/>
      <c r="E47" s="174"/>
      <c r="F47" s="174"/>
    </row>
    <row r="48" spans="1:6" s="156" customFormat="1" ht="17.100000000000001" customHeight="1" x14ac:dyDescent="0.2">
      <c r="A48" s="177" t="s">
        <v>35</v>
      </c>
      <c r="B48" s="177"/>
      <c r="D48" s="156" t="s">
        <v>3</v>
      </c>
    </row>
    <row r="49" spans="1:4" x14ac:dyDescent="0.2">
      <c r="A49" s="153" t="s">
        <v>4066</v>
      </c>
      <c r="D49" s="153" t="s">
        <v>2</v>
      </c>
    </row>
    <row r="51" spans="1:4" x14ac:dyDescent="0.2">
      <c r="D51" s="163" t="s">
        <v>1</v>
      </c>
    </row>
    <row r="52" spans="1:4" x14ac:dyDescent="0.2">
      <c r="D52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94">
    <pageSetUpPr fitToPage="1"/>
  </sheetPr>
  <dimension ref="A1:J53"/>
  <sheetViews>
    <sheetView topLeftCell="A7" workbookViewId="0">
      <selection activeCell="G9" sqref="G9:G13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0.7109375" style="91" customWidth="1"/>
    <col min="4" max="4" width="21.85546875" style="91" customWidth="1"/>
    <col min="5" max="5" width="0.85546875" style="91" customWidth="1"/>
    <col min="6" max="6" width="15.28515625" style="91" customWidth="1"/>
    <col min="7" max="7" width="11" style="91" customWidth="1"/>
    <col min="8" max="8" width="15.42578125" style="91" customWidth="1"/>
    <col min="9" max="9" width="13.28515625" style="91" customWidth="1"/>
    <col min="10" max="16384" width="9.140625" style="9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F8" s="22" t="s">
        <v>31</v>
      </c>
      <c r="G8" s="22"/>
    </row>
    <row r="9" spans="1:10" x14ac:dyDescent="0.2">
      <c r="F9" s="92" t="s">
        <v>1393</v>
      </c>
      <c r="G9" s="91" t="s">
        <v>8558</v>
      </c>
    </row>
    <row r="10" spans="1:10" x14ac:dyDescent="0.2">
      <c r="A10" s="91" t="s">
        <v>3976</v>
      </c>
      <c r="F10" s="92" t="s">
        <v>1356</v>
      </c>
      <c r="G10" s="92" t="s">
        <v>8559</v>
      </c>
      <c r="I10" s="108"/>
      <c r="J10" s="108"/>
    </row>
    <row r="11" spans="1:10" x14ac:dyDescent="0.2">
      <c r="A11" s="91" t="s">
        <v>3977</v>
      </c>
      <c r="F11" s="92" t="s">
        <v>1364</v>
      </c>
      <c r="G11" s="92" t="s">
        <v>1220</v>
      </c>
    </row>
    <row r="12" spans="1:10" x14ac:dyDescent="0.2">
      <c r="A12" s="91" t="s">
        <v>3978</v>
      </c>
      <c r="F12" s="92" t="s">
        <v>1394</v>
      </c>
      <c r="G12" s="92" t="s">
        <v>8550</v>
      </c>
    </row>
    <row r="13" spans="1:10" x14ac:dyDescent="0.2">
      <c r="A13" s="91" t="s">
        <v>3979</v>
      </c>
      <c r="F13" s="92"/>
      <c r="G13" s="91" t="s">
        <v>7931</v>
      </c>
    </row>
    <row r="14" spans="1:10" x14ac:dyDescent="0.2">
      <c r="A14" s="91" t="s">
        <v>3980</v>
      </c>
    </row>
    <row r="16" spans="1:10" s="14" customFormat="1" ht="20.100000000000001" customHeight="1" x14ac:dyDescent="0.2">
      <c r="A16" s="17" t="s">
        <v>1247</v>
      </c>
      <c r="B16" s="31" t="s">
        <v>128</v>
      </c>
      <c r="C16" s="468"/>
      <c r="D16" s="18" t="s">
        <v>19</v>
      </c>
      <c r="E16" s="18"/>
      <c r="F16" s="17"/>
      <c r="G16" s="17"/>
      <c r="H16" s="15" t="s">
        <v>18</v>
      </c>
    </row>
    <row r="18" spans="1:8" x14ac:dyDescent="0.2">
      <c r="A18" s="93"/>
      <c r="B18" s="93"/>
      <c r="C18" s="93"/>
      <c r="D18" s="2" t="s">
        <v>8560</v>
      </c>
      <c r="E18" s="2"/>
    </row>
    <row r="19" spans="1:8" x14ac:dyDescent="0.2">
      <c r="A19" s="94"/>
      <c r="D19" s="2"/>
      <c r="E19" s="2"/>
    </row>
    <row r="20" spans="1:8" x14ac:dyDescent="0.2">
      <c r="A20" s="93" t="s">
        <v>8561</v>
      </c>
      <c r="B20" s="93" t="s">
        <v>8562</v>
      </c>
      <c r="C20" s="93"/>
      <c r="D20" s="91" t="s">
        <v>8022</v>
      </c>
      <c r="H20" s="91">
        <v>1800</v>
      </c>
    </row>
    <row r="21" spans="1:8" x14ac:dyDescent="0.2">
      <c r="A21" s="93"/>
      <c r="B21" s="93"/>
      <c r="C21" s="93"/>
      <c r="D21" s="91" t="s">
        <v>8563</v>
      </c>
    </row>
    <row r="22" spans="1:8" x14ac:dyDescent="0.2">
      <c r="A22" s="93"/>
      <c r="B22" s="99"/>
      <c r="C22" s="469"/>
    </row>
    <row r="23" spans="1:8" x14ac:dyDescent="0.2">
      <c r="A23" s="93"/>
      <c r="B23" s="93"/>
      <c r="C23" s="93"/>
    </row>
    <row r="25" spans="1:8" x14ac:dyDescent="0.2">
      <c r="B25" s="94"/>
      <c r="C25" s="94"/>
    </row>
    <row r="26" spans="1:8" x14ac:dyDescent="0.2">
      <c r="B26" s="94"/>
      <c r="C26" s="94"/>
    </row>
    <row r="27" spans="1:8" x14ac:dyDescent="0.2">
      <c r="B27" s="94"/>
      <c r="C27" s="94"/>
    </row>
    <row r="28" spans="1:8" x14ac:dyDescent="0.2">
      <c r="B28" s="94"/>
      <c r="C28" s="94"/>
      <c r="D28" s="2"/>
      <c r="E28" s="2"/>
    </row>
    <row r="29" spans="1:8" x14ac:dyDescent="0.2">
      <c r="B29" s="94"/>
      <c r="C29" s="94"/>
    </row>
    <row r="30" spans="1:8" x14ac:dyDescent="0.2">
      <c r="B30" s="94"/>
      <c r="C30" s="94"/>
    </row>
    <row r="31" spans="1:8" x14ac:dyDescent="0.2">
      <c r="B31" s="94"/>
      <c r="C31" s="94"/>
    </row>
    <row r="32" spans="1:8" x14ac:dyDescent="0.2">
      <c r="B32" s="94"/>
      <c r="C32" s="94"/>
    </row>
    <row r="33" spans="1:9" x14ac:dyDescent="0.2">
      <c r="B33" s="94"/>
      <c r="C33" s="94"/>
    </row>
    <row r="34" spans="1:9" ht="13.5" thickBot="1" x14ac:dyDescent="0.25">
      <c r="H34" s="107">
        <f>SUM(H18:H32)</f>
        <v>1800</v>
      </c>
    </row>
    <row r="35" spans="1:9" ht="13.5" thickTop="1" x14ac:dyDescent="0.2"/>
    <row r="36" spans="1:9" ht="20.100000000000001" customHeight="1" x14ac:dyDescent="0.2">
      <c r="A36" s="96" t="s">
        <v>1465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Eight Hundred and NO/100 -----------</v>
      </c>
      <c r="C36" s="185"/>
      <c r="D36" s="97"/>
      <c r="E36" s="97"/>
      <c r="F36" s="97"/>
      <c r="G36" s="97"/>
      <c r="H36" s="97"/>
    </row>
    <row r="37" spans="1:9" x14ac:dyDescent="0.2">
      <c r="A37" s="94" t="s">
        <v>11</v>
      </c>
    </row>
    <row r="38" spans="1:9" ht="25.5" x14ac:dyDescent="0.2">
      <c r="A38" s="103" t="s">
        <v>10</v>
      </c>
      <c r="F38" s="233" t="s">
        <v>3975</v>
      </c>
      <c r="G38" s="232"/>
      <c r="H38" s="220"/>
    </row>
    <row r="39" spans="1:9" ht="24" customHeight="1" x14ac:dyDescent="0.2"/>
    <row r="40" spans="1:9" x14ac:dyDescent="0.2">
      <c r="F40" s="227"/>
      <c r="G40" s="227"/>
      <c r="H40" s="227"/>
      <c r="I40" s="227"/>
    </row>
    <row r="41" spans="1:9" x14ac:dyDescent="0.2">
      <c r="D41" s="99"/>
      <c r="E41" s="469"/>
      <c r="F41" s="228"/>
      <c r="G41" s="228"/>
      <c r="H41" s="229"/>
      <c r="I41" s="229"/>
    </row>
    <row r="42" spans="1:9" x14ac:dyDescent="0.2">
      <c r="A42" s="101"/>
      <c r="B42" s="101"/>
      <c r="C42" s="386"/>
    </row>
    <row r="44" spans="1:9" x14ac:dyDescent="0.2">
      <c r="A44" s="98" t="s">
        <v>8</v>
      </c>
      <c r="D44" s="98" t="s">
        <v>8</v>
      </c>
      <c r="F44" s="98" t="s">
        <v>7</v>
      </c>
      <c r="G44" s="98"/>
      <c r="H44" s="102"/>
    </row>
    <row r="48" spans="1:9" x14ac:dyDescent="0.2">
      <c r="A48" s="101"/>
      <c r="B48" s="101"/>
      <c r="C48" s="386"/>
      <c r="D48" s="101"/>
      <c r="F48" s="101"/>
      <c r="G48" s="101"/>
      <c r="H48" s="101"/>
    </row>
    <row r="49" spans="1:7" s="61" customFormat="1" ht="17.100000000000001" customHeight="1" x14ac:dyDescent="0.2">
      <c r="A49" s="91" t="s">
        <v>4066</v>
      </c>
      <c r="B49" s="104"/>
      <c r="C49" s="104"/>
      <c r="D49" s="91" t="s">
        <v>50</v>
      </c>
      <c r="F49" s="61" t="s">
        <v>3</v>
      </c>
    </row>
    <row r="50" spans="1:7" x14ac:dyDescent="0.2">
      <c r="F50" s="91" t="s">
        <v>2</v>
      </c>
    </row>
    <row r="52" spans="1:7" x14ac:dyDescent="0.2">
      <c r="F52" s="2" t="s">
        <v>1</v>
      </c>
      <c r="G52" s="2"/>
    </row>
    <row r="53" spans="1:7" x14ac:dyDescent="0.2">
      <c r="F53" s="2" t="s">
        <v>0</v>
      </c>
      <c r="G53" s="2"/>
    </row>
  </sheetData>
  <customSheetViews>
    <customSheetView guid="{6428A7A0-B31B-40C1-A13E-AD0DCC619E51}" fitToPage="1" topLeftCell="A26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sheetPr codeName="Sheet28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5784</v>
      </c>
    </row>
    <row r="10" spans="1:6" x14ac:dyDescent="0.2">
      <c r="A10" s="91" t="s">
        <v>2980</v>
      </c>
      <c r="D10" s="92" t="s">
        <v>1356</v>
      </c>
      <c r="E10" s="92" t="s">
        <v>5783</v>
      </c>
    </row>
    <row r="11" spans="1:6" x14ac:dyDescent="0.2">
      <c r="A11" s="91" t="s">
        <v>2981</v>
      </c>
      <c r="D11" s="92" t="s">
        <v>1364</v>
      </c>
      <c r="E11" s="92" t="s">
        <v>1220</v>
      </c>
    </row>
    <row r="12" spans="1:6" x14ac:dyDescent="0.2">
      <c r="A12" s="91" t="s">
        <v>2982</v>
      </c>
      <c r="D12" s="92" t="s">
        <v>1394</v>
      </c>
      <c r="E12" s="92" t="s">
        <v>5785</v>
      </c>
    </row>
    <row r="13" spans="1:6" x14ac:dyDescent="0.2">
      <c r="A13" s="91" t="s">
        <v>2983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/>
    </row>
    <row r="19" spans="1:6" x14ac:dyDescent="0.2">
      <c r="A19" s="111" t="s">
        <v>5782</v>
      </c>
      <c r="B19" s="93" t="s">
        <v>5786</v>
      </c>
      <c r="C19" s="91" t="s">
        <v>5787</v>
      </c>
      <c r="F19" s="91">
        <v>180</v>
      </c>
    </row>
    <row r="21" spans="1:6" x14ac:dyDescent="0.2">
      <c r="A21" s="109"/>
      <c r="B21" s="93"/>
    </row>
    <row r="22" spans="1:6" x14ac:dyDescent="0.2">
      <c r="A22" s="109"/>
      <c r="B22" s="99"/>
    </row>
    <row r="23" spans="1:6" x14ac:dyDescent="0.2">
      <c r="A23" s="109"/>
      <c r="B23" s="93"/>
    </row>
    <row r="24" spans="1:6" x14ac:dyDescent="0.2">
      <c r="A24" s="109"/>
      <c r="B24" s="93"/>
    </row>
    <row r="25" spans="1:6" x14ac:dyDescent="0.2">
      <c r="A25" s="109"/>
      <c r="B25" s="93"/>
    </row>
    <row r="26" spans="1:6" x14ac:dyDescent="0.2">
      <c r="A26" s="109"/>
      <c r="B26" s="99"/>
    </row>
    <row r="27" spans="1:6" x14ac:dyDescent="0.2">
      <c r="A27" s="109"/>
      <c r="B27" s="99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x14ac:dyDescent="0.2">
      <c r="A32" s="109"/>
    </row>
    <row r="33" spans="1:6" ht="13.5" thickBot="1" x14ac:dyDescent="0.25">
      <c r="A33" s="109"/>
      <c r="F33" s="95">
        <f>SUM(F19:F31)</f>
        <v>180</v>
      </c>
    </row>
    <row r="34" spans="1:6" ht="13.5" thickTop="1" x14ac:dyDescent="0.2"/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Eighty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sheetPr codeName="Sheet283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1334</v>
      </c>
      <c r="E9" s="91" t="s">
        <v>2937</v>
      </c>
    </row>
    <row r="10" spans="1:6" x14ac:dyDescent="0.2">
      <c r="A10" s="91" t="s">
        <v>2939</v>
      </c>
      <c r="D10" s="92" t="s">
        <v>1335</v>
      </c>
      <c r="E10" s="92" t="s">
        <v>2908</v>
      </c>
    </row>
    <row r="11" spans="1:6" x14ac:dyDescent="0.2">
      <c r="A11" s="91" t="s">
        <v>2940</v>
      </c>
      <c r="D11" s="92" t="s">
        <v>1333</v>
      </c>
      <c r="E11" s="92" t="s">
        <v>1220</v>
      </c>
    </row>
    <row r="12" spans="1:6" x14ac:dyDescent="0.2">
      <c r="A12" s="91" t="s">
        <v>2941</v>
      </c>
      <c r="D12" s="92" t="s">
        <v>1331</v>
      </c>
      <c r="E12" s="92" t="s">
        <v>2938</v>
      </c>
    </row>
    <row r="13" spans="1:6" x14ac:dyDescent="0.2">
      <c r="A13" s="91" t="s">
        <v>2942</v>
      </c>
    </row>
    <row r="14" spans="1:6" x14ac:dyDescent="0.2">
      <c r="A14" s="91" t="s">
        <v>2943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2944</v>
      </c>
    </row>
    <row r="19" spans="1:6" x14ac:dyDescent="0.2">
      <c r="A19" s="93"/>
      <c r="B19" s="111"/>
      <c r="C19" s="2"/>
    </row>
    <row r="20" spans="1:6" x14ac:dyDescent="0.2">
      <c r="A20" s="93" t="s">
        <v>2945</v>
      </c>
      <c r="B20" s="111" t="s">
        <v>2946</v>
      </c>
      <c r="C20" s="91" t="s">
        <v>2947</v>
      </c>
      <c r="F20" s="94">
        <v>3150</v>
      </c>
    </row>
    <row r="21" spans="1:6" x14ac:dyDescent="0.2">
      <c r="A21" s="93"/>
      <c r="B21" s="111"/>
    </row>
    <row r="22" spans="1:6" x14ac:dyDescent="0.2">
      <c r="A22" s="93"/>
      <c r="B22" s="111"/>
      <c r="C22" s="91" t="s">
        <v>2948</v>
      </c>
      <c r="F22" s="91">
        <v>320</v>
      </c>
    </row>
    <row r="23" spans="1:6" x14ac:dyDescent="0.2">
      <c r="A23" s="93"/>
      <c r="B23" s="111"/>
    </row>
    <row r="24" spans="1:6" x14ac:dyDescent="0.2">
      <c r="A24" s="111"/>
      <c r="B24" s="93"/>
      <c r="F24" s="151"/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8" spans="1:6" x14ac:dyDescent="0.2">
      <c r="A28" s="108"/>
    </row>
    <row r="29" spans="1:6" x14ac:dyDescent="0.2">
      <c r="A29" s="111"/>
      <c r="B29" s="93"/>
      <c r="F29" s="110"/>
    </row>
    <row r="30" spans="1:6" x14ac:dyDescent="0.2">
      <c r="A30" s="93"/>
      <c r="B30" s="93"/>
    </row>
    <row r="32" spans="1:6" ht="13.5" thickBot="1" x14ac:dyDescent="0.25">
      <c r="F32" s="95">
        <f>SUM(F18:F31)</f>
        <v>3470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2949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sheetPr codeName="Sheet225">
    <pageSetUpPr fitToPage="1"/>
  </sheetPr>
  <dimension ref="A1:H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153" t="s">
        <v>2507</v>
      </c>
      <c r="G9" s="61"/>
    </row>
    <row r="10" spans="1:7" x14ac:dyDescent="0.2">
      <c r="A10" s="91" t="s">
        <v>2509</v>
      </c>
      <c r="D10" s="92" t="s">
        <v>1335</v>
      </c>
      <c r="E10" s="155" t="s">
        <v>2480</v>
      </c>
      <c r="G10" s="113"/>
    </row>
    <row r="11" spans="1:7" x14ac:dyDescent="0.2">
      <c r="A11" s="91" t="s">
        <v>2510</v>
      </c>
      <c r="D11" s="92" t="s">
        <v>1333</v>
      </c>
      <c r="E11" s="155" t="s">
        <v>1220</v>
      </c>
      <c r="G11" s="113"/>
    </row>
    <row r="12" spans="1:7" x14ac:dyDescent="0.2">
      <c r="A12" s="91" t="s">
        <v>2511</v>
      </c>
      <c r="D12" s="92" t="s">
        <v>1331</v>
      </c>
      <c r="E12" s="155" t="s">
        <v>2508</v>
      </c>
      <c r="G12" s="113"/>
    </row>
    <row r="13" spans="1:7" x14ac:dyDescent="0.2">
      <c r="A13" s="91" t="s">
        <v>2512</v>
      </c>
    </row>
    <row r="14" spans="1:7" x14ac:dyDescent="0.2">
      <c r="A14" s="91" t="s">
        <v>2513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8" x14ac:dyDescent="0.2">
      <c r="A18" s="93"/>
      <c r="C18" s="2" t="s">
        <v>2401</v>
      </c>
    </row>
    <row r="19" spans="1:8" x14ac:dyDescent="0.2">
      <c r="A19" s="93"/>
      <c r="B19" s="111"/>
      <c r="C19" s="143"/>
    </row>
    <row r="20" spans="1:8" x14ac:dyDescent="0.2">
      <c r="A20" s="93" t="s">
        <v>2437</v>
      </c>
      <c r="B20" s="111"/>
      <c r="C20" s="91" t="s">
        <v>2514</v>
      </c>
    </row>
    <row r="21" spans="1:8" x14ac:dyDescent="0.2">
      <c r="A21" s="93"/>
      <c r="B21" s="111"/>
      <c r="C21" s="91" t="s">
        <v>2515</v>
      </c>
      <c r="F21" s="151">
        <v>6000</v>
      </c>
    </row>
    <row r="22" spans="1:8" x14ac:dyDescent="0.2">
      <c r="A22" s="93"/>
      <c r="B22" s="111"/>
      <c r="C22" s="91" t="s">
        <v>2516</v>
      </c>
      <c r="F22" s="110">
        <v>8000</v>
      </c>
    </row>
    <row r="23" spans="1:8" x14ac:dyDescent="0.2">
      <c r="A23" s="93"/>
      <c r="B23" s="111"/>
      <c r="C23" s="91" t="s">
        <v>2517</v>
      </c>
      <c r="F23" s="91">
        <v>6000</v>
      </c>
    </row>
    <row r="24" spans="1:8" x14ac:dyDescent="0.2">
      <c r="A24" s="111"/>
      <c r="B24" s="93"/>
      <c r="C24" s="91" t="s">
        <v>2518</v>
      </c>
      <c r="F24" s="91">
        <v>5000</v>
      </c>
    </row>
    <row r="25" spans="1:8" x14ac:dyDescent="0.2">
      <c r="A25" s="111"/>
      <c r="B25" s="93"/>
      <c r="F25" s="110"/>
    </row>
    <row r="26" spans="1:8" x14ac:dyDescent="0.2">
      <c r="A26" s="93"/>
      <c r="B26" s="93"/>
    </row>
    <row r="27" spans="1:8" x14ac:dyDescent="0.2">
      <c r="A27" s="93"/>
      <c r="B27" s="111"/>
    </row>
    <row r="28" spans="1:8" x14ac:dyDescent="0.2">
      <c r="A28" s="111"/>
      <c r="B28" s="93"/>
      <c r="D28" s="143"/>
      <c r="E28" s="143"/>
      <c r="F28" s="189"/>
      <c r="G28" s="186"/>
      <c r="H28" s="186"/>
    </row>
    <row r="29" spans="1:8" x14ac:dyDescent="0.2">
      <c r="A29" s="108"/>
    </row>
    <row r="30" spans="1:8" x14ac:dyDescent="0.2">
      <c r="A30" s="93"/>
      <c r="B30" s="93"/>
      <c r="F30" s="110"/>
    </row>
    <row r="33" spans="1:6" ht="13.5" thickBot="1" x14ac:dyDescent="0.25">
      <c r="F33" s="95">
        <f>SUM(F18:F31)</f>
        <v>25000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2519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sheetPr codeName="Sheet19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2160</v>
      </c>
    </row>
    <row r="10" spans="1:6" x14ac:dyDescent="0.2">
      <c r="A10" s="91" t="s">
        <v>2162</v>
      </c>
      <c r="D10" s="92" t="s">
        <v>1444</v>
      </c>
      <c r="E10" s="92" t="s">
        <v>2159</v>
      </c>
    </row>
    <row r="11" spans="1:6" x14ac:dyDescent="0.2">
      <c r="A11" s="94" t="s">
        <v>2163</v>
      </c>
      <c r="D11" s="92" t="s">
        <v>1431</v>
      </c>
      <c r="E11" s="92" t="s">
        <v>1220</v>
      </c>
    </row>
    <row r="12" spans="1:6" x14ac:dyDescent="0.2">
      <c r="A12" s="91" t="s">
        <v>2164</v>
      </c>
      <c r="D12" s="92" t="s">
        <v>1268</v>
      </c>
      <c r="E12" s="92" t="s">
        <v>2161</v>
      </c>
    </row>
    <row r="13" spans="1:6" x14ac:dyDescent="0.2">
      <c r="A13" s="91" t="s">
        <v>1889</v>
      </c>
    </row>
    <row r="14" spans="1:6" x14ac:dyDescent="0.2">
      <c r="A14" s="91" t="s">
        <v>2165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2168</v>
      </c>
    </row>
    <row r="19" spans="1:6" x14ac:dyDescent="0.2">
      <c r="A19" s="93"/>
      <c r="B19" s="93"/>
    </row>
    <row r="20" spans="1:6" x14ac:dyDescent="0.2">
      <c r="A20" s="93" t="s">
        <v>2166</v>
      </c>
      <c r="B20" s="93" t="s">
        <v>2167</v>
      </c>
      <c r="C20" s="91" t="s">
        <v>2169</v>
      </c>
      <c r="F20" s="110">
        <v>600</v>
      </c>
    </row>
    <row r="21" spans="1:6" x14ac:dyDescent="0.2">
      <c r="A21" s="93"/>
      <c r="B21" s="93"/>
      <c r="C21" s="2"/>
      <c r="F21" s="110"/>
    </row>
    <row r="22" spans="1:6" x14ac:dyDescent="0.2">
      <c r="B22" s="99"/>
    </row>
    <row r="23" spans="1:6" x14ac:dyDescent="0.2">
      <c r="A23" s="111"/>
      <c r="B23" s="93"/>
      <c r="F23" s="110"/>
    </row>
    <row r="24" spans="1:6" x14ac:dyDescent="0.2">
      <c r="A24" s="111"/>
      <c r="B24" s="93"/>
      <c r="F24" s="110"/>
    </row>
    <row r="25" spans="1:6" x14ac:dyDescent="0.2">
      <c r="A25" s="111"/>
      <c r="B25" s="93"/>
    </row>
    <row r="26" spans="1:6" x14ac:dyDescent="0.2">
      <c r="A26" s="111"/>
      <c r="B26" s="93"/>
    </row>
    <row r="27" spans="1:6" x14ac:dyDescent="0.2">
      <c r="A27" s="111"/>
      <c r="B27" s="93"/>
      <c r="F27" s="94"/>
    </row>
    <row r="28" spans="1:6" x14ac:dyDescent="0.2">
      <c r="A28" s="93"/>
      <c r="B28" s="93"/>
    </row>
    <row r="29" spans="1:6" x14ac:dyDescent="0.2">
      <c r="B29" s="99"/>
    </row>
    <row r="30" spans="1:6" x14ac:dyDescent="0.2">
      <c r="A30" s="93"/>
      <c r="B30" s="93"/>
    </row>
    <row r="31" spans="1:6" x14ac:dyDescent="0.2">
      <c r="B31" s="99"/>
    </row>
    <row r="33" spans="1:6" ht="13.5" thickBot="1" x14ac:dyDescent="0.25">
      <c r="F33" s="95">
        <f>SUM(F18:F31)</f>
        <v>600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1326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sheetPr codeName="Sheet104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1981</v>
      </c>
      <c r="D9" s="92" t="s">
        <v>1317</v>
      </c>
      <c r="E9" s="61" t="s">
        <v>3132</v>
      </c>
    </row>
    <row r="10" spans="1:6" x14ac:dyDescent="0.2">
      <c r="A10" s="91" t="s">
        <v>1982</v>
      </c>
      <c r="D10" s="92" t="s">
        <v>1329</v>
      </c>
      <c r="E10" s="113" t="s">
        <v>3134</v>
      </c>
    </row>
    <row r="11" spans="1:6" x14ac:dyDescent="0.2">
      <c r="D11" s="92" t="s">
        <v>1330</v>
      </c>
      <c r="E11" s="113" t="s">
        <v>1220</v>
      </c>
    </row>
    <row r="12" spans="1:6" x14ac:dyDescent="0.2">
      <c r="D12" s="92" t="s">
        <v>1224</v>
      </c>
      <c r="E12" s="113" t="s">
        <v>3133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31"/>
      <c r="F16" s="15" t="s">
        <v>18</v>
      </c>
    </row>
    <row r="17" spans="1:6" x14ac:dyDescent="0.2">
      <c r="A17" s="106"/>
    </row>
    <row r="18" spans="1:6" x14ac:dyDescent="0.2">
      <c r="C18" s="2" t="s">
        <v>1983</v>
      </c>
    </row>
    <row r="19" spans="1:6" x14ac:dyDescent="0.2">
      <c r="A19" s="106"/>
    </row>
    <row r="20" spans="1:6" x14ac:dyDescent="0.2">
      <c r="A20" s="93"/>
      <c r="B20" s="93"/>
      <c r="C20" s="91" t="s">
        <v>3135</v>
      </c>
    </row>
    <row r="21" spans="1:6" x14ac:dyDescent="0.2">
      <c r="A21" s="106"/>
      <c r="C21" s="91" t="s">
        <v>3136</v>
      </c>
      <c r="F21" s="91">
        <v>80</v>
      </c>
    </row>
    <row r="22" spans="1:6" x14ac:dyDescent="0.2">
      <c r="A22" s="106"/>
      <c r="C22" s="91" t="s">
        <v>3137</v>
      </c>
      <c r="F22" s="91">
        <v>60</v>
      </c>
    </row>
    <row r="23" spans="1:6" x14ac:dyDescent="0.2">
      <c r="A23" s="106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SUM(F21:F28)</f>
        <v>140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3138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sheetPr codeName="Sheet108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5" spans="1:6" hidden="1" x14ac:dyDescent="0.2"/>
    <row r="6" spans="1:6" hidden="1" x14ac:dyDescent="0.2"/>
    <row r="9" spans="1:6" x14ac:dyDescent="0.2">
      <c r="A9" s="91" t="s">
        <v>32</v>
      </c>
      <c r="D9" s="22" t="s">
        <v>31</v>
      </c>
    </row>
    <row r="10" spans="1:6" x14ac:dyDescent="0.2">
      <c r="D10" s="92" t="s">
        <v>1317</v>
      </c>
      <c r="E10" s="91" t="s">
        <v>6879</v>
      </c>
    </row>
    <row r="11" spans="1:6" x14ac:dyDescent="0.2">
      <c r="A11" s="91" t="s">
        <v>1938</v>
      </c>
      <c r="D11" s="92" t="s">
        <v>1444</v>
      </c>
      <c r="E11" s="92" t="s">
        <v>6878</v>
      </c>
    </row>
    <row r="12" spans="1:6" x14ac:dyDescent="0.2">
      <c r="A12" s="94" t="s">
        <v>1939</v>
      </c>
      <c r="D12" s="92" t="s">
        <v>1431</v>
      </c>
      <c r="E12" s="92" t="s">
        <v>1220</v>
      </c>
    </row>
    <row r="13" spans="1:6" x14ac:dyDescent="0.2">
      <c r="A13" s="91" t="s">
        <v>1015</v>
      </c>
      <c r="D13" s="92" t="s">
        <v>1268</v>
      </c>
      <c r="E13" s="92" t="s">
        <v>6880</v>
      </c>
    </row>
    <row r="15" spans="1:6" x14ac:dyDescent="0.2">
      <c r="A15" s="91" t="s">
        <v>1940</v>
      </c>
    </row>
    <row r="17" spans="1:6" s="14" customFormat="1" ht="20.100000000000001" customHeight="1" x14ac:dyDescent="0.2">
      <c r="A17" s="17" t="s">
        <v>1261</v>
      </c>
      <c r="B17" s="31" t="s">
        <v>128</v>
      </c>
      <c r="C17" s="18" t="s">
        <v>19</v>
      </c>
      <c r="D17" s="17"/>
      <c r="E17" s="16"/>
      <c r="F17" s="15" t="s">
        <v>18</v>
      </c>
    </row>
    <row r="19" spans="1:6" x14ac:dyDescent="0.2">
      <c r="A19" s="93" t="s">
        <v>6881</v>
      </c>
      <c r="B19" s="93" t="s">
        <v>6882</v>
      </c>
      <c r="C19" s="94" t="s">
        <v>6883</v>
      </c>
      <c r="F19" s="91">
        <v>2500</v>
      </c>
    </row>
    <row r="20" spans="1:6" x14ac:dyDescent="0.2">
      <c r="A20" s="111"/>
      <c r="B20" s="93"/>
      <c r="C20" s="91" t="s">
        <v>6884</v>
      </c>
    </row>
    <row r="21" spans="1:6" x14ac:dyDescent="0.2">
      <c r="A21" s="111"/>
      <c r="B21" s="93"/>
      <c r="F21" s="110"/>
    </row>
    <row r="22" spans="1:6" x14ac:dyDescent="0.2">
      <c r="A22" s="93"/>
      <c r="B22" s="93"/>
      <c r="C22" s="91" t="s">
        <v>6885</v>
      </c>
      <c r="F22" s="110">
        <v>202.5</v>
      </c>
    </row>
    <row r="23" spans="1:6" x14ac:dyDescent="0.2">
      <c r="A23" s="111"/>
      <c r="B23" s="93"/>
      <c r="F23" s="110"/>
    </row>
    <row r="24" spans="1:6" x14ac:dyDescent="0.2">
      <c r="A24" s="94"/>
      <c r="B24" s="99"/>
    </row>
    <row r="25" spans="1:6" x14ac:dyDescent="0.2">
      <c r="A25" s="111"/>
      <c r="B25" s="93"/>
      <c r="F25" s="110"/>
    </row>
    <row r="26" spans="1:6" x14ac:dyDescent="0.2">
      <c r="A26" s="111"/>
      <c r="B26" s="93"/>
      <c r="F26" s="110"/>
    </row>
    <row r="27" spans="1:6" x14ac:dyDescent="0.2">
      <c r="A27" s="111"/>
      <c r="B27" s="93"/>
    </row>
    <row r="28" spans="1:6" x14ac:dyDescent="0.2">
      <c r="A28" s="111"/>
      <c r="B28" s="93"/>
    </row>
    <row r="29" spans="1:6" x14ac:dyDescent="0.2">
      <c r="A29" s="111"/>
      <c r="B29" s="93"/>
      <c r="F29" s="94"/>
    </row>
    <row r="30" spans="1:6" x14ac:dyDescent="0.2">
      <c r="A30" s="93"/>
      <c r="B30" s="93"/>
    </row>
    <row r="31" spans="1:6" x14ac:dyDescent="0.2">
      <c r="A31" s="93"/>
      <c r="B31" s="93"/>
      <c r="F31" s="110"/>
    </row>
    <row r="32" spans="1:6" x14ac:dyDescent="0.2">
      <c r="A32" s="93"/>
      <c r="B32" s="93"/>
    </row>
    <row r="33" spans="1:6" x14ac:dyDescent="0.2">
      <c r="A33" s="93"/>
      <c r="B33" s="93"/>
    </row>
    <row r="34" spans="1:6" x14ac:dyDescent="0.2">
      <c r="A34" s="93"/>
      <c r="B34" s="93"/>
    </row>
    <row r="35" spans="1:6" x14ac:dyDescent="0.2">
      <c r="A35" s="93"/>
      <c r="B35" s="93"/>
    </row>
    <row r="36" spans="1:6" x14ac:dyDescent="0.2">
      <c r="A36" s="93"/>
      <c r="B36" s="93"/>
    </row>
    <row r="38" spans="1:6" ht="13.5" thickBot="1" x14ac:dyDescent="0.25">
      <c r="F38" s="107">
        <f>SUM(F19:F36)</f>
        <v>2702.5</v>
      </c>
    </row>
    <row r="39" spans="1:6" ht="13.5" thickTop="1" x14ac:dyDescent="0.2">
      <c r="D39" s="227"/>
      <c r="E39" s="227"/>
      <c r="F39" s="227"/>
    </row>
    <row r="40" spans="1:6" ht="27.75" customHeight="1" x14ac:dyDescent="0.2">
      <c r="A40" s="96" t="s">
        <v>336</v>
      </c>
      <c r="B40" s="185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Two Thousand Seven Hundred Two and 50/100 -----------</v>
      </c>
      <c r="C40" s="97"/>
      <c r="D40" s="236"/>
      <c r="E40" s="232"/>
      <c r="F40" s="232"/>
    </row>
    <row r="42" spans="1:6" ht="25.5" x14ac:dyDescent="0.2">
      <c r="A42" s="91" t="s">
        <v>10</v>
      </c>
      <c r="D42" s="218" t="s">
        <v>3975</v>
      </c>
      <c r="E42" s="219"/>
      <c r="F42" s="220"/>
    </row>
    <row r="45" spans="1:6" x14ac:dyDescent="0.2">
      <c r="A45" s="91" t="s">
        <v>121</v>
      </c>
      <c r="C45" s="99"/>
    </row>
    <row r="46" spans="1:6" x14ac:dyDescent="0.2">
      <c r="A46" s="101"/>
      <c r="B46" s="101"/>
    </row>
    <row r="48" spans="1:6" x14ac:dyDescent="0.2">
      <c r="A48" s="98" t="s">
        <v>8</v>
      </c>
      <c r="D48" s="98" t="s">
        <v>7</v>
      </c>
      <c r="F48" s="102"/>
    </row>
    <row r="52" spans="1:6" x14ac:dyDescent="0.2">
      <c r="A52" s="101" t="s">
        <v>120</v>
      </c>
      <c r="B52" s="101"/>
      <c r="D52" s="101"/>
      <c r="E52" s="101"/>
      <c r="F52" s="101"/>
    </row>
    <row r="53" spans="1:6" s="61" customFormat="1" ht="17.100000000000001" customHeight="1" x14ac:dyDescent="0.2">
      <c r="A53" s="103" t="s">
        <v>4066</v>
      </c>
      <c r="B53" s="104"/>
      <c r="D53" s="61" t="s">
        <v>3</v>
      </c>
    </row>
    <row r="54" spans="1:6" x14ac:dyDescent="0.2">
      <c r="D54" s="91" t="s">
        <v>2</v>
      </c>
    </row>
    <row r="56" spans="1:6" x14ac:dyDescent="0.2">
      <c r="D56" s="2" t="s">
        <v>1</v>
      </c>
    </row>
    <row r="57" spans="1:6" x14ac:dyDescent="0.2">
      <c r="D57" s="2" t="s">
        <v>0</v>
      </c>
    </row>
  </sheetData>
  <customSheetViews>
    <customSheetView guid="{6428A7A0-B31B-40C1-A13E-AD0DCC619E51}" fitToPage="1" hiddenRows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sheetPr codeName="Sheet112"/>
  <dimension ref="A1:F54"/>
  <sheetViews>
    <sheetView topLeftCell="A18" zoomScaleNormal="100" zoomScaleSheetLayoutView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4620</v>
      </c>
    </row>
    <row r="10" spans="1:6" x14ac:dyDescent="0.2">
      <c r="A10" s="91" t="s">
        <v>2978</v>
      </c>
      <c r="D10" s="92" t="s">
        <v>1356</v>
      </c>
      <c r="E10" s="92" t="s">
        <v>4622</v>
      </c>
    </row>
    <row r="11" spans="1:6" x14ac:dyDescent="0.2">
      <c r="A11" s="91" t="s">
        <v>1436</v>
      </c>
      <c r="D11" s="92" t="s">
        <v>1364</v>
      </c>
      <c r="E11" s="92" t="s">
        <v>1220</v>
      </c>
    </row>
    <row r="12" spans="1:6" x14ac:dyDescent="0.2">
      <c r="A12" s="91" t="s">
        <v>2976</v>
      </c>
      <c r="D12" s="92" t="s">
        <v>1394</v>
      </c>
      <c r="E12" s="92" t="s">
        <v>4621</v>
      </c>
    </row>
    <row r="13" spans="1:6" x14ac:dyDescent="0.2">
      <c r="A13" s="91" t="s">
        <v>2977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3800</v>
      </c>
    </row>
    <row r="20" spans="1:6" x14ac:dyDescent="0.2">
      <c r="A20" s="111" t="s">
        <v>4623</v>
      </c>
      <c r="B20" s="93" t="s">
        <v>4624</v>
      </c>
      <c r="C20" s="91" t="s">
        <v>2979</v>
      </c>
      <c r="F20" s="91">
        <v>5000</v>
      </c>
    </row>
    <row r="21" spans="1:6" x14ac:dyDescent="0.2">
      <c r="A21" s="109"/>
      <c r="B21" s="93"/>
      <c r="C21" s="91" t="s">
        <v>4625</v>
      </c>
    </row>
    <row r="22" spans="1:6" x14ac:dyDescent="0.2">
      <c r="A22" s="109"/>
      <c r="B22" s="99"/>
    </row>
    <row r="23" spans="1:6" x14ac:dyDescent="0.2">
      <c r="A23" s="109"/>
      <c r="B23" s="93"/>
      <c r="C23" s="2"/>
    </row>
    <row r="24" spans="1:6" x14ac:dyDescent="0.2">
      <c r="A24" s="109"/>
      <c r="B24" s="93"/>
    </row>
    <row r="25" spans="1:6" x14ac:dyDescent="0.2">
      <c r="A25" s="111"/>
      <c r="B25" s="93"/>
    </row>
    <row r="26" spans="1:6" x14ac:dyDescent="0.2">
      <c r="A26" s="109"/>
      <c r="B26" s="93"/>
    </row>
    <row r="27" spans="1:6" x14ac:dyDescent="0.2">
      <c r="A27" s="109"/>
      <c r="B27" s="93"/>
      <c r="C27" s="143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  <c r="B31" s="99"/>
    </row>
    <row r="32" spans="1:6" x14ac:dyDescent="0.2">
      <c r="A32" s="109"/>
      <c r="B32" s="99"/>
    </row>
    <row r="33" spans="1:6" x14ac:dyDescent="0.2">
      <c r="A33" s="109"/>
    </row>
    <row r="34" spans="1:6" x14ac:dyDescent="0.2">
      <c r="A34" s="109"/>
    </row>
    <row r="35" spans="1:6" ht="13.5" thickBot="1" x14ac:dyDescent="0.25">
      <c r="A35" s="109"/>
      <c r="F35" s="95">
        <f>SUM(F18:F33)</f>
        <v>5000</v>
      </c>
    </row>
    <row r="36" spans="1:6" ht="13.5" thickTop="1" x14ac:dyDescent="0.2"/>
    <row r="37" spans="1:6" ht="20.100000000000001" customHeight="1" x14ac:dyDescent="0.2">
      <c r="A37" s="96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Thousand and NO/100 -----------</v>
      </c>
      <c r="C37" s="97"/>
      <c r="D37" s="97"/>
      <c r="E37" s="97"/>
      <c r="F37" s="97"/>
    </row>
    <row r="38" spans="1:6" ht="20.100000000000001" customHeight="1" x14ac:dyDescent="0.2">
      <c r="A38" s="113"/>
      <c r="B38" s="103"/>
      <c r="C38" s="61"/>
      <c r="D38" s="61"/>
      <c r="E38" s="61"/>
      <c r="F38" s="61"/>
    </row>
    <row r="39" spans="1:6" ht="25.5" x14ac:dyDescent="0.2">
      <c r="A39" s="268" t="s">
        <v>3974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61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sheetPr codeName="Sheet26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907</v>
      </c>
    </row>
    <row r="10" spans="1:6" x14ac:dyDescent="0.2">
      <c r="A10" s="1" t="s">
        <v>906</v>
      </c>
      <c r="D10" s="20" t="s">
        <v>27</v>
      </c>
      <c r="E10" s="20" t="s">
        <v>780</v>
      </c>
    </row>
    <row r="11" spans="1:6" x14ac:dyDescent="0.2">
      <c r="A11" s="1" t="s">
        <v>905</v>
      </c>
      <c r="D11" s="20" t="s">
        <v>24</v>
      </c>
      <c r="E11" s="20" t="s">
        <v>23</v>
      </c>
    </row>
    <row r="12" spans="1:6" x14ac:dyDescent="0.2">
      <c r="A12" s="1" t="s">
        <v>904</v>
      </c>
      <c r="D12" s="20" t="s">
        <v>22</v>
      </c>
      <c r="E12" s="20" t="s">
        <v>903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824</v>
      </c>
    </row>
    <row r="21" spans="1:6" x14ac:dyDescent="0.2">
      <c r="C21" s="21"/>
    </row>
    <row r="23" spans="1:6" x14ac:dyDescent="0.2">
      <c r="A23" s="1" t="s">
        <v>902</v>
      </c>
      <c r="C23" s="1" t="s">
        <v>901</v>
      </c>
      <c r="F23" s="1">
        <v>1000</v>
      </c>
    </row>
    <row r="24" spans="1:6" x14ac:dyDescent="0.2">
      <c r="C24" s="21" t="s">
        <v>900</v>
      </c>
    </row>
    <row r="26" spans="1:6" x14ac:dyDescent="0.2">
      <c r="C26" s="21"/>
      <c r="F26" s="13"/>
    </row>
    <row r="27" spans="1:6" x14ac:dyDescent="0.2">
      <c r="B27" s="8"/>
    </row>
    <row r="28" spans="1:6" x14ac:dyDescent="0.2">
      <c r="B28" s="8"/>
    </row>
    <row r="30" spans="1:6" ht="13.5" thickBot="1" x14ac:dyDescent="0.25">
      <c r="F30" s="25">
        <f>SUM(F19:F29)</f>
        <v>1000</v>
      </c>
    </row>
    <row r="31" spans="1:6" ht="13.5" thickTop="1" x14ac:dyDescent="0.2"/>
    <row r="32" spans="1:6" ht="20.100000000000001" customHeight="1" x14ac:dyDescent="0.2">
      <c r="A32" s="10" t="s">
        <v>899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sheetPr codeName="Sheet18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224</v>
      </c>
    </row>
    <row r="10" spans="1:6" x14ac:dyDescent="0.2">
      <c r="A10" s="1" t="s">
        <v>223</v>
      </c>
      <c r="D10" s="20" t="s">
        <v>27</v>
      </c>
      <c r="E10" s="20" t="s">
        <v>184</v>
      </c>
    </row>
    <row r="11" spans="1:6" x14ac:dyDescent="0.2">
      <c r="A11" s="1" t="s">
        <v>222</v>
      </c>
      <c r="D11" s="20" t="s">
        <v>24</v>
      </c>
      <c r="E11" s="20" t="s">
        <v>23</v>
      </c>
    </row>
    <row r="12" spans="1:6" x14ac:dyDescent="0.2">
      <c r="A12" s="1" t="s">
        <v>221</v>
      </c>
      <c r="D12" s="20" t="s">
        <v>22</v>
      </c>
      <c r="E12" s="20" t="s">
        <v>220</v>
      </c>
    </row>
    <row r="13" spans="1:6" x14ac:dyDescent="0.2">
      <c r="A13" s="1" t="s">
        <v>219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218</v>
      </c>
    </row>
    <row r="20" spans="1:6" x14ac:dyDescent="0.2">
      <c r="C20" s="36" t="s">
        <v>217</v>
      </c>
    </row>
    <row r="22" spans="1:6" x14ac:dyDescent="0.2">
      <c r="B22" s="8"/>
    </row>
    <row r="23" spans="1:6" x14ac:dyDescent="0.2">
      <c r="A23" s="1" t="s">
        <v>216</v>
      </c>
      <c r="C23" s="1" t="s">
        <v>215</v>
      </c>
      <c r="F23" s="1">
        <v>10000</v>
      </c>
    </row>
    <row r="24" spans="1:6" x14ac:dyDescent="0.2">
      <c r="B24" s="8"/>
    </row>
    <row r="25" spans="1:6" x14ac:dyDescent="0.2">
      <c r="B25" s="8"/>
    </row>
    <row r="26" spans="1:6" x14ac:dyDescent="0.2">
      <c r="C26" s="8"/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10000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214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sheetPr codeName="Sheet54">
    <pageSetUpPr fitToPage="1"/>
  </sheetPr>
  <dimension ref="A1:S57"/>
  <sheetViews>
    <sheetView zoomScaleNormal="100" workbookViewId="0">
      <selection activeCell="G9" sqref="G9:G14"/>
    </sheetView>
  </sheetViews>
  <sheetFormatPr defaultRowHeight="12.75" x14ac:dyDescent="0.2"/>
  <cols>
    <col min="1" max="1" width="17" style="1" customWidth="1"/>
    <col min="2" max="2" width="13.42578125" style="1" customWidth="1"/>
    <col min="3" max="3" width="0.7109375" style="1" customWidth="1"/>
    <col min="4" max="4" width="21" style="1" customWidth="1"/>
    <col min="5" max="5" width="0.5703125" style="1" customWidth="1"/>
    <col min="6" max="6" width="16.42578125" style="1" customWidth="1"/>
    <col min="7" max="7" width="10.140625" style="1" customWidth="1"/>
    <col min="8" max="8" width="13.28515625" style="1" customWidth="1"/>
    <col min="9" max="17" width="9.140625" style="1"/>
    <col min="18" max="18" width="11.85546875" style="1" bestFit="1" customWidth="1"/>
    <col min="19" max="16384" width="9.140625" style="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1" t="s">
        <v>32</v>
      </c>
      <c r="F8" s="22" t="s">
        <v>31</v>
      </c>
    </row>
    <row r="9" spans="1:19" s="91" customFormat="1" x14ac:dyDescent="0.2">
      <c r="F9" s="92" t="s">
        <v>30</v>
      </c>
      <c r="G9" s="155" t="s">
        <v>8184</v>
      </c>
    </row>
    <row r="10" spans="1:19" s="91" customFormat="1" x14ac:dyDescent="0.2">
      <c r="A10" s="91" t="s">
        <v>2653</v>
      </c>
      <c r="F10" s="92" t="s">
        <v>27</v>
      </c>
      <c r="G10" s="155" t="s">
        <v>8183</v>
      </c>
    </row>
    <row r="11" spans="1:19" s="91" customFormat="1" x14ac:dyDescent="0.2">
      <c r="A11" s="91" t="s">
        <v>2654</v>
      </c>
      <c r="F11" s="92" t="s">
        <v>24</v>
      </c>
      <c r="G11" s="155" t="s">
        <v>1220</v>
      </c>
    </row>
    <row r="12" spans="1:19" s="91" customFormat="1" x14ac:dyDescent="0.2">
      <c r="A12" s="91" t="s">
        <v>2655</v>
      </c>
      <c r="F12" s="92" t="s">
        <v>22</v>
      </c>
      <c r="G12" s="91" t="s">
        <v>8185</v>
      </c>
    </row>
    <row r="13" spans="1:19" s="91" customFormat="1" x14ac:dyDescent="0.2">
      <c r="A13" s="91" t="s">
        <v>1611</v>
      </c>
      <c r="G13" s="91" t="s">
        <v>7914</v>
      </c>
    </row>
    <row r="14" spans="1:19" s="91" customFormat="1" x14ac:dyDescent="0.2">
      <c r="N14" s="2"/>
      <c r="O14" s="2"/>
    </row>
    <row r="15" spans="1:19" s="91" customFormat="1" x14ac:dyDescent="0.2">
      <c r="K15" s="93" t="s">
        <v>5570</v>
      </c>
      <c r="L15" s="93" t="s">
        <v>5571</v>
      </c>
      <c r="M15" s="93"/>
      <c r="N15" s="91" t="s">
        <v>5572</v>
      </c>
      <c r="R15" s="91">
        <v>231274.53</v>
      </c>
    </row>
    <row r="16" spans="1:19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K16" s="93"/>
      <c r="L16" s="93"/>
      <c r="M16" s="93"/>
      <c r="N16" s="91" t="s">
        <v>5573</v>
      </c>
      <c r="O16" s="91"/>
      <c r="P16" s="91"/>
      <c r="Q16" s="91"/>
      <c r="R16" s="91">
        <v>127237.49</v>
      </c>
      <c r="S16" s="91"/>
    </row>
    <row r="17" spans="1:18" s="91" customFormat="1" x14ac:dyDescent="0.2">
      <c r="K17" s="99"/>
      <c r="L17" s="94"/>
      <c r="M17" s="94"/>
      <c r="N17" s="91" t="s">
        <v>2147</v>
      </c>
      <c r="R17" s="91">
        <v>21510.73</v>
      </c>
    </row>
    <row r="18" spans="1:18" s="91" customFormat="1" x14ac:dyDescent="0.2">
      <c r="C18" s="99"/>
      <c r="D18" s="2" t="s">
        <v>8188</v>
      </c>
      <c r="E18" s="2"/>
    </row>
    <row r="19" spans="1:18" s="91" customFormat="1" x14ac:dyDescent="0.2">
      <c r="D19" s="2" t="s">
        <v>8189</v>
      </c>
      <c r="E19" s="2"/>
      <c r="K19" s="93" t="s">
        <v>5570</v>
      </c>
      <c r="L19" s="93" t="s">
        <v>5574</v>
      </c>
      <c r="M19" s="93"/>
      <c r="N19" s="91" t="s">
        <v>5575</v>
      </c>
      <c r="R19" s="91">
        <v>53312.26</v>
      </c>
    </row>
    <row r="20" spans="1:18" s="91" customFormat="1" x14ac:dyDescent="0.2">
      <c r="L20" s="99"/>
      <c r="M20" s="99"/>
      <c r="N20" s="91" t="s">
        <v>2147</v>
      </c>
      <c r="R20" s="110">
        <f>R19*6%</f>
        <v>3198.7356</v>
      </c>
    </row>
    <row r="21" spans="1:18" s="91" customFormat="1" x14ac:dyDescent="0.2">
      <c r="A21" s="93" t="s">
        <v>8079</v>
      </c>
      <c r="B21" s="93" t="s">
        <v>8190</v>
      </c>
      <c r="C21" s="93"/>
      <c r="D21" s="91" t="s">
        <v>8191</v>
      </c>
      <c r="H21" s="91">
        <v>6530</v>
      </c>
    </row>
    <row r="22" spans="1:18" s="91" customFormat="1" x14ac:dyDescent="0.2">
      <c r="K22" s="93"/>
      <c r="L22" s="93"/>
      <c r="M22" s="93"/>
      <c r="N22" s="143" t="s">
        <v>5576</v>
      </c>
      <c r="O22" s="143"/>
    </row>
    <row r="23" spans="1:18" s="91" customFormat="1" x14ac:dyDescent="0.2">
      <c r="D23" s="2" t="s">
        <v>8192</v>
      </c>
      <c r="K23" s="99"/>
    </row>
    <row r="24" spans="1:18" s="91" customFormat="1" x14ac:dyDescent="0.2">
      <c r="D24" s="2"/>
      <c r="K24" s="99"/>
    </row>
    <row r="25" spans="1:18" s="91" customFormat="1" x14ac:dyDescent="0.2">
      <c r="A25" s="93">
        <v>43748</v>
      </c>
      <c r="B25" s="93" t="s">
        <v>8193</v>
      </c>
      <c r="D25" s="91" t="s">
        <v>8194</v>
      </c>
      <c r="H25" s="91">
        <v>885</v>
      </c>
    </row>
    <row r="26" spans="1:18" s="91" customFormat="1" x14ac:dyDescent="0.2">
      <c r="A26" s="93"/>
      <c r="B26" s="93"/>
      <c r="C26" s="93"/>
    </row>
    <row r="27" spans="1:18" s="91" customFormat="1" x14ac:dyDescent="0.2">
      <c r="A27" s="99"/>
    </row>
    <row r="28" spans="1:18" s="91" customFormat="1" x14ac:dyDescent="0.2">
      <c r="D28" s="2"/>
    </row>
    <row r="29" spans="1:18" s="91" customFormat="1" x14ac:dyDescent="0.2">
      <c r="A29" s="99"/>
    </row>
    <row r="30" spans="1:18" s="91" customFormat="1" x14ac:dyDescent="0.2">
      <c r="A30" s="93"/>
      <c r="B30" s="93"/>
      <c r="E30" s="2"/>
    </row>
    <row r="31" spans="1:18" s="91" customFormat="1" x14ac:dyDescent="0.2">
      <c r="A31" s="99"/>
    </row>
    <row r="32" spans="1:18" s="91" customFormat="1" x14ac:dyDescent="0.2">
      <c r="A32" s="93"/>
      <c r="B32" s="99"/>
      <c r="C32" s="99"/>
    </row>
    <row r="33" spans="1:8" s="91" customFormat="1" x14ac:dyDescent="0.2">
      <c r="A33" s="99"/>
    </row>
    <row r="34" spans="1:8" s="91" customFormat="1" x14ac:dyDescent="0.2">
      <c r="H34" s="101"/>
    </row>
    <row r="35" spans="1:8" s="91" customFormat="1" ht="13.5" thickBot="1" x14ac:dyDescent="0.25">
      <c r="H35" s="270">
        <f>SUM(H19:H34)</f>
        <v>7415</v>
      </c>
    </row>
    <row r="36" spans="1:8" s="91" customFormat="1" ht="13.5" thickTop="1" x14ac:dyDescent="0.2">
      <c r="H36" s="269"/>
    </row>
    <row r="37" spans="1:8" s="91" customFormat="1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"&amp;INDEX(teb,TRUNC(MOD(H35,100000)/10000,0)+1)&amp;IF(MOD(MOD(H35,100000),10000)&gt;=1000,"-"&amp;INDEX(numbers,TRUNC(MOD(MOD(H35,100000),10000)/1000,0)+1),""),IF(MOD(H35,100000)&gt;=1000,"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"&amp;INDEX(teb,TRUNC(MOD(H35,100)/10,0)+1)&amp;IF(MOD(MOD(H35,100),10)&gt;=1,"-"&amp;INDEX(numbers,TRUNC(MOD(MOD(H35,100),10),0)+1),""),IF(MOD(H35,100)&gt;=1,"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 Thousand Four Hundred Fifteen and NO/100 -----------</v>
      </c>
      <c r="C37" s="185"/>
      <c r="D37" s="97"/>
      <c r="E37" s="97"/>
      <c r="F37" s="97"/>
      <c r="G37" s="97"/>
      <c r="H37" s="20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D39" s="98"/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E42" s="99"/>
      <c r="F42" s="228"/>
      <c r="G42" s="229"/>
      <c r="H42" s="229"/>
    </row>
    <row r="43" spans="1:8" s="91" customFormat="1" x14ac:dyDescent="0.2">
      <c r="A43" s="101"/>
      <c r="B43" s="101"/>
    </row>
    <row r="44" spans="1:8" s="91" customFormat="1" x14ac:dyDescent="0.2">
      <c r="D44" s="103"/>
    </row>
    <row r="45" spans="1:8" s="91" customFormat="1" x14ac:dyDescent="0.2">
      <c r="D45" s="103"/>
    </row>
    <row r="46" spans="1:8" s="91" customFormat="1" x14ac:dyDescent="0.2">
      <c r="A46" s="98" t="s">
        <v>8</v>
      </c>
      <c r="D46" s="98" t="s">
        <v>8</v>
      </c>
      <c r="F46" s="98" t="s">
        <v>7</v>
      </c>
      <c r="H46" s="102"/>
    </row>
    <row r="47" spans="1:8" s="91" customFormat="1" x14ac:dyDescent="0.2"/>
    <row r="48" spans="1:8" s="91" customFormat="1" x14ac:dyDescent="0.2"/>
    <row r="49" spans="1:8" s="91" customFormat="1" x14ac:dyDescent="0.2"/>
    <row r="50" spans="1:8" s="91" customFormat="1" x14ac:dyDescent="0.2">
      <c r="A50" s="101"/>
      <c r="B50" s="101"/>
      <c r="D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s="91" customFormat="1" x14ac:dyDescent="0.2">
      <c r="F52" s="91" t="s">
        <v>2</v>
      </c>
    </row>
    <row r="53" spans="1:8" s="91" customFormat="1" x14ac:dyDescent="0.2"/>
    <row r="54" spans="1:8" s="91" customFormat="1" x14ac:dyDescent="0.2">
      <c r="F54" s="2" t="s">
        <v>1</v>
      </c>
    </row>
    <row r="55" spans="1:8" s="91" customFormat="1" x14ac:dyDescent="0.2">
      <c r="F55" s="2" t="s">
        <v>0</v>
      </c>
    </row>
    <row r="56" spans="1:8" s="91" customFormat="1" x14ac:dyDescent="0.2"/>
    <row r="57" spans="1:8" s="91" customFormat="1" x14ac:dyDescent="0.2"/>
  </sheetData>
  <customSheetViews>
    <customSheetView guid="{6428A7A0-B31B-40C1-A13E-AD0DCC619E51}" fitToPage="1" topLeftCell="A10">
      <selection activeCell="A24" sqref="A24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5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5067</v>
      </c>
    </row>
    <row r="10" spans="1:6" x14ac:dyDescent="0.2">
      <c r="A10" s="91" t="s">
        <v>4068</v>
      </c>
      <c r="D10" s="92" t="s">
        <v>1329</v>
      </c>
      <c r="E10" s="91" t="s">
        <v>5069</v>
      </c>
    </row>
    <row r="11" spans="1:6" x14ac:dyDescent="0.2">
      <c r="A11" s="91" t="s">
        <v>4069</v>
      </c>
      <c r="D11" s="92" t="s">
        <v>1330</v>
      </c>
      <c r="E11" s="91" t="s">
        <v>1220</v>
      </c>
    </row>
    <row r="12" spans="1:6" x14ac:dyDescent="0.2">
      <c r="A12" s="91" t="s">
        <v>4070</v>
      </c>
      <c r="D12" s="92" t="s">
        <v>1331</v>
      </c>
      <c r="E12" s="91" t="s">
        <v>5068</v>
      </c>
    </row>
    <row r="13" spans="1:6" x14ac:dyDescent="0.2">
      <c r="A13" s="91" t="s">
        <v>1284</v>
      </c>
    </row>
    <row r="14" spans="1:6" x14ac:dyDescent="0.2">
      <c r="A14" s="91" t="s">
        <v>4071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3841</v>
      </c>
    </row>
    <row r="19" spans="1:6" x14ac:dyDescent="0.2">
      <c r="A19" s="106"/>
      <c r="C19" s="2"/>
    </row>
    <row r="20" spans="1:6" x14ac:dyDescent="0.2">
      <c r="A20" s="93" t="s">
        <v>5070</v>
      </c>
      <c r="B20" s="99" t="s">
        <v>5071</v>
      </c>
      <c r="C20" s="91" t="s">
        <v>5072</v>
      </c>
      <c r="F20" s="91">
        <v>6000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2147</v>
      </c>
      <c r="F22" s="91">
        <f>F20*6%</f>
        <v>360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6360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Thousand Three Hundred Sixty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 codeName="Sheet61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384</v>
      </c>
    </row>
    <row r="10" spans="1:6" x14ac:dyDescent="0.2">
      <c r="A10" s="1" t="s">
        <v>383</v>
      </c>
      <c r="D10" s="20" t="s">
        <v>27</v>
      </c>
      <c r="E10" s="20" t="s">
        <v>211</v>
      </c>
    </row>
    <row r="11" spans="1:6" x14ac:dyDescent="0.2">
      <c r="A11" s="1" t="s">
        <v>382</v>
      </c>
      <c r="D11" s="20" t="s">
        <v>24</v>
      </c>
      <c r="E11" s="20" t="s">
        <v>23</v>
      </c>
    </row>
    <row r="12" spans="1:6" x14ac:dyDescent="0.2">
      <c r="A12" s="1" t="s">
        <v>381</v>
      </c>
      <c r="D12" s="20" t="s">
        <v>22</v>
      </c>
      <c r="E12" s="19" t="s">
        <v>380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379</v>
      </c>
    </row>
    <row r="20" spans="1:6" x14ac:dyDescent="0.2">
      <c r="C20" s="21"/>
    </row>
    <row r="21" spans="1:6" x14ac:dyDescent="0.2">
      <c r="A21" s="1" t="s">
        <v>378</v>
      </c>
      <c r="C21" s="21" t="s">
        <v>377</v>
      </c>
      <c r="F21" s="1">
        <v>376</v>
      </c>
    </row>
    <row r="22" spans="1:6" x14ac:dyDescent="0.2">
      <c r="C22" s="21"/>
    </row>
    <row r="24" spans="1:6" x14ac:dyDescent="0.2">
      <c r="C24" s="21"/>
    </row>
    <row r="25" spans="1:6" x14ac:dyDescent="0.2">
      <c r="B25" s="8"/>
      <c r="C25" s="21"/>
    </row>
    <row r="26" spans="1:6" x14ac:dyDescent="0.2">
      <c r="B26" s="8"/>
    </row>
    <row r="27" spans="1:6" x14ac:dyDescent="0.2">
      <c r="B27" s="8"/>
    </row>
    <row r="31" spans="1:6" ht="13.5" thickBot="1" x14ac:dyDescent="0.25">
      <c r="F31" s="11">
        <f>SUM(F18:F30)</f>
        <v>376</v>
      </c>
    </row>
    <row r="32" spans="1:6" ht="13.5" thickTop="1" x14ac:dyDescent="0.2"/>
    <row r="34" spans="1:6" ht="20.100000000000001" customHeight="1" thickBot="1" x14ac:dyDescent="0.25">
      <c r="A34" s="10" t="s">
        <v>376</v>
      </c>
      <c r="B34" s="10"/>
      <c r="C34" s="9"/>
      <c r="D34" s="9"/>
      <c r="E34" s="9"/>
      <c r="F34" s="202"/>
    </row>
    <row r="35" spans="1:6" ht="13.5" thickTop="1" x14ac:dyDescent="0.2">
      <c r="A35" s="8"/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 codeName="Sheet27">
    <pageSetUpPr fitToPage="1"/>
  </sheetPr>
  <dimension ref="A1:F49"/>
  <sheetViews>
    <sheetView topLeftCell="A10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888</v>
      </c>
    </row>
    <row r="10" spans="1:6" x14ac:dyDescent="0.2">
      <c r="A10" s="1" t="s">
        <v>887</v>
      </c>
      <c r="D10" s="20" t="s">
        <v>27</v>
      </c>
      <c r="E10" s="20" t="s">
        <v>173</v>
      </c>
    </row>
    <row r="11" spans="1:6" x14ac:dyDescent="0.2">
      <c r="A11" s="1" t="s">
        <v>886</v>
      </c>
      <c r="D11" s="20" t="s">
        <v>24</v>
      </c>
      <c r="E11" s="20" t="s">
        <v>23</v>
      </c>
    </row>
    <row r="12" spans="1:6" x14ac:dyDescent="0.2">
      <c r="A12" s="1" t="s">
        <v>885</v>
      </c>
      <c r="D12" s="20" t="s">
        <v>22</v>
      </c>
      <c r="E12" s="20" t="s">
        <v>884</v>
      </c>
    </row>
    <row r="13" spans="1:6" x14ac:dyDescent="0.2">
      <c r="A13" s="1" t="s">
        <v>278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883</v>
      </c>
    </row>
    <row r="20" spans="1:6" x14ac:dyDescent="0.2">
      <c r="C20" s="21"/>
    </row>
    <row r="21" spans="1:6" x14ac:dyDescent="0.2">
      <c r="C21" s="21"/>
    </row>
    <row r="22" spans="1:6" x14ac:dyDescent="0.2">
      <c r="A22" s="1" t="s">
        <v>882</v>
      </c>
      <c r="C22" s="1" t="s">
        <v>226</v>
      </c>
      <c r="F22" s="1">
        <v>5000</v>
      </c>
    </row>
    <row r="23" spans="1:6" x14ac:dyDescent="0.2">
      <c r="C23" s="21"/>
    </row>
    <row r="26" spans="1:6" x14ac:dyDescent="0.2">
      <c r="C26" s="21"/>
      <c r="F26" s="13"/>
    </row>
    <row r="27" spans="1:6" x14ac:dyDescent="0.2">
      <c r="B27" s="8"/>
    </row>
    <row r="28" spans="1:6" x14ac:dyDescent="0.2">
      <c r="B28" s="8"/>
    </row>
    <row r="30" spans="1:6" ht="13.5" thickBot="1" x14ac:dyDescent="0.25">
      <c r="F30" s="25">
        <f>SUM(F19:F29)</f>
        <v>5000</v>
      </c>
    </row>
    <row r="31" spans="1:6" ht="13.5" thickTop="1" x14ac:dyDescent="0.2"/>
    <row r="32" spans="1:6" ht="20.100000000000001" customHeight="1" x14ac:dyDescent="0.2">
      <c r="A32" s="10" t="s">
        <v>225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 codeName="Sheet73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480</v>
      </c>
    </row>
    <row r="10" spans="1:6" x14ac:dyDescent="0.2">
      <c r="A10" s="1" t="s">
        <v>479</v>
      </c>
      <c r="D10" s="20" t="s">
        <v>27</v>
      </c>
      <c r="E10" s="20" t="s">
        <v>260</v>
      </c>
    </row>
    <row r="11" spans="1:6" x14ac:dyDescent="0.2">
      <c r="A11" s="1" t="s">
        <v>478</v>
      </c>
      <c r="D11" s="20" t="s">
        <v>24</v>
      </c>
      <c r="E11" s="20" t="s">
        <v>23</v>
      </c>
    </row>
    <row r="12" spans="1:6" x14ac:dyDescent="0.2">
      <c r="A12" s="1" t="s">
        <v>343</v>
      </c>
      <c r="D12" s="20" t="s">
        <v>22</v>
      </c>
      <c r="E12" s="20" t="s">
        <v>477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1" spans="1:6" x14ac:dyDescent="0.2">
      <c r="C21" s="13" t="s">
        <v>476</v>
      </c>
    </row>
    <row r="22" spans="1:6" x14ac:dyDescent="0.2">
      <c r="C22" s="13" t="s">
        <v>475</v>
      </c>
    </row>
    <row r="23" spans="1:6" x14ac:dyDescent="0.2">
      <c r="C23" s="21"/>
      <c r="F23" s="7"/>
    </row>
    <row r="25" spans="1:6" x14ac:dyDescent="0.2">
      <c r="A25" s="1" t="s">
        <v>474</v>
      </c>
      <c r="B25" s="8"/>
      <c r="C25" s="21" t="s">
        <v>473</v>
      </c>
      <c r="F25" s="1">
        <v>300</v>
      </c>
    </row>
    <row r="26" spans="1:6" x14ac:dyDescent="0.2">
      <c r="B26" s="12"/>
      <c r="C26" s="21"/>
    </row>
    <row r="27" spans="1:6" x14ac:dyDescent="0.2">
      <c r="B27" s="12"/>
      <c r="C27" s="21"/>
    </row>
    <row r="28" spans="1:6" x14ac:dyDescent="0.2">
      <c r="B28" s="12"/>
      <c r="C28" s="21"/>
    </row>
    <row r="29" spans="1:6" x14ac:dyDescent="0.2">
      <c r="B29" s="12"/>
      <c r="C29" s="21"/>
    </row>
    <row r="30" spans="1:6" x14ac:dyDescent="0.2">
      <c r="B30" s="12"/>
      <c r="C30" s="21"/>
    </row>
    <row r="32" spans="1:6" ht="13.5" thickBot="1" x14ac:dyDescent="0.25">
      <c r="F32" s="11">
        <f>SUM(F20:F31)</f>
        <v>300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472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 codeName="Sheet28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854</v>
      </c>
    </row>
    <row r="10" spans="1:6" x14ac:dyDescent="0.2">
      <c r="A10" s="21" t="s">
        <v>853</v>
      </c>
      <c r="D10" s="20" t="s">
        <v>27</v>
      </c>
      <c r="E10" s="20" t="s">
        <v>227</v>
      </c>
    </row>
    <row r="11" spans="1:6" x14ac:dyDescent="0.2">
      <c r="A11" s="21" t="s">
        <v>852</v>
      </c>
      <c r="D11" s="20" t="s">
        <v>24</v>
      </c>
      <c r="E11" s="20" t="s">
        <v>23</v>
      </c>
    </row>
    <row r="12" spans="1:6" x14ac:dyDescent="0.2">
      <c r="A12" s="21" t="s">
        <v>209</v>
      </c>
      <c r="D12" s="20" t="s">
        <v>22</v>
      </c>
      <c r="E12" s="19" t="s">
        <v>851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21"/>
    </row>
    <row r="22" spans="1:6" x14ac:dyDescent="0.2">
      <c r="A22" s="1" t="s">
        <v>850</v>
      </c>
      <c r="C22" s="8" t="s">
        <v>849</v>
      </c>
      <c r="F22" s="1">
        <v>2500</v>
      </c>
    </row>
    <row r="23" spans="1:6" x14ac:dyDescent="0.2">
      <c r="A23" s="21"/>
      <c r="C23" s="21" t="s">
        <v>848</v>
      </c>
      <c r="F23" s="1">
        <v>200</v>
      </c>
    </row>
    <row r="24" spans="1:6" x14ac:dyDescent="0.2">
      <c r="C24" s="21" t="s">
        <v>847</v>
      </c>
    </row>
    <row r="25" spans="1:6" x14ac:dyDescent="0.2">
      <c r="B25" s="8"/>
      <c r="C25" s="21"/>
    </row>
    <row r="26" spans="1:6" x14ac:dyDescent="0.2">
      <c r="B26" s="8"/>
      <c r="C26" s="21"/>
    </row>
    <row r="31" spans="1:6" ht="13.5" thickBot="1" x14ac:dyDescent="0.25">
      <c r="F31" s="11">
        <f>SUM(F18:F30)</f>
        <v>2700</v>
      </c>
    </row>
    <row r="32" spans="1:6" ht="13.5" thickTop="1" x14ac:dyDescent="0.2"/>
    <row r="34" spans="1:6" ht="20.100000000000001" customHeight="1" thickBot="1" x14ac:dyDescent="0.25">
      <c r="A34" s="24" t="s">
        <v>643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66" t="s">
        <v>1</v>
      </c>
    </row>
    <row r="51" spans="1:4" x14ac:dyDescent="0.2">
      <c r="D51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 codeName="Sheet77">
    <pageSetUpPr fitToPage="1"/>
  </sheetPr>
  <dimension ref="A1:H53"/>
  <sheetViews>
    <sheetView topLeftCell="A4" workbookViewId="0">
      <selection activeCell="G9" sqref="G9:G13"/>
    </sheetView>
  </sheetViews>
  <sheetFormatPr defaultRowHeight="12.75" x14ac:dyDescent="0.2"/>
  <cols>
    <col min="1" max="1" width="15.140625" style="91" customWidth="1"/>
    <col min="2" max="2" width="11.85546875" style="91" bestFit="1" customWidth="1"/>
    <col min="3" max="3" width="0.7109375" style="91" customWidth="1"/>
    <col min="4" max="4" width="21" style="91" customWidth="1"/>
    <col min="5" max="5" width="1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1221</v>
      </c>
      <c r="G9" s="155" t="s">
        <v>8739</v>
      </c>
    </row>
    <row r="10" spans="1:8" x14ac:dyDescent="0.2">
      <c r="A10" s="91" t="s">
        <v>1959</v>
      </c>
      <c r="F10" s="92" t="s">
        <v>1444</v>
      </c>
      <c r="G10" s="155" t="s">
        <v>8732</v>
      </c>
    </row>
    <row r="11" spans="1:8" x14ac:dyDescent="0.2">
      <c r="A11" s="91" t="s">
        <v>1960</v>
      </c>
      <c r="F11" s="92" t="s">
        <v>1330</v>
      </c>
      <c r="G11" s="155" t="s">
        <v>1220</v>
      </c>
    </row>
    <row r="12" spans="1:8" x14ac:dyDescent="0.2">
      <c r="A12" s="91" t="s">
        <v>1245</v>
      </c>
      <c r="F12" s="92" t="s">
        <v>1224</v>
      </c>
      <c r="G12" s="94" t="s">
        <v>8740</v>
      </c>
    </row>
    <row r="13" spans="1:8" x14ac:dyDescent="0.2">
      <c r="A13" s="91" t="s">
        <v>1961</v>
      </c>
      <c r="G13" s="153" t="s">
        <v>7762</v>
      </c>
    </row>
    <row r="14" spans="1:8" x14ac:dyDescent="0.2">
      <c r="A14" s="91" t="s">
        <v>1962</v>
      </c>
    </row>
    <row r="16" spans="1:8" s="14" customFormat="1" ht="20.100000000000001" customHeight="1" x14ac:dyDescent="0.2">
      <c r="A16" s="17" t="s">
        <v>1247</v>
      </c>
      <c r="B16" s="17" t="s">
        <v>128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7106</v>
      </c>
      <c r="E18" s="2"/>
    </row>
    <row r="20" spans="1:8" x14ac:dyDescent="0.2">
      <c r="A20" s="93" t="s">
        <v>8741</v>
      </c>
      <c r="B20" s="93" t="s">
        <v>8742</v>
      </c>
      <c r="C20" s="93"/>
      <c r="D20" s="91" t="s">
        <v>8743</v>
      </c>
      <c r="H20" s="91">
        <f>1.4*220</f>
        <v>308</v>
      </c>
    </row>
    <row r="22" spans="1:8" x14ac:dyDescent="0.2">
      <c r="A22" s="93"/>
      <c r="B22" s="93"/>
      <c r="C22" s="93"/>
    </row>
    <row r="23" spans="1:8" x14ac:dyDescent="0.2">
      <c r="A23" s="93"/>
      <c r="B23" s="99"/>
      <c r="C23" s="99"/>
    </row>
    <row r="24" spans="1:8" x14ac:dyDescent="0.2">
      <c r="A24" s="93"/>
      <c r="B24" s="93"/>
      <c r="C24" s="93"/>
    </row>
    <row r="25" spans="1:8" x14ac:dyDescent="0.2">
      <c r="H25" s="2"/>
    </row>
    <row r="26" spans="1:8" x14ac:dyDescent="0.2">
      <c r="H26" s="2"/>
    </row>
    <row r="27" spans="1:8" x14ac:dyDescent="0.2">
      <c r="H27" s="2"/>
    </row>
    <row r="28" spans="1:8" x14ac:dyDescent="0.2">
      <c r="A28" s="93"/>
      <c r="B28" s="93"/>
      <c r="C28" s="93"/>
    </row>
    <row r="29" spans="1:8" x14ac:dyDescent="0.2">
      <c r="B29" s="94"/>
      <c r="C29" s="94"/>
    </row>
    <row r="32" spans="1:8" x14ac:dyDescent="0.2">
      <c r="B32" s="94"/>
      <c r="C32" s="94"/>
      <c r="D32" s="94"/>
      <c r="E32" s="94"/>
    </row>
    <row r="34" spans="1:8" ht="13.5" thickBot="1" x14ac:dyDescent="0.25">
      <c r="H34" s="95">
        <f>SUM(H20:H33)</f>
        <v>308</v>
      </c>
    </row>
    <row r="35" spans="1:8" ht="13.5" thickTop="1" x14ac:dyDescent="0.2"/>
    <row r="36" spans="1:8" ht="20.100000000000001" customHeight="1" x14ac:dyDescent="0.2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Hundred Eight and NO/100 -----------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6" s="61" customFormat="1" ht="17.100000000000001" customHeight="1" x14ac:dyDescent="0.2">
      <c r="A49" s="91" t="s">
        <v>4066</v>
      </c>
      <c r="B49" s="104"/>
      <c r="C49" s="104"/>
      <c r="D49" s="91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 codeName="Sheet29">
    <pageSetUpPr fitToPage="1"/>
  </sheetPr>
  <dimension ref="A1:F52"/>
  <sheetViews>
    <sheetView topLeftCell="A10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1154</v>
      </c>
    </row>
    <row r="10" spans="1:6" x14ac:dyDescent="0.2">
      <c r="A10" s="1" t="s">
        <v>1153</v>
      </c>
      <c r="D10" s="20" t="s">
        <v>27</v>
      </c>
      <c r="E10" s="20" t="s">
        <v>1152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1151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8" spans="1:6" x14ac:dyDescent="0.2">
      <c r="C18" s="21"/>
    </row>
    <row r="19" spans="1:6" x14ac:dyDescent="0.2">
      <c r="C19" s="21"/>
    </row>
    <row r="20" spans="1:6" x14ac:dyDescent="0.2">
      <c r="C20" s="21"/>
    </row>
    <row r="22" spans="1:6" x14ac:dyDescent="0.2">
      <c r="A22" s="1" t="s">
        <v>1150</v>
      </c>
      <c r="C22" s="1" t="s">
        <v>1149</v>
      </c>
      <c r="F22" s="1">
        <v>182</v>
      </c>
    </row>
    <row r="23" spans="1:6" x14ac:dyDescent="0.2">
      <c r="A23" s="1" t="s">
        <v>1148</v>
      </c>
      <c r="C23" s="1" t="s">
        <v>1147</v>
      </c>
    </row>
    <row r="26" spans="1:6" x14ac:dyDescent="0.2">
      <c r="C26" s="21"/>
    </row>
    <row r="28" spans="1:6" x14ac:dyDescent="0.2">
      <c r="C28" s="21"/>
    </row>
    <row r="29" spans="1:6" x14ac:dyDescent="0.2">
      <c r="E29" s="21"/>
    </row>
    <row r="30" spans="1:6" x14ac:dyDescent="0.2">
      <c r="E30" s="21"/>
    </row>
    <row r="31" spans="1:6" x14ac:dyDescent="0.2">
      <c r="B31" s="8"/>
    </row>
    <row r="33" spans="1:6" ht="13.5" thickBot="1" x14ac:dyDescent="0.25">
      <c r="F33" s="25">
        <f>SUM(F21:F32)</f>
        <v>182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1146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sheetPr codeName="Sheet312">
    <pageSetUpPr fitToPage="1"/>
  </sheetPr>
  <dimension ref="A1:H56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6147</v>
      </c>
    </row>
    <row r="10" spans="1:8" x14ac:dyDescent="0.2">
      <c r="A10" s="91" t="s">
        <v>3173</v>
      </c>
      <c r="F10" s="92" t="s">
        <v>1444</v>
      </c>
      <c r="G10" s="92" t="s">
        <v>6145</v>
      </c>
    </row>
    <row r="11" spans="1:8" x14ac:dyDescent="0.2">
      <c r="A11" s="94" t="s">
        <v>3174</v>
      </c>
      <c r="F11" s="92" t="s">
        <v>1431</v>
      </c>
      <c r="G11" s="92" t="s">
        <v>1220</v>
      </c>
    </row>
    <row r="12" spans="1:8" x14ac:dyDescent="0.2">
      <c r="A12" s="91" t="s">
        <v>1561</v>
      </c>
      <c r="F12" s="92" t="s">
        <v>1268</v>
      </c>
      <c r="G12" s="94" t="s">
        <v>6148</v>
      </c>
    </row>
    <row r="13" spans="1:8" x14ac:dyDescent="0.2">
      <c r="A13" s="91" t="s">
        <v>2029</v>
      </c>
    </row>
    <row r="14" spans="1:8" x14ac:dyDescent="0.2">
      <c r="A14" s="91" t="s">
        <v>3175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6149</v>
      </c>
      <c r="E18" s="2"/>
    </row>
    <row r="19" spans="1:8" x14ac:dyDescent="0.2">
      <c r="D19" s="2"/>
      <c r="E19" s="2"/>
    </row>
    <row r="20" spans="1:8" x14ac:dyDescent="0.2">
      <c r="A20" s="93" t="s">
        <v>6108</v>
      </c>
      <c r="B20" s="93" t="s">
        <v>6150</v>
      </c>
      <c r="D20" s="91" t="s">
        <v>6151</v>
      </c>
      <c r="H20" s="91">
        <v>1067.51</v>
      </c>
    </row>
    <row r="21" spans="1:8" x14ac:dyDescent="0.2">
      <c r="A21" s="93"/>
      <c r="B21" s="93"/>
      <c r="C21" s="93"/>
      <c r="D21" s="91" t="s">
        <v>6152</v>
      </c>
      <c r="H21" s="91">
        <v>8230</v>
      </c>
    </row>
    <row r="22" spans="1:8" x14ac:dyDescent="0.2">
      <c r="A22" s="93"/>
      <c r="B22" s="93"/>
      <c r="C22" s="93"/>
      <c r="D22" s="91" t="s">
        <v>6158</v>
      </c>
      <c r="H22" s="91">
        <v>42</v>
      </c>
    </row>
    <row r="23" spans="1:8" x14ac:dyDescent="0.2">
      <c r="A23" s="93"/>
      <c r="B23" s="99"/>
      <c r="C23" s="99"/>
      <c r="D23" s="91" t="s">
        <v>6153</v>
      </c>
      <c r="H23" s="91">
        <v>16085.85</v>
      </c>
    </row>
    <row r="24" spans="1:8" x14ac:dyDescent="0.2">
      <c r="A24" s="93"/>
      <c r="B24" s="99"/>
      <c r="C24" s="99"/>
      <c r="D24" s="91" t="s">
        <v>6154</v>
      </c>
      <c r="H24" s="91">
        <v>24750</v>
      </c>
    </row>
    <row r="25" spans="1:8" x14ac:dyDescent="0.2">
      <c r="A25" s="93"/>
      <c r="B25" s="99"/>
      <c r="C25" s="99"/>
      <c r="D25" s="91" t="s">
        <v>6155</v>
      </c>
      <c r="H25" s="91">
        <v>1079.8499999999999</v>
      </c>
    </row>
    <row r="26" spans="1:8" x14ac:dyDescent="0.2">
      <c r="A26" s="93"/>
      <c r="B26" s="99"/>
      <c r="C26" s="99"/>
      <c r="D26" s="91" t="s">
        <v>6157</v>
      </c>
      <c r="H26" s="91">
        <v>1544.75</v>
      </c>
    </row>
    <row r="27" spans="1:8" x14ac:dyDescent="0.2">
      <c r="A27" s="93"/>
      <c r="B27" s="99"/>
      <c r="C27" s="99"/>
      <c r="D27" s="91" t="s">
        <v>6156</v>
      </c>
      <c r="H27" s="91">
        <v>2646.24</v>
      </c>
    </row>
    <row r="28" spans="1:8" x14ac:dyDescent="0.2">
      <c r="A28" s="93"/>
      <c r="B28" s="99"/>
      <c r="C28" s="99"/>
      <c r="D28" s="91" t="s">
        <v>2147</v>
      </c>
      <c r="H28" s="91">
        <v>3231.5299999999997</v>
      </c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  <c r="H30" s="94"/>
    </row>
    <row r="31" spans="1:8" x14ac:dyDescent="0.2">
      <c r="A31" s="93"/>
      <c r="B31" s="99"/>
      <c r="C31" s="99"/>
    </row>
    <row r="32" spans="1:8" x14ac:dyDescent="0.2">
      <c r="A32" s="93"/>
      <c r="B32" s="99"/>
      <c r="C32" s="99"/>
    </row>
    <row r="33" spans="1:8" x14ac:dyDescent="0.2">
      <c r="A33" s="93"/>
      <c r="B33" s="99"/>
      <c r="C33" s="99"/>
    </row>
    <row r="34" spans="1:8" x14ac:dyDescent="0.2">
      <c r="A34" s="93"/>
      <c r="B34" s="99"/>
      <c r="C34" s="99"/>
    </row>
    <row r="35" spans="1:8" x14ac:dyDescent="0.2">
      <c r="A35" s="93"/>
      <c r="B35" s="99"/>
      <c r="C35" s="99"/>
    </row>
    <row r="36" spans="1:8" x14ac:dyDescent="0.2">
      <c r="A36" s="93"/>
      <c r="B36" s="99"/>
      <c r="C36" s="99"/>
    </row>
    <row r="37" spans="1:8" ht="13.5" thickBot="1" x14ac:dyDescent="0.25">
      <c r="H37" s="107">
        <f>SUM(H18:H36)</f>
        <v>58677.729999999996</v>
      </c>
    </row>
    <row r="38" spans="1:8" ht="13.5" thickTop="1" x14ac:dyDescent="0.2"/>
    <row r="39" spans="1:8" ht="18" customHeight="1" x14ac:dyDescent="0.2">
      <c r="A39" s="96" t="s">
        <v>336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Fifty-Eight Thousand Six Hundred Seventy-Seven and 73/100 -----------</v>
      </c>
      <c r="C39" s="185"/>
      <c r="D39" s="97"/>
      <c r="E39" s="97"/>
      <c r="F39" s="237"/>
      <c r="G39" s="237"/>
      <c r="H39" s="237"/>
    </row>
    <row r="41" spans="1:8" ht="25.5" x14ac:dyDescent="0.2">
      <c r="A41" s="91" t="s">
        <v>10</v>
      </c>
      <c r="F41" s="218" t="s">
        <v>3975</v>
      </c>
      <c r="G41" s="219"/>
      <c r="H41" s="220"/>
    </row>
    <row r="44" spans="1:8" x14ac:dyDescent="0.2">
      <c r="A44" s="91" t="s">
        <v>121</v>
      </c>
      <c r="D44" s="99"/>
      <c r="E44" s="99"/>
    </row>
    <row r="45" spans="1:8" x14ac:dyDescent="0.2">
      <c r="A45" s="101"/>
      <c r="B45" s="101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51" spans="1:8" x14ac:dyDescent="0.2">
      <c r="A51" s="101" t="s">
        <v>120</v>
      </c>
      <c r="B51" s="101"/>
      <c r="D51" s="101" t="s">
        <v>120</v>
      </c>
      <c r="F51" s="101"/>
      <c r="G51" s="101"/>
      <c r="H51" s="101"/>
    </row>
    <row r="52" spans="1:8" s="61" customFormat="1" ht="17.100000000000001" customHeight="1" x14ac:dyDescent="0.2">
      <c r="A52" s="91" t="s">
        <v>4066</v>
      </c>
      <c r="B52" s="104"/>
      <c r="C52" s="104"/>
      <c r="D52" s="91" t="s">
        <v>50</v>
      </c>
      <c r="F52" s="61" t="s">
        <v>3</v>
      </c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sheetPr codeName="Sheet288">
    <pageSetUpPr fitToPage="1"/>
  </sheetPr>
  <dimension ref="A1:F49"/>
  <sheetViews>
    <sheetView topLeftCell="A22" workbookViewId="0">
      <selection activeCell="F34" sqref="F34"/>
    </sheetView>
  </sheetViews>
  <sheetFormatPr defaultRowHeight="12.75" x14ac:dyDescent="0.2"/>
  <cols>
    <col min="1" max="1" width="14.7109375" style="91" customWidth="1"/>
    <col min="2" max="2" width="19.5703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2985</v>
      </c>
      <c r="D9" s="92" t="s">
        <v>1317</v>
      </c>
      <c r="E9" s="156" t="s">
        <v>3139</v>
      </c>
    </row>
    <row r="10" spans="1:6" x14ac:dyDescent="0.2">
      <c r="A10" s="91" t="s">
        <v>2986</v>
      </c>
      <c r="D10" s="92" t="s">
        <v>1329</v>
      </c>
      <c r="E10" s="197" t="s">
        <v>3141</v>
      </c>
    </row>
    <row r="11" spans="1:6" x14ac:dyDescent="0.2">
      <c r="A11" s="91" t="s">
        <v>2987</v>
      </c>
      <c r="D11" s="92" t="s">
        <v>1330</v>
      </c>
      <c r="E11" s="197" t="s">
        <v>1220</v>
      </c>
    </row>
    <row r="12" spans="1:6" x14ac:dyDescent="0.2">
      <c r="A12" s="91" t="s">
        <v>2988</v>
      </c>
      <c r="D12" s="92" t="s">
        <v>1331</v>
      </c>
      <c r="E12" s="197" t="s">
        <v>3140</v>
      </c>
    </row>
    <row r="13" spans="1:6" x14ac:dyDescent="0.2">
      <c r="A13" s="91" t="s">
        <v>2989</v>
      </c>
    </row>
    <row r="14" spans="1:6" x14ac:dyDescent="0.2">
      <c r="A14" s="91" t="s">
        <v>1404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2973</v>
      </c>
    </row>
    <row r="19" spans="1:6" x14ac:dyDescent="0.2">
      <c r="A19" s="106"/>
    </row>
    <row r="20" spans="1:6" x14ac:dyDescent="0.2">
      <c r="A20" s="93" t="s">
        <v>3143</v>
      </c>
      <c r="B20" s="195" t="s">
        <v>3144</v>
      </c>
      <c r="C20" s="91" t="s">
        <v>3145</v>
      </c>
      <c r="F20" s="91">
        <v>1500</v>
      </c>
    </row>
    <row r="21" spans="1:6" x14ac:dyDescent="0.2">
      <c r="A21" s="93"/>
    </row>
    <row r="22" spans="1:6" x14ac:dyDescent="0.2">
      <c r="A22" s="106"/>
      <c r="C22" s="91" t="s">
        <v>3146</v>
      </c>
      <c r="F22" s="91">
        <v>1000</v>
      </c>
    </row>
    <row r="23" spans="1:6" x14ac:dyDescent="0.2">
      <c r="A23" s="106"/>
    </row>
    <row r="24" spans="1:6" x14ac:dyDescent="0.2">
      <c r="A24" s="93" t="s">
        <v>3142</v>
      </c>
      <c r="B24" s="191" t="s">
        <v>3147</v>
      </c>
      <c r="C24" s="91" t="s">
        <v>3148</v>
      </c>
      <c r="F24" s="91">
        <v>600</v>
      </c>
    </row>
    <row r="25" spans="1:6" x14ac:dyDescent="0.2">
      <c r="A25" s="93"/>
      <c r="B25" s="93"/>
      <c r="C25" s="91" t="s">
        <v>3149</v>
      </c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3100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3150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22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sheetPr codeName="Sheet284">
    <pageSetUpPr fitToPage="1"/>
  </sheetPr>
  <dimension ref="A1:F52"/>
  <sheetViews>
    <sheetView topLeftCell="A16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1334</v>
      </c>
      <c r="E9" s="91" t="s">
        <v>4101</v>
      </c>
    </row>
    <row r="10" spans="1:6" x14ac:dyDescent="0.2">
      <c r="A10" s="91" t="s">
        <v>2950</v>
      </c>
      <c r="D10" s="92" t="s">
        <v>1335</v>
      </c>
      <c r="E10" s="98" t="s">
        <v>4099</v>
      </c>
    </row>
    <row r="11" spans="1:6" x14ac:dyDescent="0.2">
      <c r="A11" s="91" t="s">
        <v>2951</v>
      </c>
      <c r="D11" s="92" t="s">
        <v>1333</v>
      </c>
      <c r="E11" s="92" t="s">
        <v>1220</v>
      </c>
    </row>
    <row r="12" spans="1:6" x14ac:dyDescent="0.2">
      <c r="A12" s="91" t="s">
        <v>2952</v>
      </c>
      <c r="D12" s="92" t="s">
        <v>1331</v>
      </c>
      <c r="E12" s="94" t="s">
        <v>4102</v>
      </c>
    </row>
    <row r="13" spans="1:6" x14ac:dyDescent="0.2">
      <c r="A13" s="91" t="s">
        <v>2154</v>
      </c>
    </row>
    <row r="14" spans="1:6" x14ac:dyDescent="0.2">
      <c r="A14" s="91" t="s">
        <v>2953</v>
      </c>
    </row>
    <row r="15" spans="1:6" x14ac:dyDescent="0.2">
      <c r="A15" s="91" t="s">
        <v>2954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4103</v>
      </c>
    </row>
    <row r="19" spans="1:6" x14ac:dyDescent="0.2">
      <c r="A19" s="93"/>
      <c r="B19" s="111"/>
      <c r="C19" s="2"/>
    </row>
    <row r="20" spans="1:6" x14ac:dyDescent="0.2">
      <c r="A20" s="93" t="s">
        <v>4100</v>
      </c>
      <c r="B20" s="111" t="s">
        <v>4104</v>
      </c>
      <c r="C20" s="91" t="s">
        <v>4105</v>
      </c>
      <c r="F20" s="94">
        <v>523</v>
      </c>
    </row>
    <row r="21" spans="1:6" x14ac:dyDescent="0.2">
      <c r="A21" s="93"/>
      <c r="B21" s="111"/>
    </row>
    <row r="22" spans="1:6" x14ac:dyDescent="0.2">
      <c r="A22" s="93" t="s">
        <v>4100</v>
      </c>
      <c r="B22" s="111" t="s">
        <v>4106</v>
      </c>
      <c r="C22" s="91" t="s">
        <v>4105</v>
      </c>
      <c r="F22" s="91">
        <v>523</v>
      </c>
    </row>
    <row r="23" spans="1:6" x14ac:dyDescent="0.2">
      <c r="A23" s="93"/>
      <c r="B23" s="111"/>
    </row>
    <row r="24" spans="1:6" x14ac:dyDescent="0.2">
      <c r="A24" s="93" t="s">
        <v>4100</v>
      </c>
      <c r="B24" s="111" t="s">
        <v>4107</v>
      </c>
      <c r="C24" s="91" t="s">
        <v>4105</v>
      </c>
      <c r="F24" s="151">
        <v>523</v>
      </c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8" spans="1:6" x14ac:dyDescent="0.2">
      <c r="A28" s="108"/>
    </row>
    <row r="29" spans="1:6" x14ac:dyDescent="0.2">
      <c r="A29" s="111"/>
      <c r="B29" s="93"/>
      <c r="F29" s="110"/>
    </row>
    <row r="30" spans="1:6" x14ac:dyDescent="0.2">
      <c r="A30" s="93"/>
      <c r="B30" s="93"/>
    </row>
    <row r="33" spans="1:6" ht="13.5" thickBot="1" x14ac:dyDescent="0.25">
      <c r="F33" s="95">
        <f>SUM(F18:F31)</f>
        <v>1569</v>
      </c>
    </row>
    <row r="34" spans="1:6" ht="13.5" thickTop="1" x14ac:dyDescent="0.2">
      <c r="F34" s="101"/>
    </row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Five Hundred Sixty-Nine and NO/100 -----------</v>
      </c>
      <c r="C35" s="97"/>
      <c r="D35" s="97"/>
      <c r="E35" s="97"/>
      <c r="F35" s="20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sheetPr codeName="Sheet255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3685</v>
      </c>
      <c r="G9" s="61"/>
    </row>
    <row r="10" spans="1:7" x14ac:dyDescent="0.2">
      <c r="A10" s="91" t="s">
        <v>2733</v>
      </c>
      <c r="D10" s="92" t="s">
        <v>1335</v>
      </c>
      <c r="E10" s="92" t="s">
        <v>3661</v>
      </c>
      <c r="G10" s="113"/>
    </row>
    <row r="11" spans="1:7" x14ac:dyDescent="0.2">
      <c r="A11" s="91" t="s">
        <v>2734</v>
      </c>
      <c r="D11" s="92" t="s">
        <v>1333</v>
      </c>
      <c r="E11" s="92" t="s">
        <v>1220</v>
      </c>
      <c r="G11" s="113"/>
    </row>
    <row r="12" spans="1:7" x14ac:dyDescent="0.2">
      <c r="A12" s="91" t="s">
        <v>2735</v>
      </c>
      <c r="D12" s="92" t="s">
        <v>1331</v>
      </c>
      <c r="E12" s="92" t="s">
        <v>3686</v>
      </c>
      <c r="G12" s="113"/>
    </row>
    <row r="13" spans="1:7" x14ac:dyDescent="0.2">
      <c r="A13" s="91" t="s">
        <v>2736</v>
      </c>
    </row>
    <row r="14" spans="1:7" x14ac:dyDescent="0.2">
      <c r="A14" s="91" t="s">
        <v>2737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3567</v>
      </c>
    </row>
    <row r="19" spans="1:6" x14ac:dyDescent="0.2">
      <c r="A19" s="93"/>
      <c r="B19" s="111"/>
      <c r="F19" s="110"/>
    </row>
    <row r="20" spans="1:6" x14ac:dyDescent="0.2">
      <c r="A20" s="93" t="s">
        <v>3687</v>
      </c>
      <c r="B20" s="111" t="s">
        <v>3688</v>
      </c>
      <c r="C20" s="91" t="s">
        <v>2738</v>
      </c>
      <c r="F20" s="91">
        <v>550</v>
      </c>
    </row>
    <row r="21" spans="1:6" x14ac:dyDescent="0.2">
      <c r="A21" s="93"/>
      <c r="B21" s="111"/>
    </row>
    <row r="22" spans="1:6" x14ac:dyDescent="0.2">
      <c r="A22" s="111"/>
      <c r="B22" s="93"/>
      <c r="F22" s="110"/>
    </row>
    <row r="23" spans="1:6" x14ac:dyDescent="0.2">
      <c r="A23" s="111"/>
      <c r="B23" s="93"/>
    </row>
    <row r="25" spans="1:6" x14ac:dyDescent="0.2">
      <c r="A25" s="111"/>
      <c r="B25" s="93"/>
      <c r="C25" s="2"/>
    </row>
    <row r="26" spans="1:6" x14ac:dyDescent="0.2">
      <c r="A26" s="93"/>
      <c r="B26" s="93"/>
      <c r="F26" s="110"/>
    </row>
    <row r="27" spans="1:6" x14ac:dyDescent="0.2">
      <c r="A27" s="93"/>
      <c r="B27" s="111"/>
    </row>
    <row r="28" spans="1:6" x14ac:dyDescent="0.2">
      <c r="A28" s="93"/>
      <c r="B28" s="111"/>
      <c r="F28" s="110"/>
    </row>
    <row r="29" spans="1:6" x14ac:dyDescent="0.2">
      <c r="A29" s="93"/>
      <c r="B29" s="111"/>
    </row>
    <row r="31" spans="1:6" x14ac:dyDescent="0.2">
      <c r="F31" s="110"/>
    </row>
    <row r="33" spans="1:6" ht="13.5" thickBot="1" x14ac:dyDescent="0.25">
      <c r="F33" s="95">
        <f>SUM(F18:F32)</f>
        <v>550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2739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96"/>
  <dimension ref="A1:P54"/>
  <sheetViews>
    <sheetView view="pageBreakPreview" zoomScaleNormal="100" zoomScaleSheetLayoutView="100" workbookViewId="0">
      <selection activeCell="D12" sqref="D12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5" width="9.140625" style="1"/>
    <col min="16" max="16" width="12.28515625" style="1" bestFit="1" customWidth="1"/>
    <col min="17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16" x14ac:dyDescent="0.2">
      <c r="J7" s="366"/>
      <c r="K7" s="366"/>
    </row>
    <row r="8" spans="1:16" x14ac:dyDescent="0.2">
      <c r="A8" s="91" t="s">
        <v>32</v>
      </c>
      <c r="F8" s="22" t="s">
        <v>31</v>
      </c>
      <c r="J8" s="366"/>
      <c r="K8" s="366"/>
    </row>
    <row r="9" spans="1:16" x14ac:dyDescent="0.2">
      <c r="F9" s="92" t="s">
        <v>1317</v>
      </c>
      <c r="G9" s="91" t="s">
        <v>8675</v>
      </c>
      <c r="J9" s="366"/>
      <c r="K9" s="366"/>
    </row>
    <row r="10" spans="1:16" x14ac:dyDescent="0.2">
      <c r="A10" s="91" t="s">
        <v>8463</v>
      </c>
      <c r="F10" s="92" t="s">
        <v>1329</v>
      </c>
      <c r="G10" s="92" t="s">
        <v>8676</v>
      </c>
      <c r="J10" s="366"/>
      <c r="K10" s="366"/>
    </row>
    <row r="11" spans="1:16" x14ac:dyDescent="0.2">
      <c r="A11" s="91" t="s">
        <v>8464</v>
      </c>
      <c r="F11" s="92" t="s">
        <v>1330</v>
      </c>
      <c r="G11" s="92" t="s">
        <v>1220</v>
      </c>
      <c r="J11" s="366"/>
      <c r="K11" s="366"/>
    </row>
    <row r="12" spans="1:16" x14ac:dyDescent="0.2">
      <c r="A12" s="91" t="s">
        <v>8465</v>
      </c>
      <c r="F12" s="92" t="s">
        <v>1331</v>
      </c>
      <c r="G12" s="92" t="s">
        <v>8677</v>
      </c>
    </row>
    <row r="13" spans="1:16" x14ac:dyDescent="0.2">
      <c r="A13" s="91" t="s">
        <v>8466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L16" s="91" t="s">
        <v>7072</v>
      </c>
      <c r="M16" s="91"/>
      <c r="N16" s="91"/>
      <c r="O16" s="91"/>
      <c r="P16" s="91">
        <v>120841.5</v>
      </c>
    </row>
    <row r="17" spans="1:16" x14ac:dyDescent="0.2">
      <c r="A17" s="106"/>
      <c r="L17" s="91" t="s">
        <v>7073</v>
      </c>
      <c r="M17" s="91"/>
      <c r="N17" s="91"/>
      <c r="O17" s="91"/>
      <c r="P17" s="91"/>
    </row>
    <row r="18" spans="1:16" x14ac:dyDescent="0.2">
      <c r="D18" s="2" t="s">
        <v>8462</v>
      </c>
      <c r="E18" s="2"/>
      <c r="L18" s="91"/>
      <c r="M18" s="91"/>
      <c r="N18" s="91"/>
      <c r="O18" s="91"/>
      <c r="P18" s="91"/>
    </row>
    <row r="19" spans="1:16" x14ac:dyDescent="0.2">
      <c r="A19" s="106"/>
      <c r="D19" s="2"/>
      <c r="E19" s="2"/>
      <c r="L19" s="91" t="s">
        <v>7074</v>
      </c>
      <c r="M19" s="91"/>
      <c r="N19" s="91"/>
      <c r="O19" s="91"/>
      <c r="P19" s="91">
        <v>362524.5</v>
      </c>
    </row>
    <row r="20" spans="1:16" x14ac:dyDescent="0.2">
      <c r="A20" s="93" t="s">
        <v>8678</v>
      </c>
      <c r="B20" s="93" t="s">
        <v>8679</v>
      </c>
      <c r="C20" s="93"/>
      <c r="D20" s="91" t="s">
        <v>8680</v>
      </c>
      <c r="H20" s="91">
        <v>261353</v>
      </c>
      <c r="L20" s="91" t="s">
        <v>7075</v>
      </c>
      <c r="M20" s="91"/>
      <c r="N20" s="91"/>
      <c r="O20" s="91"/>
      <c r="P20" s="91"/>
    </row>
    <row r="21" spans="1:16" x14ac:dyDescent="0.2">
      <c r="A21" s="93"/>
      <c r="B21" s="94"/>
      <c r="C21" s="94"/>
      <c r="D21" s="91" t="s">
        <v>8681</v>
      </c>
      <c r="H21" s="91">
        <v>-19700</v>
      </c>
      <c r="L21" s="91"/>
      <c r="M21" s="91"/>
      <c r="N21" s="91"/>
      <c r="O21" s="91"/>
      <c r="P21" s="91"/>
    </row>
    <row r="22" spans="1:16" x14ac:dyDescent="0.2">
      <c r="A22" s="93"/>
      <c r="B22" s="99"/>
      <c r="C22" s="99"/>
      <c r="D22" s="91" t="s">
        <v>8682</v>
      </c>
      <c r="H22" s="91">
        <v>-650</v>
      </c>
      <c r="L22" s="91"/>
      <c r="M22" s="91"/>
      <c r="N22" s="91"/>
      <c r="O22" s="91"/>
      <c r="P22" s="91"/>
    </row>
    <row r="23" spans="1:16" x14ac:dyDescent="0.2">
      <c r="A23" s="93"/>
      <c r="B23" s="93"/>
      <c r="C23" s="93"/>
      <c r="D23" s="91" t="s">
        <v>8683</v>
      </c>
      <c r="H23" s="91">
        <v>-3065</v>
      </c>
    </row>
    <row r="24" spans="1:16" x14ac:dyDescent="0.2">
      <c r="A24" s="93"/>
      <c r="B24" s="99"/>
      <c r="C24" s="99"/>
      <c r="D24" s="91" t="s">
        <v>8684</v>
      </c>
      <c r="H24" s="91">
        <v>-9717.5</v>
      </c>
    </row>
    <row r="25" spans="1:16" x14ac:dyDescent="0.2">
      <c r="A25" s="93"/>
      <c r="B25" s="93"/>
      <c r="C25" s="93"/>
      <c r="D25" s="91" t="s">
        <v>8685</v>
      </c>
      <c r="H25" s="91">
        <v>-30120</v>
      </c>
    </row>
    <row r="26" spans="1:16" x14ac:dyDescent="0.2">
      <c r="A26" s="93"/>
      <c r="B26" s="94"/>
      <c r="C26" s="94"/>
    </row>
    <row r="27" spans="1:16" x14ac:dyDescent="0.2">
      <c r="A27" s="93"/>
      <c r="B27" s="99"/>
      <c r="C27" s="99"/>
    </row>
    <row r="28" spans="1:16" x14ac:dyDescent="0.2">
      <c r="A28" s="93"/>
      <c r="B28" s="93"/>
      <c r="C28" s="93"/>
    </row>
    <row r="29" spans="1:16" x14ac:dyDescent="0.2">
      <c r="A29" s="93"/>
      <c r="B29" s="93"/>
      <c r="C29" s="93"/>
    </row>
    <row r="30" spans="1:16" x14ac:dyDescent="0.2">
      <c r="A30" s="93"/>
      <c r="B30" s="93"/>
      <c r="C30" s="93"/>
    </row>
    <row r="31" spans="1:16" x14ac:dyDescent="0.2">
      <c r="A31" s="93"/>
      <c r="B31" s="93"/>
      <c r="C31" s="93"/>
    </row>
    <row r="32" spans="1:16" x14ac:dyDescent="0.2">
      <c r="A32" s="93"/>
      <c r="B32" s="93"/>
      <c r="C32" s="93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198100.5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Ninety-Eight Thousand One Hundred and 50/100 -----------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D38" s="91" t="s">
        <v>8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  <c r="D42" s="101" t="s">
        <v>120</v>
      </c>
    </row>
    <row r="43" spans="1:8" x14ac:dyDescent="0.2">
      <c r="D43" s="61" t="s">
        <v>50</v>
      </c>
    </row>
    <row r="44" spans="1:8" x14ac:dyDescent="0.2">
      <c r="D44" s="6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sheetPr codeName="Sheet256">
    <pageSetUpPr fitToPage="1"/>
  </sheetPr>
  <dimension ref="A1:G56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155" t="s">
        <v>6619</v>
      </c>
      <c r="F9" s="91"/>
    </row>
    <row r="10" spans="1:6" x14ac:dyDescent="0.2">
      <c r="A10" s="91" t="s">
        <v>2763</v>
      </c>
      <c r="B10" s="91"/>
      <c r="C10" s="91"/>
      <c r="D10" s="92" t="s">
        <v>1357</v>
      </c>
      <c r="E10" s="155" t="s">
        <v>6605</v>
      </c>
      <c r="F10" s="91"/>
    </row>
    <row r="11" spans="1:6" x14ac:dyDescent="0.2">
      <c r="A11" s="91" t="s">
        <v>2765</v>
      </c>
      <c r="B11" s="91"/>
      <c r="C11" s="91"/>
      <c r="D11" s="92" t="s">
        <v>1330</v>
      </c>
      <c r="E11" s="155" t="s">
        <v>1220</v>
      </c>
      <c r="F11" s="91"/>
    </row>
    <row r="12" spans="1:6" x14ac:dyDescent="0.2">
      <c r="A12" s="91" t="s">
        <v>2764</v>
      </c>
      <c r="B12" s="91"/>
      <c r="C12" s="91"/>
      <c r="D12" s="92" t="s">
        <v>1377</v>
      </c>
      <c r="E12" s="94" t="s">
        <v>6620</v>
      </c>
      <c r="F12" s="91"/>
    </row>
    <row r="13" spans="1:6" x14ac:dyDescent="0.2">
      <c r="A13" s="91" t="s">
        <v>2457</v>
      </c>
      <c r="B13" s="91"/>
      <c r="C13" s="91"/>
      <c r="D13" s="91"/>
      <c r="E13" s="91"/>
      <c r="F13" s="91"/>
    </row>
    <row r="14" spans="1:6" x14ac:dyDescent="0.2">
      <c r="A14" s="91" t="s">
        <v>2766</v>
      </c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7" x14ac:dyDescent="0.2">
      <c r="A17" s="91"/>
      <c r="B17" s="91"/>
      <c r="C17" s="91"/>
      <c r="D17" s="91"/>
      <c r="E17" s="91"/>
      <c r="F17" s="91"/>
    </row>
    <row r="18" spans="1:7" x14ac:dyDescent="0.2">
      <c r="A18" s="91"/>
      <c r="B18" s="91"/>
      <c r="C18" s="2" t="s">
        <v>6618</v>
      </c>
      <c r="D18" s="91"/>
      <c r="E18" s="91"/>
      <c r="F18" s="91"/>
    </row>
    <row r="19" spans="1:7" x14ac:dyDescent="0.2">
      <c r="G19" s="91"/>
    </row>
    <row r="20" spans="1:7" x14ac:dyDescent="0.2">
      <c r="A20" s="93" t="s">
        <v>6621</v>
      </c>
      <c r="B20" s="93"/>
      <c r="C20" s="91" t="s">
        <v>6622</v>
      </c>
      <c r="D20" s="91"/>
      <c r="E20" s="91"/>
      <c r="F20" s="91">
        <f>18*1</f>
        <v>18</v>
      </c>
      <c r="G20" s="91"/>
    </row>
    <row r="21" spans="1:7" x14ac:dyDescent="0.2">
      <c r="A21" s="93"/>
      <c r="B21" s="93"/>
      <c r="C21" s="91"/>
      <c r="D21" s="91"/>
      <c r="E21" s="91"/>
      <c r="F21" s="91"/>
      <c r="G21" s="91"/>
    </row>
    <row r="22" spans="1:7" x14ac:dyDescent="0.2">
      <c r="A22" s="93"/>
      <c r="B22" s="94"/>
      <c r="C22" s="2"/>
      <c r="D22" s="91"/>
      <c r="E22" s="91"/>
      <c r="F22" s="91"/>
      <c r="G22" s="91"/>
    </row>
    <row r="23" spans="1:7" x14ac:dyDescent="0.2">
      <c r="A23" s="93"/>
      <c r="B23" s="94"/>
      <c r="C23" s="91"/>
      <c r="D23" s="91"/>
      <c r="E23" s="91"/>
      <c r="F23" s="91"/>
      <c r="G23" s="91"/>
    </row>
    <row r="24" spans="1:7" x14ac:dyDescent="0.2">
      <c r="A24" s="93"/>
      <c r="B24" s="93"/>
      <c r="C24" s="91"/>
      <c r="D24" s="91"/>
      <c r="E24" s="91"/>
      <c r="F24" s="91"/>
      <c r="G24" s="91"/>
    </row>
    <row r="25" spans="1:7" x14ac:dyDescent="0.2">
      <c r="A25" s="93"/>
      <c r="B25" s="94"/>
      <c r="C25" s="91"/>
      <c r="D25" s="91"/>
      <c r="E25" s="91"/>
      <c r="F25" s="91"/>
      <c r="G25" s="91"/>
    </row>
    <row r="26" spans="1:7" x14ac:dyDescent="0.2">
      <c r="A26" s="93"/>
      <c r="B26" s="94"/>
      <c r="D26" s="91"/>
      <c r="E26" s="91"/>
      <c r="F26" s="91"/>
      <c r="G26" s="91"/>
    </row>
    <row r="27" spans="1:7" x14ac:dyDescent="0.2">
      <c r="A27" s="93"/>
      <c r="B27" s="94"/>
      <c r="C27" s="91"/>
      <c r="D27" s="91"/>
      <c r="E27" s="91"/>
      <c r="F27" s="91"/>
      <c r="G27" s="91"/>
    </row>
    <row r="28" spans="1:7" x14ac:dyDescent="0.2">
      <c r="A28" s="93"/>
      <c r="B28" s="94"/>
      <c r="C28" s="91"/>
      <c r="D28" s="91"/>
      <c r="E28" s="91"/>
      <c r="F28" s="91"/>
      <c r="G28" s="91"/>
    </row>
    <row r="29" spans="1:7" x14ac:dyDescent="0.2">
      <c r="A29" s="93"/>
      <c r="B29" s="94"/>
      <c r="G29" s="91"/>
    </row>
    <row r="30" spans="1:7" x14ac:dyDescent="0.2">
      <c r="A30" s="93"/>
      <c r="B30" s="94"/>
      <c r="G30" s="91"/>
    </row>
    <row r="31" spans="1:7" x14ac:dyDescent="0.2">
      <c r="A31" s="93"/>
      <c r="B31" s="94"/>
      <c r="C31" s="91"/>
      <c r="D31" s="91"/>
      <c r="E31" s="91"/>
      <c r="F31" s="91"/>
      <c r="G31" s="91"/>
    </row>
    <row r="32" spans="1:7" x14ac:dyDescent="0.2">
      <c r="A32" s="93"/>
      <c r="B32" s="94"/>
      <c r="C32" s="91"/>
      <c r="D32" s="91"/>
      <c r="E32" s="91"/>
      <c r="F32" s="91"/>
      <c r="G32" s="91"/>
    </row>
    <row r="33" spans="1:7" x14ac:dyDescent="0.2">
      <c r="A33" s="93"/>
      <c r="B33" s="94"/>
      <c r="C33" s="91"/>
      <c r="D33" s="91"/>
      <c r="E33" s="91"/>
      <c r="F33" s="91"/>
      <c r="G33" s="91"/>
    </row>
    <row r="34" spans="1:7" ht="13.5" thickBot="1" x14ac:dyDescent="0.25">
      <c r="A34" s="91"/>
      <c r="B34" s="91"/>
      <c r="C34" s="91"/>
      <c r="D34" s="91"/>
      <c r="E34" s="91"/>
      <c r="F34" s="107">
        <f>SUM(F20:F33)</f>
        <v>18</v>
      </c>
      <c r="G34" s="91"/>
    </row>
    <row r="35" spans="1:7" ht="13.5" thickTop="1" x14ac:dyDescent="0.2">
      <c r="A35" s="91"/>
      <c r="B35" s="91"/>
      <c r="C35" s="91"/>
      <c r="D35" s="91"/>
      <c r="E35" s="91"/>
      <c r="G35" s="91"/>
    </row>
    <row r="36" spans="1:7" x14ac:dyDescent="0.2">
      <c r="A36" s="91"/>
      <c r="B36" s="91"/>
      <c r="C36" s="91"/>
    </row>
    <row r="37" spans="1:7" ht="20.100000000000001" customHeight="1" x14ac:dyDescent="0.2">
      <c r="A37" s="96" t="s">
        <v>122</v>
      </c>
      <c r="B37" s="185" t="str">
        <f>IF(OR(F34&gt;1000000,F34&lt;=0),"",IF(F34&lt;1000,"",IF(MOD(F34,1000000)&gt;=100000,INDEX(numbers,TRUNC(MOD(F34,1000000)/100000,0)+1)&amp;" Hundred","")&amp;IF(MOD(F34,100000)&gt;=20000," "&amp;INDEX(teb,TRUNC(MOD(F34,100000)/10000,0)+1)&amp;IF(MOD(MOD(F34,100000),10000)&gt;=1000,"-"&amp;INDEX(numbers,TRUNC(MOD(MOD(F34,100000),10000)/1000,0)+1),""),IF(MOD(F34,100000)&gt;=1000,"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"&amp;INDEX(teb,TRUNC(MOD(F34,100)/10,0)+1)&amp;IF(MOD(MOD(F34,100),10)&gt;=1,"-"&amp;INDEX(numbers,TRUNC(MOD(MOD(F34,100),10),0)+1),""),IF(MOD(F34,100)&gt;=1,"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Eighteen and NO/100 -----------</v>
      </c>
      <c r="C37" s="97"/>
      <c r="D37" s="222"/>
      <c r="E37" s="222"/>
      <c r="F37" s="222"/>
      <c r="G37" s="91"/>
    </row>
    <row r="38" spans="1:7" ht="20.100000000000001" customHeight="1" x14ac:dyDescent="0.2">
      <c r="A38" s="113"/>
      <c r="B38" s="103"/>
      <c r="C38" s="61"/>
      <c r="D38" s="222"/>
      <c r="E38" s="222"/>
      <c r="F38" s="222"/>
      <c r="G38" s="91"/>
    </row>
    <row r="39" spans="1:7" ht="25.5" x14ac:dyDescent="0.2">
      <c r="A39" s="94" t="s">
        <v>3973</v>
      </c>
      <c r="B39" s="91"/>
      <c r="C39" s="91"/>
      <c r="D39" s="218" t="s">
        <v>3975</v>
      </c>
      <c r="E39" s="219"/>
      <c r="F39" s="220"/>
      <c r="G39" s="91"/>
    </row>
    <row r="40" spans="1:7" x14ac:dyDescent="0.2">
      <c r="A40" s="91"/>
      <c r="B40" s="91"/>
      <c r="C40" s="91"/>
      <c r="D40" s="228"/>
      <c r="E40" s="229"/>
      <c r="F40" s="229"/>
    </row>
    <row r="41" spans="1:7" x14ac:dyDescent="0.2">
      <c r="B41" s="91"/>
      <c r="C41" s="99"/>
      <c r="D41" s="91"/>
      <c r="E41" s="91"/>
      <c r="F41" s="91"/>
    </row>
    <row r="42" spans="1:7" x14ac:dyDescent="0.2">
      <c r="A42" s="91"/>
      <c r="B42" s="91"/>
      <c r="C42" s="99"/>
      <c r="D42" s="91"/>
      <c r="E42" s="91"/>
      <c r="F42" s="91"/>
    </row>
    <row r="43" spans="1:7" x14ac:dyDescent="0.2">
      <c r="A43" s="101"/>
      <c r="B43" s="101"/>
      <c r="C43" s="91"/>
      <c r="D43" s="91"/>
      <c r="E43" s="91"/>
      <c r="F43" s="91"/>
    </row>
    <row r="44" spans="1:7" x14ac:dyDescent="0.2">
      <c r="B44" s="91"/>
      <c r="C44" s="91"/>
      <c r="D44" s="91"/>
      <c r="E44" s="91"/>
      <c r="F44" s="91"/>
    </row>
    <row r="45" spans="1:7" x14ac:dyDescent="0.2">
      <c r="A45" s="98" t="s">
        <v>8</v>
      </c>
      <c r="C45" s="91"/>
      <c r="D45" s="98" t="s">
        <v>7</v>
      </c>
      <c r="E45" s="91"/>
      <c r="F45" s="102"/>
    </row>
    <row r="46" spans="1:7" x14ac:dyDescent="0.2">
      <c r="A46" s="91"/>
      <c r="B46" s="91"/>
      <c r="C46" s="91"/>
      <c r="D46" s="91"/>
      <c r="E46" s="91"/>
      <c r="F46" s="91"/>
    </row>
    <row r="47" spans="1:7" x14ac:dyDescent="0.2">
      <c r="A47" s="91"/>
      <c r="B47" s="91"/>
      <c r="C47" s="91"/>
      <c r="D47" s="91"/>
      <c r="E47" s="91"/>
      <c r="F47" s="91"/>
    </row>
    <row r="48" spans="1:7" x14ac:dyDescent="0.2">
      <c r="A48" s="91"/>
      <c r="B48" s="91"/>
      <c r="C48" s="91"/>
      <c r="D48" s="91"/>
      <c r="E48" s="91"/>
      <c r="F48" s="91"/>
    </row>
    <row r="49" spans="1:6" x14ac:dyDescent="0.2">
      <c r="A49" s="101"/>
      <c r="B49" s="101"/>
      <c r="C49" s="91"/>
      <c r="D49" s="101"/>
      <c r="E49" s="101"/>
      <c r="F49" s="101"/>
    </row>
    <row r="50" spans="1:6" s="3" customFormat="1" ht="17.100000000000001" customHeight="1" x14ac:dyDescent="0.2">
      <c r="A50" s="209" t="s">
        <v>4066</v>
      </c>
      <c r="B50" s="104"/>
      <c r="C50" s="61"/>
      <c r="D50" s="61" t="s">
        <v>3</v>
      </c>
      <c r="E50" s="61"/>
      <c r="F50" s="61"/>
    </row>
    <row r="51" spans="1:6" x14ac:dyDescent="0.2">
      <c r="A51" s="91"/>
      <c r="B51" s="91"/>
      <c r="C51" s="91"/>
      <c r="D51" s="91" t="s">
        <v>2</v>
      </c>
      <c r="E51" s="91"/>
      <c r="F51" s="91"/>
    </row>
    <row r="52" spans="1:6" x14ac:dyDescent="0.2">
      <c r="A52" s="91"/>
      <c r="B52" s="91"/>
      <c r="C52" s="91"/>
      <c r="D52" s="91"/>
      <c r="E52" s="91"/>
      <c r="F52" s="91"/>
    </row>
    <row r="53" spans="1:6" x14ac:dyDescent="0.2">
      <c r="A53" s="91"/>
      <c r="B53" s="91"/>
      <c r="C53" s="91"/>
      <c r="D53" s="2" t="s">
        <v>1</v>
      </c>
      <c r="E53" s="91"/>
      <c r="F53" s="91"/>
    </row>
    <row r="54" spans="1:6" x14ac:dyDescent="0.2">
      <c r="A54" s="91"/>
      <c r="B54" s="91"/>
      <c r="C54" s="91"/>
      <c r="D54" s="2" t="s">
        <v>0</v>
      </c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  <row r="56" spans="1:6" x14ac:dyDescent="0.2">
      <c r="A56" s="91"/>
      <c r="B56" s="91"/>
      <c r="C56" s="91"/>
      <c r="D56" s="91"/>
      <c r="E56" s="91"/>
      <c r="F56" s="91"/>
    </row>
  </sheetData>
  <customSheetViews>
    <customSheetView guid="{6428A7A0-B31B-40C1-A13E-AD0DCC619E51}" fitToPage="1" topLeftCell="A4">
      <selection activeCell="C17" sqref="C17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sheetPr codeName="Sheet226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2389</v>
      </c>
      <c r="D9" s="92" t="s">
        <v>1317</v>
      </c>
      <c r="E9" s="91" t="s">
        <v>3452</v>
      </c>
    </row>
    <row r="10" spans="1:6" x14ac:dyDescent="0.2">
      <c r="A10" s="91" t="s">
        <v>2390</v>
      </c>
      <c r="D10" s="92" t="s">
        <v>1329</v>
      </c>
      <c r="E10" s="92" t="s">
        <v>3458</v>
      </c>
    </row>
    <row r="11" spans="1:6" x14ac:dyDescent="0.2">
      <c r="A11" s="91" t="s">
        <v>2391</v>
      </c>
      <c r="D11" s="92" t="s">
        <v>1330</v>
      </c>
      <c r="E11" s="92" t="s">
        <v>1220</v>
      </c>
    </row>
    <row r="12" spans="1:6" x14ac:dyDescent="0.2">
      <c r="A12" s="91" t="s">
        <v>1471</v>
      </c>
      <c r="D12" s="92" t="s">
        <v>1331</v>
      </c>
      <c r="E12" s="92" t="s">
        <v>3459</v>
      </c>
    </row>
    <row r="13" spans="1:6" x14ac:dyDescent="0.2">
      <c r="A13" s="91" t="s">
        <v>2392</v>
      </c>
    </row>
    <row r="14" spans="1:6" x14ac:dyDescent="0.2">
      <c r="A14" s="91" t="s">
        <v>2393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3453</v>
      </c>
    </row>
    <row r="19" spans="1:6" x14ac:dyDescent="0.2">
      <c r="A19" s="106"/>
    </row>
    <row r="20" spans="1:6" x14ac:dyDescent="0.2">
      <c r="A20" s="93" t="s">
        <v>3454</v>
      </c>
      <c r="B20" s="93"/>
      <c r="C20" s="91" t="s">
        <v>3455</v>
      </c>
      <c r="F20" s="91">
        <f>75*23</f>
        <v>1725</v>
      </c>
    </row>
    <row r="21" spans="1:6" x14ac:dyDescent="0.2">
      <c r="A21" s="93"/>
      <c r="C21" s="91" t="s">
        <v>3456</v>
      </c>
    </row>
    <row r="22" spans="1:6" x14ac:dyDescent="0.2">
      <c r="A22" s="106"/>
    </row>
    <row r="23" spans="1:6" x14ac:dyDescent="0.2">
      <c r="A23" s="106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1725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3457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sheetPr codeName="Sheet203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6910</v>
      </c>
      <c r="G9" s="61"/>
    </row>
    <row r="10" spans="1:7" x14ac:dyDescent="0.2">
      <c r="A10" s="91" t="s">
        <v>2220</v>
      </c>
      <c r="D10" s="92" t="s">
        <v>1335</v>
      </c>
      <c r="E10" s="98" t="s">
        <v>6909</v>
      </c>
      <c r="G10" s="113"/>
    </row>
    <row r="11" spans="1:7" x14ac:dyDescent="0.2">
      <c r="A11" s="91" t="s">
        <v>2221</v>
      </c>
      <c r="D11" s="92" t="s">
        <v>1333</v>
      </c>
      <c r="E11" s="92" t="s">
        <v>1220</v>
      </c>
      <c r="G11" s="113"/>
    </row>
    <row r="12" spans="1:7" x14ac:dyDescent="0.2">
      <c r="A12" s="91" t="s">
        <v>2222</v>
      </c>
      <c r="D12" s="92" t="s">
        <v>1331</v>
      </c>
      <c r="E12" s="92" t="s">
        <v>6911</v>
      </c>
      <c r="G12" s="113"/>
    </row>
    <row r="13" spans="1:7" x14ac:dyDescent="0.2">
      <c r="A13" s="91" t="s">
        <v>1862</v>
      </c>
    </row>
    <row r="14" spans="1:7" x14ac:dyDescent="0.2">
      <c r="A14" s="91" t="s">
        <v>2223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 t="s">
        <v>6912</v>
      </c>
      <c r="B18" s="111" t="s">
        <v>6913</v>
      </c>
      <c r="C18" s="91" t="s">
        <v>6914</v>
      </c>
      <c r="F18" s="91">
        <v>250</v>
      </c>
    </row>
    <row r="19" spans="1:6" x14ac:dyDescent="0.2">
      <c r="A19" s="93"/>
      <c r="B19" s="111"/>
    </row>
    <row r="20" spans="1:6" x14ac:dyDescent="0.2">
      <c r="A20" s="93"/>
      <c r="B20" s="111"/>
    </row>
    <row r="22" spans="1:6" x14ac:dyDescent="0.2">
      <c r="A22" s="93"/>
      <c r="B22" s="111"/>
    </row>
    <row r="23" spans="1:6" x14ac:dyDescent="0.2">
      <c r="A23" s="93"/>
      <c r="B23" s="111"/>
    </row>
    <row r="24" spans="1:6" x14ac:dyDescent="0.2">
      <c r="A24" s="111"/>
      <c r="B24" s="93"/>
      <c r="F24" s="151"/>
    </row>
    <row r="25" spans="1:6" x14ac:dyDescent="0.2">
      <c r="A25" s="93"/>
      <c r="B25" s="93"/>
    </row>
    <row r="27" spans="1:6" x14ac:dyDescent="0.2">
      <c r="A27" s="111"/>
      <c r="B27" s="93"/>
    </row>
    <row r="28" spans="1:6" x14ac:dyDescent="0.2">
      <c r="A28" s="108"/>
    </row>
    <row r="29" spans="1:6" x14ac:dyDescent="0.2">
      <c r="A29" s="111"/>
      <c r="B29" s="93"/>
      <c r="F29" s="110"/>
    </row>
    <row r="30" spans="1:6" x14ac:dyDescent="0.2">
      <c r="A30" s="93"/>
      <c r="B30" s="93"/>
    </row>
    <row r="33" spans="1:6" ht="13.5" thickBot="1" x14ac:dyDescent="0.25">
      <c r="F33" s="95">
        <f>SUM(F18:F31)</f>
        <v>250</v>
      </c>
    </row>
    <row r="34" spans="1:6" ht="13.5" thickTop="1" x14ac:dyDescent="0.2">
      <c r="F34" s="269"/>
    </row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Fifty and NO/100 -----------</v>
      </c>
      <c r="C35" s="97"/>
      <c r="D35" s="97"/>
      <c r="E35" s="97"/>
      <c r="F35" s="20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 topLeftCell="A3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sheetPr codeName="Sheet195">
    <pageSetUpPr fitToPage="1"/>
  </sheetPr>
  <dimension ref="A1:F52"/>
  <sheetViews>
    <sheetView topLeftCell="A10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2740</v>
      </c>
    </row>
    <row r="10" spans="1:6" x14ac:dyDescent="0.2">
      <c r="A10" s="91" t="s">
        <v>2170</v>
      </c>
      <c r="D10" s="92" t="s">
        <v>1444</v>
      </c>
      <c r="E10" s="92" t="s">
        <v>2719</v>
      </c>
    </row>
    <row r="11" spans="1:6" x14ac:dyDescent="0.2">
      <c r="A11" s="94" t="s">
        <v>2171</v>
      </c>
      <c r="D11" s="92" t="s">
        <v>1431</v>
      </c>
      <c r="E11" s="92" t="s">
        <v>1220</v>
      </c>
    </row>
    <row r="12" spans="1:6" x14ac:dyDescent="0.2">
      <c r="A12" s="91" t="s">
        <v>2172</v>
      </c>
      <c r="D12" s="92" t="s">
        <v>1268</v>
      </c>
      <c r="E12" s="92" t="s">
        <v>2741</v>
      </c>
    </row>
    <row r="13" spans="1:6" x14ac:dyDescent="0.2">
      <c r="A13" s="91" t="s">
        <v>1314</v>
      </c>
    </row>
    <row r="14" spans="1:6" x14ac:dyDescent="0.2">
      <c r="A14" s="91" t="s">
        <v>2173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2742</v>
      </c>
    </row>
    <row r="19" spans="1:6" x14ac:dyDescent="0.2">
      <c r="A19" s="93"/>
      <c r="B19" s="93"/>
    </row>
    <row r="20" spans="1:6" x14ac:dyDescent="0.2">
      <c r="A20" s="93" t="s">
        <v>2743</v>
      </c>
      <c r="B20" s="93" t="s">
        <v>2744</v>
      </c>
      <c r="C20" s="91" t="s">
        <v>2746</v>
      </c>
      <c r="F20" s="110">
        <v>350</v>
      </c>
    </row>
    <row r="21" spans="1:6" x14ac:dyDescent="0.2">
      <c r="A21" s="93"/>
      <c r="B21" s="93"/>
      <c r="C21" s="91" t="s">
        <v>2745</v>
      </c>
      <c r="F21" s="110"/>
    </row>
    <row r="22" spans="1:6" x14ac:dyDescent="0.2">
      <c r="B22" s="99"/>
    </row>
    <row r="23" spans="1:6" x14ac:dyDescent="0.2">
      <c r="A23" s="111"/>
      <c r="B23" s="93"/>
      <c r="C23" s="91" t="s">
        <v>2747</v>
      </c>
      <c r="F23" s="110">
        <v>195</v>
      </c>
    </row>
    <row r="24" spans="1:6" x14ac:dyDescent="0.2">
      <c r="A24" s="111"/>
      <c r="B24" s="93"/>
      <c r="C24" s="91" t="s">
        <v>2745</v>
      </c>
      <c r="F24" s="110"/>
    </row>
    <row r="25" spans="1:6" x14ac:dyDescent="0.2">
      <c r="A25" s="111"/>
      <c r="B25" s="93"/>
    </row>
    <row r="26" spans="1:6" x14ac:dyDescent="0.2">
      <c r="A26" s="111"/>
      <c r="B26" s="93"/>
    </row>
    <row r="27" spans="1:6" x14ac:dyDescent="0.2">
      <c r="A27" s="111"/>
      <c r="B27" s="93"/>
      <c r="F27" s="94"/>
    </row>
    <row r="28" spans="1:6" x14ac:dyDescent="0.2">
      <c r="A28" s="93"/>
      <c r="B28" s="93"/>
    </row>
    <row r="29" spans="1:6" x14ac:dyDescent="0.2">
      <c r="B29" s="99"/>
    </row>
    <row r="30" spans="1:6" x14ac:dyDescent="0.2">
      <c r="A30" s="93"/>
      <c r="B30" s="93"/>
    </row>
    <row r="31" spans="1:6" x14ac:dyDescent="0.2">
      <c r="B31" s="99"/>
    </row>
    <row r="33" spans="1:6" ht="13.5" thickBot="1" x14ac:dyDescent="0.25">
      <c r="F33" s="95">
        <f>SUM(F18:F31)</f>
        <v>545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2748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sheetPr codeName="Sheet179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2095</v>
      </c>
      <c r="D9" s="92" t="s">
        <v>1317</v>
      </c>
      <c r="E9" s="61" t="s">
        <v>5075</v>
      </c>
    </row>
    <row r="10" spans="1:6" x14ac:dyDescent="0.2">
      <c r="A10" s="91" t="s">
        <v>2096</v>
      </c>
      <c r="D10" s="92" t="s">
        <v>1329</v>
      </c>
      <c r="E10" s="113" t="s">
        <v>5073</v>
      </c>
    </row>
    <row r="11" spans="1:6" x14ac:dyDescent="0.2">
      <c r="D11" s="92" t="s">
        <v>1330</v>
      </c>
      <c r="E11" s="113" t="s">
        <v>1220</v>
      </c>
    </row>
    <row r="12" spans="1:6" x14ac:dyDescent="0.2">
      <c r="D12" s="92" t="s">
        <v>1377</v>
      </c>
      <c r="E12" s="113" t="s">
        <v>5076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9"/>
      <c r="C18" s="2" t="s">
        <v>5077</v>
      </c>
    </row>
    <row r="20" spans="1:6" x14ac:dyDescent="0.2">
      <c r="A20" s="93" t="s">
        <v>5053</v>
      </c>
      <c r="B20" s="93" t="s">
        <v>5078</v>
      </c>
      <c r="C20" s="91" t="s">
        <v>5079</v>
      </c>
      <c r="F20" s="91">
        <v>800</v>
      </c>
    </row>
    <row r="21" spans="1:6" x14ac:dyDescent="0.2">
      <c r="A21" s="99"/>
      <c r="C21" s="94" t="s">
        <v>5074</v>
      </c>
    </row>
    <row r="22" spans="1:6" x14ac:dyDescent="0.2">
      <c r="A22" s="99"/>
    </row>
    <row r="23" spans="1:6" x14ac:dyDescent="0.2">
      <c r="C23" s="2"/>
    </row>
    <row r="24" spans="1:6" x14ac:dyDescent="0.2">
      <c r="A24" s="99"/>
    </row>
    <row r="25" spans="1:6" x14ac:dyDescent="0.2">
      <c r="A25" s="93"/>
      <c r="B25" s="99"/>
      <c r="F25" s="110"/>
    </row>
    <row r="26" spans="1:6" x14ac:dyDescent="0.2">
      <c r="A26" s="93"/>
      <c r="B26" s="93"/>
    </row>
    <row r="27" spans="1:6" x14ac:dyDescent="0.2">
      <c r="A27" s="99"/>
    </row>
    <row r="28" spans="1:6" x14ac:dyDescent="0.2">
      <c r="A28" s="99"/>
    </row>
    <row r="29" spans="1:6" x14ac:dyDescent="0.2">
      <c r="A29" s="99"/>
      <c r="C29" s="2"/>
    </row>
    <row r="30" spans="1:6" x14ac:dyDescent="0.2">
      <c r="A30" s="99"/>
    </row>
    <row r="31" spans="1:6" x14ac:dyDescent="0.2">
      <c r="A31" s="93"/>
      <c r="B31" s="99"/>
    </row>
    <row r="32" spans="1:6" x14ac:dyDescent="0.2">
      <c r="A32" s="99"/>
    </row>
    <row r="33" spans="1:6" x14ac:dyDescent="0.2">
      <c r="F33" s="101"/>
    </row>
    <row r="34" spans="1:6" ht="15.75" customHeight="1" thickBot="1" x14ac:dyDescent="0.25">
      <c r="F34" s="270">
        <f>SUM(F19:F33)</f>
        <v>800</v>
      </c>
    </row>
    <row r="35" spans="1:6" ht="13.5" thickTop="1" x14ac:dyDescent="0.2">
      <c r="F35" s="269"/>
    </row>
    <row r="36" spans="1:6" ht="23.25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"&amp;INDEX(teb,TRUNC(MOD(F34,100000)/10000,0)+1)&amp;IF(MOD(MOD(F34,100000),10000)&gt;=1000,"-"&amp;INDEX(numbers,TRUNC(MOD(MOD(F34,100000),10000)/1000,0)+1),""),IF(MOD(F34,100000)&gt;=1000,"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"&amp;INDEX(teb,TRUNC(MOD(F34,100)/10,0)+1)&amp;IF(MOD(MOD(F34,100),10)&gt;=1,"-"&amp;INDEX(numbers,TRUNC(MOD(MOD(F34,100),10),0)+1),""),IF(MOD(F34,100)&gt;=1,"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 Hundred and NO/100 -----------</v>
      </c>
      <c r="C36" s="97"/>
      <c r="D36" s="97"/>
      <c r="E36" s="97"/>
      <c r="F36" s="207"/>
    </row>
    <row r="37" spans="1:6" x14ac:dyDescent="0.2">
      <c r="A37" s="94" t="s">
        <v>11</v>
      </c>
      <c r="D37" s="1"/>
      <c r="E37" s="1"/>
      <c r="F37" s="1"/>
    </row>
    <row r="38" spans="1:6" ht="25.5" x14ac:dyDescent="0.2">
      <c r="A38" s="91" t="s">
        <v>10</v>
      </c>
      <c r="D38" s="218" t="s">
        <v>3975</v>
      </c>
      <c r="E38" s="219"/>
      <c r="F38" s="220"/>
    </row>
    <row r="40" spans="1:6" x14ac:dyDescent="0.2">
      <c r="D40" s="227"/>
      <c r="E40" s="227"/>
      <c r="F40" s="227"/>
    </row>
    <row r="41" spans="1:6" x14ac:dyDescent="0.2">
      <c r="C41" s="99"/>
      <c r="D41" s="228"/>
      <c r="E41" s="229"/>
      <c r="F41" s="229"/>
    </row>
    <row r="42" spans="1:6" x14ac:dyDescent="0.2">
      <c r="A42" s="101"/>
      <c r="B42" s="101"/>
    </row>
    <row r="44" spans="1:6" x14ac:dyDescent="0.2">
      <c r="A44" s="98" t="s">
        <v>8</v>
      </c>
      <c r="D44" s="98" t="s">
        <v>7</v>
      </c>
      <c r="F44" s="102"/>
    </row>
    <row r="47" spans="1:6" s="3" customFormat="1" ht="17.100000000000001" customHeight="1" x14ac:dyDescent="0.2">
      <c r="A47" s="91"/>
      <c r="B47" s="91"/>
      <c r="C47" s="91"/>
      <c r="D47" s="91"/>
      <c r="E47" s="91"/>
      <c r="F47" s="91"/>
    </row>
    <row r="48" spans="1:6" x14ac:dyDescent="0.2">
      <c r="A48" s="101"/>
      <c r="B48" s="101"/>
      <c r="D48" s="101"/>
      <c r="E48" s="101"/>
      <c r="F48" s="101"/>
    </row>
    <row r="49" spans="1:6" x14ac:dyDescent="0.2">
      <c r="A49" s="103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sheetPr codeName="Sheet11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1718</v>
      </c>
      <c r="D9" s="92" t="s">
        <v>1317</v>
      </c>
      <c r="E9" s="91" t="s">
        <v>5397</v>
      </c>
    </row>
    <row r="10" spans="1:6" x14ac:dyDescent="0.2">
      <c r="A10" s="91" t="s">
        <v>1719</v>
      </c>
      <c r="D10" s="92" t="s">
        <v>1329</v>
      </c>
      <c r="E10" s="98" t="s">
        <v>5393</v>
      </c>
    </row>
    <row r="11" spans="1:6" x14ac:dyDescent="0.2">
      <c r="A11" s="91" t="s">
        <v>5402</v>
      </c>
      <c r="D11" s="92" t="s">
        <v>1330</v>
      </c>
      <c r="E11" s="92" t="s">
        <v>1220</v>
      </c>
    </row>
    <row r="12" spans="1:6" x14ac:dyDescent="0.2">
      <c r="D12" s="92" t="s">
        <v>1331</v>
      </c>
      <c r="E12" s="92" t="s">
        <v>5398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 t="s">
        <v>5399</v>
      </c>
      <c r="B18" s="111" t="s">
        <v>5400</v>
      </c>
      <c r="C18" s="91" t="s">
        <v>5401</v>
      </c>
      <c r="F18" s="91">
        <v>90</v>
      </c>
    </row>
    <row r="19" spans="1:6" x14ac:dyDescent="0.2">
      <c r="A19" s="93"/>
      <c r="B19" s="111"/>
    </row>
    <row r="20" spans="1:6" x14ac:dyDescent="0.2">
      <c r="A20" s="93"/>
      <c r="B20" s="111"/>
    </row>
    <row r="22" spans="1:6" x14ac:dyDescent="0.2">
      <c r="A22" s="93"/>
      <c r="B22" s="111"/>
    </row>
    <row r="23" spans="1:6" x14ac:dyDescent="0.2">
      <c r="A23" s="93"/>
      <c r="B23" s="111"/>
    </row>
    <row r="24" spans="1:6" x14ac:dyDescent="0.2">
      <c r="A24" s="111"/>
      <c r="B24" s="93"/>
      <c r="F24" s="151"/>
    </row>
    <row r="25" spans="1:6" x14ac:dyDescent="0.2">
      <c r="A25" s="93"/>
      <c r="B25" s="93"/>
    </row>
    <row r="27" spans="1:6" x14ac:dyDescent="0.2">
      <c r="A27" s="111"/>
      <c r="B27" s="93"/>
    </row>
    <row r="28" spans="1:6" x14ac:dyDescent="0.2">
      <c r="A28" s="108"/>
    </row>
    <row r="29" spans="1:6" x14ac:dyDescent="0.2">
      <c r="A29" s="111"/>
      <c r="B29" s="93"/>
      <c r="F29" s="110"/>
    </row>
    <row r="30" spans="1:6" x14ac:dyDescent="0.2">
      <c r="A30" s="93"/>
      <c r="B30" s="93"/>
    </row>
    <row r="33" spans="1:6" ht="13.5" thickBot="1" x14ac:dyDescent="0.25">
      <c r="F33" s="95">
        <f>SUM(F18:F31)</f>
        <v>90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Ninety and NO/100 -----------</v>
      </c>
      <c r="C35" s="97"/>
      <c r="D35" s="97"/>
      <c r="E35" s="97"/>
      <c r="F35" s="9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sheetPr codeName="Sheet114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15.85546875" style="91" customWidth="1"/>
    <col min="4" max="4" width="15.28515625" style="91" customWidth="1"/>
    <col min="5" max="5" width="11.5703125" style="91" customWidth="1"/>
    <col min="6" max="6" width="14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91" t="s">
        <v>5831</v>
      </c>
    </row>
    <row r="10" spans="1:6" x14ac:dyDescent="0.2">
      <c r="A10" s="91" t="s">
        <v>1624</v>
      </c>
      <c r="E10" s="92" t="s">
        <v>1356</v>
      </c>
      <c r="F10" s="92" t="s">
        <v>5829</v>
      </c>
    </row>
    <row r="11" spans="1:6" x14ac:dyDescent="0.2">
      <c r="A11" s="91" t="s">
        <v>1625</v>
      </c>
      <c r="E11" s="92" t="s">
        <v>1364</v>
      </c>
      <c r="F11" s="92" t="s">
        <v>1220</v>
      </c>
    </row>
    <row r="12" spans="1:6" x14ac:dyDescent="0.2">
      <c r="A12" s="91" t="s">
        <v>1626</v>
      </c>
      <c r="E12" s="92" t="s">
        <v>1394</v>
      </c>
      <c r="F12" s="92" t="s">
        <v>5832</v>
      </c>
    </row>
    <row r="13" spans="1:6" x14ac:dyDescent="0.2">
      <c r="A13" s="91" t="s">
        <v>1627</v>
      </c>
      <c r="E13" s="92"/>
    </row>
    <row r="14" spans="1:6" x14ac:dyDescent="0.2">
      <c r="A14" s="91" t="s">
        <v>3708</v>
      </c>
    </row>
    <row r="15" spans="1:6" x14ac:dyDescent="0.2">
      <c r="A15" s="91" t="s">
        <v>3709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8"/>
      <c r="E16" s="17"/>
      <c r="F16" s="15" t="s">
        <v>18</v>
      </c>
    </row>
    <row r="18" spans="1:6" x14ac:dyDescent="0.2">
      <c r="A18" s="93" t="s">
        <v>5833</v>
      </c>
      <c r="B18" s="93" t="s">
        <v>5834</v>
      </c>
      <c r="C18" s="91" t="s">
        <v>5835</v>
      </c>
      <c r="F18" s="91">
        <v>275</v>
      </c>
    </row>
    <row r="19" spans="1:6" x14ac:dyDescent="0.2">
      <c r="A19" s="92"/>
      <c r="B19" s="93"/>
      <c r="C19" s="91" t="s">
        <v>5836</v>
      </c>
    </row>
    <row r="21" spans="1:6" x14ac:dyDescent="0.2">
      <c r="B21" s="94"/>
      <c r="C21" s="91" t="s">
        <v>2147</v>
      </c>
      <c r="F21" s="91">
        <f>F18*6%</f>
        <v>16.5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9" spans="1:6" x14ac:dyDescent="0.2">
      <c r="C29" s="2"/>
    </row>
    <row r="30" spans="1:6" x14ac:dyDescent="0.2">
      <c r="B30" s="94"/>
    </row>
    <row r="31" spans="1:6" x14ac:dyDescent="0.2">
      <c r="A31" s="93"/>
      <c r="B31" s="93"/>
    </row>
    <row r="32" spans="1:6" x14ac:dyDescent="0.2">
      <c r="B32" s="94"/>
    </row>
    <row r="33" spans="1:7" x14ac:dyDescent="0.2">
      <c r="A33" s="93"/>
      <c r="B33" s="93"/>
      <c r="D33" s="2"/>
    </row>
    <row r="34" spans="1:7" x14ac:dyDescent="0.2">
      <c r="B34" s="94"/>
    </row>
    <row r="35" spans="1:7" ht="13.5" thickBot="1" x14ac:dyDescent="0.25">
      <c r="F35" s="107">
        <f>SUM(F18:F33)</f>
        <v>291.5</v>
      </c>
    </row>
    <row r="36" spans="1:7" ht="13.5" thickTop="1" x14ac:dyDescent="0.2"/>
    <row r="37" spans="1:7" ht="20.100000000000001" customHeight="1" x14ac:dyDescent="0.2">
      <c r="A37" s="96" t="s">
        <v>1465</v>
      </c>
      <c r="B37" s="185" t="str">
        <f>IF(OR(F35&gt;1000000,F35&lt;=0),"",IF(F35&lt;1000,"",IF(MOD(F35,1000000)&gt;=100000,INDEX(numbers,TRUNC(MOD(F35,1000000)/100000,0)+1)&amp;" Hundred","")&amp;IF(MOD(F35,100000)&gt;=20000," "&amp;INDEX(teb,TRUNC(MOD(F35,100000)/10000,0)+1)&amp;IF(MOD(MOD(F35,100000),10000)&gt;=1000,"-"&amp;INDEX(numbers,TRUNC(MOD(MOD(F35,100000),10000)/1000,0)+1),""),IF(MOD(F35,100000)&gt;=1000,"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"&amp;INDEX(teb,TRUNC(MOD(F35,100)/10,0)+1)&amp;IF(MOD(MOD(F35,100),10)&gt;=1,"-"&amp;INDEX(numbers,TRUNC(MOD(MOD(F35,100),10),0)+1),""),IF(MOD(F35,100)&gt;=1,"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Ninety-One and 50/100 -----------</v>
      </c>
      <c r="C37" s="97"/>
      <c r="D37" s="97"/>
      <c r="E37" s="97"/>
      <c r="F37" s="97"/>
    </row>
    <row r="38" spans="1:7" x14ac:dyDescent="0.2">
      <c r="A38" s="94" t="s">
        <v>11</v>
      </c>
    </row>
    <row r="39" spans="1:7" ht="25.5" x14ac:dyDescent="0.2">
      <c r="A39" s="103" t="s">
        <v>10</v>
      </c>
      <c r="D39" s="218" t="s">
        <v>3975</v>
      </c>
      <c r="E39" s="219"/>
      <c r="F39" s="220"/>
    </row>
    <row r="41" spans="1:7" x14ac:dyDescent="0.2">
      <c r="E41" s="227"/>
      <c r="F41" s="227"/>
      <c r="G41" s="227"/>
    </row>
    <row r="42" spans="1:7" x14ac:dyDescent="0.2">
      <c r="C42" s="99"/>
      <c r="D42" s="99"/>
      <c r="E42" s="228"/>
      <c r="F42" s="229"/>
      <c r="G42" s="229"/>
    </row>
    <row r="43" spans="1:7" x14ac:dyDescent="0.2">
      <c r="A43" s="101"/>
      <c r="B43" s="101"/>
    </row>
    <row r="45" spans="1:7" x14ac:dyDescent="0.2">
      <c r="A45" s="98" t="s">
        <v>8</v>
      </c>
      <c r="E45" s="98" t="s">
        <v>7</v>
      </c>
      <c r="F45" s="102"/>
    </row>
    <row r="49" spans="1:6" x14ac:dyDescent="0.2">
      <c r="A49" s="101"/>
      <c r="B49" s="101"/>
      <c r="E49" s="101"/>
      <c r="F49" s="101"/>
    </row>
    <row r="50" spans="1:6" s="61" customFormat="1" ht="17.100000000000001" customHeight="1" x14ac:dyDescent="0.2">
      <c r="A50" s="209" t="s">
        <v>4066</v>
      </c>
      <c r="B50" s="104"/>
      <c r="E50" s="61" t="s">
        <v>3</v>
      </c>
    </row>
    <row r="51" spans="1:6" x14ac:dyDescent="0.2">
      <c r="E51" s="91" t="s">
        <v>2</v>
      </c>
    </row>
    <row r="53" spans="1:6" x14ac:dyDescent="0.2">
      <c r="E53" s="2" t="s">
        <v>1</v>
      </c>
    </row>
    <row r="54" spans="1:6" x14ac:dyDescent="0.2">
      <c r="E54" s="2" t="s">
        <v>0</v>
      </c>
    </row>
  </sheetData>
  <customSheetViews>
    <customSheetView guid="{6428A7A0-B31B-40C1-A13E-AD0DCC619E51}" fitToPage="1" topLeftCell="A4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sheetPr codeName="Sheet120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2" width="15.57031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2204</v>
      </c>
    </row>
    <row r="10" spans="1:6" x14ac:dyDescent="0.2">
      <c r="A10" s="91" t="s">
        <v>1590</v>
      </c>
      <c r="D10" s="92" t="s">
        <v>1357</v>
      </c>
      <c r="E10" s="92" t="s">
        <v>2203</v>
      </c>
    </row>
    <row r="11" spans="1:6" x14ac:dyDescent="0.2">
      <c r="A11" s="91" t="s">
        <v>1591</v>
      </c>
      <c r="D11" s="92" t="s">
        <v>1330</v>
      </c>
      <c r="E11" s="92" t="s">
        <v>1220</v>
      </c>
    </row>
    <row r="12" spans="1:6" x14ac:dyDescent="0.2">
      <c r="A12" s="91" t="s">
        <v>1337</v>
      </c>
      <c r="D12" s="92" t="s">
        <v>1224</v>
      </c>
      <c r="E12" s="92" t="s">
        <v>2205</v>
      </c>
    </row>
    <row r="14" spans="1:6" x14ac:dyDescent="0.2">
      <c r="A14" s="91" t="s">
        <v>1592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2206</v>
      </c>
      <c r="B19" s="93"/>
      <c r="C19" s="91" t="s">
        <v>1593</v>
      </c>
    </row>
    <row r="20" spans="1:6" x14ac:dyDescent="0.2">
      <c r="A20" s="91" t="s">
        <v>2207</v>
      </c>
      <c r="C20" s="91" t="s">
        <v>2208</v>
      </c>
      <c r="F20" s="91">
        <v>99.9</v>
      </c>
    </row>
    <row r="21" spans="1:6" x14ac:dyDescent="0.2">
      <c r="C21" s="91" t="s">
        <v>2209</v>
      </c>
      <c r="F21" s="91">
        <v>74.010000000000005</v>
      </c>
    </row>
    <row r="22" spans="1:6" x14ac:dyDescent="0.2">
      <c r="B22" s="94"/>
      <c r="C22" s="91" t="s">
        <v>2210</v>
      </c>
      <c r="F22" s="91">
        <v>10.92</v>
      </c>
    </row>
    <row r="23" spans="1:6" x14ac:dyDescent="0.2">
      <c r="C23" s="91" t="s">
        <v>2211</v>
      </c>
      <c r="F23" s="145">
        <v>2.0499999999999998</v>
      </c>
    </row>
    <row r="24" spans="1:6" x14ac:dyDescent="0.2">
      <c r="B24" s="94"/>
      <c r="C24" s="94"/>
    </row>
    <row r="25" spans="1:6" x14ac:dyDescent="0.2">
      <c r="B25" s="94"/>
      <c r="C25" s="91" t="s">
        <v>2212</v>
      </c>
      <c r="F25" s="91">
        <v>267.12</v>
      </c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4" spans="1:6" ht="13.5" thickBot="1" x14ac:dyDescent="0.25">
      <c r="F34" s="107">
        <f>SUM(F18:F33)</f>
        <v>454</v>
      </c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96" t="s">
        <v>2213</v>
      </c>
      <c r="C37" s="97"/>
      <c r="D37" s="222"/>
      <c r="E37" s="222"/>
      <c r="F37" s="222"/>
    </row>
    <row r="38" spans="1:6" ht="20.100000000000001" customHeight="1" x14ac:dyDescent="0.2">
      <c r="A38" s="113"/>
      <c r="B38" s="11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4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sheetPr codeName="Sheet12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2" width="15.57031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1574</v>
      </c>
    </row>
    <row r="10" spans="1:6" x14ac:dyDescent="0.2">
      <c r="A10" s="91" t="s">
        <v>1575</v>
      </c>
      <c r="D10" s="92" t="s">
        <v>1357</v>
      </c>
      <c r="E10" s="92" t="s">
        <v>1580</v>
      </c>
    </row>
    <row r="11" spans="1:6" x14ac:dyDescent="0.2">
      <c r="A11" s="91" t="s">
        <v>1576</v>
      </c>
      <c r="D11" s="92" t="s">
        <v>1330</v>
      </c>
      <c r="E11" s="92" t="s">
        <v>1220</v>
      </c>
    </row>
    <row r="12" spans="1:6" x14ac:dyDescent="0.2">
      <c r="A12" s="91" t="s">
        <v>1577</v>
      </c>
      <c r="D12" s="92" t="s">
        <v>1224</v>
      </c>
      <c r="E12" s="92" t="s">
        <v>1581</v>
      </c>
    </row>
    <row r="13" spans="1:6" x14ac:dyDescent="0.2">
      <c r="A13" s="91" t="s">
        <v>1578</v>
      </c>
    </row>
    <row r="14" spans="1:6" x14ac:dyDescent="0.2">
      <c r="A14" s="91" t="s">
        <v>1579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1582</v>
      </c>
      <c r="B19" s="93" t="s">
        <v>1583</v>
      </c>
      <c r="C19" s="91" t="s">
        <v>1584</v>
      </c>
      <c r="F19" s="91">
        <v>400</v>
      </c>
    </row>
    <row r="20" spans="1:6" x14ac:dyDescent="0.2">
      <c r="C20" s="91" t="s">
        <v>1585</v>
      </c>
    </row>
    <row r="21" spans="1:6" x14ac:dyDescent="0.2">
      <c r="C21" s="91" t="s">
        <v>1586</v>
      </c>
    </row>
    <row r="22" spans="1:6" x14ac:dyDescent="0.2">
      <c r="B22" s="94"/>
    </row>
    <row r="23" spans="1:6" x14ac:dyDescent="0.2">
      <c r="C23" s="91" t="s">
        <v>1587</v>
      </c>
      <c r="F23" s="145" t="s">
        <v>1588</v>
      </c>
    </row>
    <row r="24" spans="1:6" x14ac:dyDescent="0.2">
      <c r="B24" s="94"/>
      <c r="C24" s="94"/>
    </row>
    <row r="25" spans="1:6" x14ac:dyDescent="0.2">
      <c r="B25" s="94"/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2" spans="1:6" ht="13.5" thickBot="1" x14ac:dyDescent="0.25">
      <c r="F32" s="107">
        <f>SUM(F18:F31)</f>
        <v>400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1589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sheetPr codeName="Sheet19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335</v>
      </c>
    </row>
    <row r="10" spans="1:6" x14ac:dyDescent="0.2">
      <c r="A10" s="1" t="s">
        <v>334</v>
      </c>
      <c r="D10" s="20" t="s">
        <v>27</v>
      </c>
      <c r="E10" s="20" t="s">
        <v>333</v>
      </c>
    </row>
    <row r="11" spans="1:6" x14ac:dyDescent="0.2">
      <c r="A11" s="1" t="s">
        <v>332</v>
      </c>
      <c r="D11" s="20" t="s">
        <v>24</v>
      </c>
      <c r="E11" s="20" t="s">
        <v>23</v>
      </c>
    </row>
    <row r="12" spans="1:6" x14ac:dyDescent="0.2">
      <c r="A12" s="1" t="s">
        <v>331</v>
      </c>
      <c r="D12" s="20" t="s">
        <v>22</v>
      </c>
      <c r="E12" s="20" t="s">
        <v>330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" t="s">
        <v>329</v>
      </c>
    </row>
    <row r="21" spans="1:6" x14ac:dyDescent="0.2">
      <c r="A21" s="1" t="s">
        <v>328</v>
      </c>
      <c r="C21" s="1" t="s">
        <v>327</v>
      </c>
    </row>
    <row r="22" spans="1:6" x14ac:dyDescent="0.2">
      <c r="C22" s="1" t="s">
        <v>326</v>
      </c>
      <c r="F22" s="1">
        <v>45</v>
      </c>
    </row>
    <row r="23" spans="1:6" x14ac:dyDescent="0.2">
      <c r="C23" s="1" t="s">
        <v>325</v>
      </c>
      <c r="F23" s="1">
        <v>72</v>
      </c>
    </row>
    <row r="24" spans="1:6" x14ac:dyDescent="0.2">
      <c r="C24" s="1" t="s">
        <v>324</v>
      </c>
      <c r="F24" s="1">
        <v>36</v>
      </c>
    </row>
    <row r="25" spans="1:6" x14ac:dyDescent="0.2">
      <c r="C25" s="8"/>
    </row>
    <row r="32" spans="1:6" ht="13.5" thickBot="1" x14ac:dyDescent="0.25">
      <c r="F32" s="11">
        <f>SUM(F18:F31)</f>
        <v>153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323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97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113" t="s">
        <v>4169</v>
      </c>
    </row>
    <row r="10" spans="1:6" x14ac:dyDescent="0.2">
      <c r="A10" s="91" t="s">
        <v>4159</v>
      </c>
      <c r="D10" s="92" t="s">
        <v>1356</v>
      </c>
      <c r="E10" s="113" t="s">
        <v>4170</v>
      </c>
    </row>
    <row r="11" spans="1:6" x14ac:dyDescent="0.2">
      <c r="A11" s="91" t="s">
        <v>4160</v>
      </c>
      <c r="D11" s="92" t="s">
        <v>1364</v>
      </c>
      <c r="E11" s="113" t="s">
        <v>1220</v>
      </c>
    </row>
    <row r="12" spans="1:6" x14ac:dyDescent="0.2">
      <c r="A12" s="91" t="s">
        <v>4161</v>
      </c>
      <c r="D12" s="92" t="s">
        <v>1224</v>
      </c>
      <c r="E12" s="113" t="s">
        <v>4171</v>
      </c>
    </row>
    <row r="13" spans="1:6" x14ac:dyDescent="0.2">
      <c r="A13" s="91" t="s">
        <v>1306</v>
      </c>
    </row>
    <row r="14" spans="1:6" x14ac:dyDescent="0.2">
      <c r="A14" s="91" t="s">
        <v>4162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A18" s="93"/>
      <c r="B18" s="93"/>
      <c r="C18" s="2" t="s">
        <v>4163</v>
      </c>
      <c r="G18" s="193"/>
    </row>
    <row r="20" spans="1:7" x14ac:dyDescent="0.2">
      <c r="A20" s="93" t="s">
        <v>4164</v>
      </c>
      <c r="B20" s="93" t="s">
        <v>4165</v>
      </c>
      <c r="C20" s="91" t="s">
        <v>4166</v>
      </c>
      <c r="F20" s="91">
        <f>80+500+500+650+160</f>
        <v>1890</v>
      </c>
    </row>
    <row r="21" spans="1:7" x14ac:dyDescent="0.2">
      <c r="A21" s="93"/>
      <c r="B21" s="93"/>
    </row>
    <row r="22" spans="1:7" x14ac:dyDescent="0.2">
      <c r="A22" s="93"/>
      <c r="B22" s="93"/>
      <c r="C22" s="91" t="s">
        <v>4167</v>
      </c>
      <c r="F22" s="91">
        <v>800</v>
      </c>
    </row>
    <row r="23" spans="1:7" x14ac:dyDescent="0.2">
      <c r="A23" s="93"/>
      <c r="B23" s="93"/>
    </row>
    <row r="24" spans="1:7" x14ac:dyDescent="0.2">
      <c r="C24" s="91" t="s">
        <v>4168</v>
      </c>
      <c r="F24" s="91">
        <v>440</v>
      </c>
    </row>
    <row r="25" spans="1:7" x14ac:dyDescent="0.2">
      <c r="A25" s="93"/>
      <c r="B25" s="93"/>
      <c r="C25" s="143"/>
    </row>
    <row r="27" spans="1:7" x14ac:dyDescent="0.2">
      <c r="A27" s="93"/>
      <c r="B27" s="93"/>
    </row>
    <row r="29" spans="1:7" x14ac:dyDescent="0.2">
      <c r="A29" s="93"/>
      <c r="B29" s="93"/>
      <c r="C29" s="2"/>
    </row>
    <row r="30" spans="1:7" x14ac:dyDescent="0.2">
      <c r="C30" s="2"/>
    </row>
    <row r="31" spans="1:7" x14ac:dyDescent="0.2">
      <c r="A31" s="142"/>
      <c r="B31" s="142"/>
    </row>
    <row r="33" spans="1:6" ht="13.5" thickBot="1" x14ac:dyDescent="0.25">
      <c r="F33" s="107">
        <f>SUM(F18:F31)</f>
        <v>3130</v>
      </c>
    </row>
    <row r="34" spans="1:6" ht="13.5" thickTop="1" x14ac:dyDescent="0.2"/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One Hundred Thirty and NO/100 -----------</v>
      </c>
      <c r="C35" s="97"/>
      <c r="D35" s="222"/>
      <c r="E35" s="222"/>
      <c r="F35" s="222"/>
    </row>
    <row r="36" spans="1:6" ht="20.100000000000001" customHeight="1" x14ac:dyDescent="0.2">
      <c r="A36" s="113"/>
      <c r="B36" s="103"/>
      <c r="C36" s="61"/>
      <c r="D36" s="222"/>
      <c r="E36" s="222"/>
      <c r="F36" s="222"/>
    </row>
    <row r="37" spans="1:6" ht="25.5" x14ac:dyDescent="0.2">
      <c r="A37" s="113" t="s">
        <v>3973</v>
      </c>
      <c r="D37" s="218" t="s">
        <v>3975</v>
      </c>
      <c r="E37" s="219"/>
      <c r="F37" s="220"/>
    </row>
    <row r="38" spans="1:6" x14ac:dyDescent="0.2">
      <c r="D38" s="228"/>
      <c r="E38" s="229"/>
      <c r="F38" s="229"/>
    </row>
    <row r="39" spans="1:6" x14ac:dyDescent="0.2">
      <c r="C39" s="99"/>
    </row>
    <row r="40" spans="1:6" x14ac:dyDescent="0.2">
      <c r="C40" s="9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sheetPr codeName="Sheet531">
    <pageSetUpPr fitToPage="1"/>
  </sheetPr>
  <dimension ref="A1:H57"/>
  <sheetViews>
    <sheetView workbookViewId="0">
      <selection activeCell="G9" sqref="G9:G13"/>
    </sheetView>
  </sheetViews>
  <sheetFormatPr defaultRowHeight="12.75" x14ac:dyDescent="0.2"/>
  <cols>
    <col min="1" max="1" width="16.28515625" style="1" customWidth="1"/>
    <col min="2" max="2" width="13.42578125" style="1" customWidth="1"/>
    <col min="3" max="3" width="1" style="1" customWidth="1"/>
    <col min="4" max="4" width="21" style="1" customWidth="1"/>
    <col min="5" max="5" width="0.4257812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153" t="s">
        <v>8643</v>
      </c>
    </row>
    <row r="10" spans="1:8" s="91" customFormat="1" x14ac:dyDescent="0.2">
      <c r="A10" s="91" t="s">
        <v>2558</v>
      </c>
      <c r="F10" s="92" t="s">
        <v>1357</v>
      </c>
      <c r="G10" s="155" t="s">
        <v>8628</v>
      </c>
    </row>
    <row r="11" spans="1:8" s="91" customFormat="1" x14ac:dyDescent="0.2">
      <c r="A11" s="91" t="s">
        <v>2559</v>
      </c>
      <c r="F11" s="92" t="s">
        <v>1330</v>
      </c>
      <c r="G11" s="155" t="s">
        <v>2625</v>
      </c>
    </row>
    <row r="12" spans="1:8" s="91" customFormat="1" x14ac:dyDescent="0.2">
      <c r="A12" s="91" t="s">
        <v>1470</v>
      </c>
      <c r="F12" s="92" t="s">
        <v>1224</v>
      </c>
      <c r="G12" s="155" t="s">
        <v>8644</v>
      </c>
    </row>
    <row r="13" spans="1:8" s="91" customFormat="1" x14ac:dyDescent="0.2">
      <c r="A13" s="91" t="s">
        <v>1508</v>
      </c>
      <c r="G13" s="153" t="s">
        <v>7762</v>
      </c>
    </row>
    <row r="14" spans="1:8" s="91" customFormat="1" x14ac:dyDescent="0.2">
      <c r="A14" s="91" t="s">
        <v>2560</v>
      </c>
    </row>
    <row r="15" spans="1:8" s="91" customFormat="1" x14ac:dyDescent="0.2"/>
    <row r="16" spans="1:8" s="14" customFormat="1" ht="20.100000000000001" customHeight="1" x14ac:dyDescent="0.2">
      <c r="A16" s="17" t="s">
        <v>1261</v>
      </c>
      <c r="B16" s="31" t="s">
        <v>1262</v>
      </c>
      <c r="C16" s="504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D18" s="2" t="s">
        <v>4118</v>
      </c>
      <c r="E18" s="2"/>
    </row>
    <row r="19" spans="1:8" s="91" customFormat="1" x14ac:dyDescent="0.2">
      <c r="D19" s="2"/>
      <c r="E19" s="2"/>
    </row>
    <row r="20" spans="1:8" s="91" customFormat="1" x14ac:dyDescent="0.2">
      <c r="A20" s="93" t="s">
        <v>8542</v>
      </c>
      <c r="B20" s="93" t="s">
        <v>8645</v>
      </c>
      <c r="C20" s="93"/>
      <c r="D20" s="91" t="s">
        <v>8646</v>
      </c>
      <c r="H20" s="91">
        <v>2600</v>
      </c>
    </row>
    <row r="21" spans="1:8" s="91" customFormat="1" x14ac:dyDescent="0.2">
      <c r="A21" s="93"/>
      <c r="B21" s="93"/>
      <c r="C21" s="93"/>
    </row>
    <row r="22" spans="1:8" s="91" customFormat="1" x14ac:dyDescent="0.2">
      <c r="D22" s="91" t="s">
        <v>5380</v>
      </c>
      <c r="H22" s="91">
        <v>350</v>
      </c>
    </row>
    <row r="23" spans="1:8" s="91" customFormat="1" x14ac:dyDescent="0.2"/>
    <row r="24" spans="1:8" s="91" customFormat="1" x14ac:dyDescent="0.2">
      <c r="D24" s="91" t="s">
        <v>6410</v>
      </c>
      <c r="H24" s="91">
        <v>140</v>
      </c>
    </row>
    <row r="25" spans="1:8" s="91" customFormat="1" x14ac:dyDescent="0.2"/>
    <row r="26" spans="1:8" s="91" customFormat="1" x14ac:dyDescent="0.2">
      <c r="D26" s="91" t="s">
        <v>6886</v>
      </c>
      <c r="H26" s="91">
        <v>185.4</v>
      </c>
    </row>
    <row r="27" spans="1:8" s="91" customFormat="1" x14ac:dyDescent="0.2"/>
    <row r="28" spans="1:8" s="91" customFormat="1" x14ac:dyDescent="0.2">
      <c r="D28" s="91" t="s">
        <v>5762</v>
      </c>
      <c r="H28" s="91">
        <v>260</v>
      </c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x14ac:dyDescent="0.2"/>
    <row r="35" spans="1:8" s="91" customFormat="1" ht="13.5" thickBot="1" x14ac:dyDescent="0.25">
      <c r="H35" s="107">
        <f>SUM(H20:H33)</f>
        <v>3535.4</v>
      </c>
    </row>
    <row r="36" spans="1:8" s="91" customFormat="1" ht="13.5" thickTop="1" x14ac:dyDescent="0.2"/>
    <row r="37" spans="1:8" s="91" customFormat="1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Five Hundred Thirty-Five and 40/100 -----------</v>
      </c>
      <c r="C37" s="185"/>
      <c r="D37" s="97"/>
      <c r="E37" s="97"/>
      <c r="F37" s="97"/>
      <c r="G37" s="97"/>
      <c r="H37" s="9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D42" s="99"/>
      <c r="E42" s="505"/>
      <c r="F42" s="228"/>
      <c r="G42" s="229"/>
      <c r="H42" s="229"/>
    </row>
    <row r="43" spans="1:8" s="91" customFormat="1" x14ac:dyDescent="0.2">
      <c r="A43" s="101"/>
      <c r="B43" s="101"/>
      <c r="C43" s="386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C49" s="386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sheetPr codeName="Sheet30">
    <pageSetUpPr fitToPage="1"/>
  </sheetPr>
  <dimension ref="A3:F49"/>
  <sheetViews>
    <sheetView workbookViewId="0">
      <selection activeCell="F34" sqref="F34"/>
    </sheetView>
  </sheetViews>
  <sheetFormatPr defaultRowHeight="12.75" x14ac:dyDescent="0.2"/>
  <cols>
    <col min="3" max="3" width="21" customWidth="1"/>
    <col min="4" max="4" width="16.42578125" customWidth="1"/>
    <col min="6" max="6" width="13.28515625" customWidth="1"/>
  </cols>
  <sheetData>
    <row r="3" spans="1:1" x14ac:dyDescent="0.2">
      <c r="A3" t="s">
        <v>1829</v>
      </c>
    </row>
    <row r="4" spans="1:1" x14ac:dyDescent="0.2">
      <c r="A4" t="s">
        <v>1828</v>
      </c>
    </row>
    <row r="34" spans="1:6" ht="13.5" thickBot="1" x14ac:dyDescent="0.25">
      <c r="F34" s="65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7" spans="1:6" x14ac:dyDescent="0.2">
      <c r="A47" t="s">
        <v>3972</v>
      </c>
    </row>
    <row r="49" spans="1:1" x14ac:dyDescent="0.2">
      <c r="A49" t="s">
        <v>4066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sheetPr codeName="Sheet21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69</v>
      </c>
    </row>
    <row r="10" spans="1:6" x14ac:dyDescent="0.2">
      <c r="A10" s="1" t="s">
        <v>68</v>
      </c>
      <c r="D10" s="20" t="s">
        <v>27</v>
      </c>
      <c r="E10" s="20" t="s">
        <v>59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67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3:6" x14ac:dyDescent="0.2">
      <c r="C20" s="1" t="s">
        <v>66</v>
      </c>
    </row>
    <row r="21" spans="3:6" x14ac:dyDescent="0.2">
      <c r="C21" s="1" t="s">
        <v>65</v>
      </c>
    </row>
    <row r="24" spans="3:6" x14ac:dyDescent="0.2">
      <c r="C24" s="1" t="s">
        <v>64</v>
      </c>
      <c r="F24" s="1">
        <v>3425</v>
      </c>
    </row>
    <row r="25" spans="3:6" x14ac:dyDescent="0.2">
      <c r="C25" s="1" t="s">
        <v>63</v>
      </c>
      <c r="F25" s="1">
        <v>2614</v>
      </c>
    </row>
    <row r="32" spans="3:6" ht="13.5" thickBot="1" x14ac:dyDescent="0.25">
      <c r="F32" s="11">
        <f>SUM(F18:F31)</f>
        <v>6039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sheetPr codeName="Sheet31">
    <pageSetUpPr fitToPage="1"/>
  </sheetPr>
  <dimension ref="A1:F50"/>
  <sheetViews>
    <sheetView topLeftCell="A7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customHeight="1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5" spans="1:6" x14ac:dyDescent="0.2">
      <c r="A5" s="6"/>
      <c r="B5" s="6"/>
      <c r="C5" s="6"/>
      <c r="D5" s="6"/>
      <c r="E5" s="6"/>
      <c r="F5" s="6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836</v>
      </c>
    </row>
    <row r="10" spans="1:6" x14ac:dyDescent="0.2">
      <c r="A10" s="1" t="s">
        <v>563</v>
      </c>
      <c r="D10" s="20" t="s">
        <v>27</v>
      </c>
      <c r="E10" s="20" t="s">
        <v>835</v>
      </c>
    </row>
    <row r="11" spans="1:6" x14ac:dyDescent="0.2">
      <c r="A11" s="1" t="s">
        <v>834</v>
      </c>
      <c r="D11" s="20" t="s">
        <v>24</v>
      </c>
      <c r="E11" s="20" t="s">
        <v>23</v>
      </c>
    </row>
    <row r="12" spans="1:6" x14ac:dyDescent="0.2">
      <c r="A12" s="1" t="s">
        <v>833</v>
      </c>
      <c r="D12" s="20" t="s">
        <v>22</v>
      </c>
      <c r="E12" s="19" t="s">
        <v>832</v>
      </c>
    </row>
    <row r="13" spans="1:6" x14ac:dyDescent="0.2">
      <c r="A13" s="1" t="s">
        <v>524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21"/>
    </row>
    <row r="21" spans="1:6" x14ac:dyDescent="0.2">
      <c r="C21" s="21"/>
    </row>
    <row r="22" spans="1:6" x14ac:dyDescent="0.2">
      <c r="C22" s="21"/>
    </row>
    <row r="23" spans="1:6" x14ac:dyDescent="0.2">
      <c r="A23" s="1" t="s">
        <v>831</v>
      </c>
      <c r="C23" s="1" t="s">
        <v>830</v>
      </c>
      <c r="F23" s="1">
        <v>300</v>
      </c>
    </row>
    <row r="24" spans="1:6" x14ac:dyDescent="0.2">
      <c r="C24" s="8" t="s">
        <v>229</v>
      </c>
      <c r="F24" s="1">
        <v>15</v>
      </c>
    </row>
    <row r="25" spans="1:6" x14ac:dyDescent="0.2">
      <c r="C25" s="21" t="s">
        <v>562</v>
      </c>
      <c r="F25" s="1">
        <v>30</v>
      </c>
    </row>
    <row r="26" spans="1:6" x14ac:dyDescent="0.2">
      <c r="C26" s="21"/>
    </row>
    <row r="27" spans="1:6" x14ac:dyDescent="0.2">
      <c r="C27" s="21"/>
      <c r="F27" s="13"/>
    </row>
    <row r="28" spans="1:6" x14ac:dyDescent="0.2">
      <c r="B28" s="8"/>
    </row>
    <row r="29" spans="1:6" x14ac:dyDescent="0.2">
      <c r="B29" s="8"/>
    </row>
    <row r="31" spans="1:6" ht="13.5" thickBot="1" x14ac:dyDescent="0.25">
      <c r="F31" s="25">
        <f>SUM(F19:F30)</f>
        <v>345</v>
      </c>
    </row>
    <row r="32" spans="1:6" ht="13.5" thickTop="1" x14ac:dyDescent="0.2"/>
    <row r="33" spans="1:6" ht="20.100000000000001" customHeight="1" x14ac:dyDescent="0.2">
      <c r="A33" s="10" t="s">
        <v>829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sheetPr codeName="Sheet32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2.1406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2051</v>
      </c>
    </row>
    <row r="10" spans="1:6" x14ac:dyDescent="0.2">
      <c r="A10" s="91" t="s">
        <v>2027</v>
      </c>
      <c r="D10" s="92" t="s">
        <v>1335</v>
      </c>
      <c r="E10" s="92" t="s">
        <v>2017</v>
      </c>
    </row>
    <row r="11" spans="1:6" x14ac:dyDescent="0.2">
      <c r="A11" s="91" t="s">
        <v>2028</v>
      </c>
      <c r="D11" s="92" t="s">
        <v>1354</v>
      </c>
      <c r="E11" s="92" t="s">
        <v>1220</v>
      </c>
    </row>
    <row r="12" spans="1:6" x14ac:dyDescent="0.2">
      <c r="A12" s="91" t="s">
        <v>1561</v>
      </c>
      <c r="D12" s="92" t="s">
        <v>1377</v>
      </c>
      <c r="E12" s="92" t="s">
        <v>2052</v>
      </c>
    </row>
    <row r="13" spans="1:6" x14ac:dyDescent="0.2">
      <c r="A13" s="91" t="s">
        <v>2029</v>
      </c>
    </row>
    <row r="16" spans="1:6" s="14" customFormat="1" ht="20.100000000000001" customHeight="1" x14ac:dyDescent="0.2">
      <c r="A16" s="31" t="s">
        <v>129</v>
      </c>
      <c r="B16" s="17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2030</v>
      </c>
    </row>
    <row r="19" spans="1:6" x14ac:dyDescent="0.2">
      <c r="C19" s="2"/>
    </row>
    <row r="20" spans="1:6" x14ac:dyDescent="0.2">
      <c r="A20" s="93" t="s">
        <v>2031</v>
      </c>
      <c r="B20" s="94" t="s">
        <v>2032</v>
      </c>
      <c r="C20" s="91" t="s">
        <v>2033</v>
      </c>
      <c r="F20" s="91">
        <f>81.2*130</f>
        <v>10556</v>
      </c>
    </row>
    <row r="22" spans="1:6" x14ac:dyDescent="0.2">
      <c r="C22" s="91" t="s">
        <v>2034</v>
      </c>
      <c r="F22" s="91">
        <f>20.88*20</f>
        <v>417.59999999999997</v>
      </c>
    </row>
    <row r="24" spans="1:6" x14ac:dyDescent="0.2">
      <c r="C24" s="91" t="s">
        <v>2035</v>
      </c>
      <c r="F24" s="91">
        <v>1000</v>
      </c>
    </row>
    <row r="26" spans="1:6" x14ac:dyDescent="0.2">
      <c r="A26" s="93" t="s">
        <v>2031</v>
      </c>
      <c r="B26" s="94" t="s">
        <v>2032</v>
      </c>
      <c r="C26" s="91" t="s">
        <v>2036</v>
      </c>
    </row>
    <row r="27" spans="1:6" x14ac:dyDescent="0.2">
      <c r="C27" s="91" t="s">
        <v>2037</v>
      </c>
      <c r="F27" s="91">
        <f>81.2*90</f>
        <v>7308</v>
      </c>
    </row>
    <row r="28" spans="1:6" x14ac:dyDescent="0.2">
      <c r="B28" s="94"/>
      <c r="C28" s="143" t="s">
        <v>2038</v>
      </c>
    </row>
    <row r="29" spans="1:6" x14ac:dyDescent="0.2">
      <c r="B29" s="94"/>
    </row>
    <row r="31" spans="1:6" ht="13.5" thickBot="1" x14ac:dyDescent="0.25">
      <c r="F31" s="95">
        <f>SUM(F19:F30)</f>
        <v>19281.599999999999</v>
      </c>
    </row>
    <row r="32" spans="1:6" ht="13.5" thickTop="1" x14ac:dyDescent="0.2"/>
    <row r="33" spans="1:6" ht="20.100000000000001" customHeight="1" x14ac:dyDescent="0.2">
      <c r="A33" s="96" t="s">
        <v>122</v>
      </c>
      <c r="B33" s="96" t="s">
        <v>2039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C39" s="99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01"/>
      <c r="B45" s="101"/>
      <c r="D45" s="101"/>
      <c r="E45" s="101"/>
      <c r="F45" s="101"/>
    </row>
    <row r="46" spans="1:6" s="61" customFormat="1" ht="17.100000000000001" customHeight="1" x14ac:dyDescent="0.2">
      <c r="A46" s="104" t="s">
        <v>35</v>
      </c>
      <c r="B46" s="104"/>
      <c r="D46" s="61" t="s">
        <v>3</v>
      </c>
    </row>
    <row r="47" spans="1:6" x14ac:dyDescent="0.2">
      <c r="A47" s="91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sheetPr codeName="Sheet3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1173</v>
      </c>
    </row>
    <row r="10" spans="1:6" x14ac:dyDescent="0.2">
      <c r="A10" s="1" t="s">
        <v>1172</v>
      </c>
      <c r="D10" s="20" t="s">
        <v>27</v>
      </c>
      <c r="E10" s="20" t="s">
        <v>260</v>
      </c>
    </row>
    <row r="11" spans="1:6" x14ac:dyDescent="0.2">
      <c r="A11" s="1" t="s">
        <v>1171</v>
      </c>
      <c r="D11" s="20" t="s">
        <v>24</v>
      </c>
      <c r="E11" s="20" t="s">
        <v>23</v>
      </c>
    </row>
    <row r="12" spans="1:6" x14ac:dyDescent="0.2">
      <c r="A12" s="1" t="s">
        <v>1170</v>
      </c>
      <c r="D12" s="20" t="s">
        <v>22</v>
      </c>
      <c r="E12" s="20" t="s">
        <v>1169</v>
      </c>
    </row>
    <row r="13" spans="1:6" x14ac:dyDescent="0.2">
      <c r="A13" s="1" t="s">
        <v>1168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1167</v>
      </c>
    </row>
    <row r="21" spans="1:6" x14ac:dyDescent="0.2">
      <c r="C21" s="21"/>
    </row>
    <row r="22" spans="1:6" x14ac:dyDescent="0.2">
      <c r="C22" s="21"/>
    </row>
    <row r="23" spans="1:6" x14ac:dyDescent="0.2">
      <c r="C23" s="12"/>
    </row>
    <row r="24" spans="1:6" x14ac:dyDescent="0.2">
      <c r="A24" s="1" t="s">
        <v>1166</v>
      </c>
      <c r="C24" s="1" t="s">
        <v>1165</v>
      </c>
      <c r="F24" s="1">
        <v>966</v>
      </c>
    </row>
    <row r="28" spans="1:6" x14ac:dyDescent="0.2"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966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1164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sheetPr codeName="Sheet39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1181</v>
      </c>
    </row>
    <row r="10" spans="1:6" x14ac:dyDescent="0.2">
      <c r="A10" s="1" t="s">
        <v>1180</v>
      </c>
      <c r="D10" s="20" t="s">
        <v>27</v>
      </c>
      <c r="E10" s="20" t="s">
        <v>559</v>
      </c>
    </row>
    <row r="11" spans="1:6" x14ac:dyDescent="0.2">
      <c r="A11" s="1" t="s">
        <v>1179</v>
      </c>
      <c r="D11" s="20" t="s">
        <v>24</v>
      </c>
      <c r="E11" s="20" t="s">
        <v>23</v>
      </c>
    </row>
    <row r="12" spans="1:6" x14ac:dyDescent="0.2">
      <c r="A12" s="1" t="s">
        <v>1178</v>
      </c>
      <c r="D12" s="20" t="s">
        <v>22</v>
      </c>
      <c r="E12" s="19" t="s">
        <v>1177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2"/>
    </row>
    <row r="21" spans="1:6" x14ac:dyDescent="0.2">
      <c r="C21" s="21"/>
    </row>
    <row r="22" spans="1:6" x14ac:dyDescent="0.2">
      <c r="A22" s="1" t="s">
        <v>1176</v>
      </c>
      <c r="C22" s="1" t="s">
        <v>1175</v>
      </c>
      <c r="F22" s="1">
        <v>144</v>
      </c>
    </row>
    <row r="24" spans="1:6" x14ac:dyDescent="0.2">
      <c r="C24" s="21"/>
    </row>
    <row r="25" spans="1:6" x14ac:dyDescent="0.2">
      <c r="C25" s="21"/>
    </row>
    <row r="26" spans="1:6" x14ac:dyDescent="0.2">
      <c r="C26" s="21"/>
      <c r="F26" s="21"/>
    </row>
    <row r="27" spans="1:6" x14ac:dyDescent="0.2">
      <c r="B27" s="8"/>
    </row>
    <row r="28" spans="1:6" x14ac:dyDescent="0.2">
      <c r="B28" s="8"/>
    </row>
    <row r="29" spans="1:6" x14ac:dyDescent="0.2">
      <c r="B29" s="8"/>
      <c r="C29" s="21"/>
    </row>
    <row r="31" spans="1:6" ht="13.5" thickBot="1" x14ac:dyDescent="0.25">
      <c r="F31" s="25">
        <f>SUM(F19:F30)</f>
        <v>144</v>
      </c>
    </row>
    <row r="32" spans="1:6" ht="13.5" thickTop="1" x14ac:dyDescent="0.2"/>
    <row r="33" spans="1:6" ht="20.100000000000001" customHeight="1" x14ac:dyDescent="0.2">
      <c r="A33" s="10" t="s">
        <v>1174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sheetPr codeName="Sheet40">
    <pageSetUpPr fitToPage="1"/>
  </sheetPr>
  <dimension ref="A1:Q54"/>
  <sheetViews>
    <sheetView zoomScaleNormal="100" workbookViewId="0">
      <selection activeCell="G9" sqref="G9:G13"/>
    </sheetView>
  </sheetViews>
  <sheetFormatPr defaultRowHeight="12.75" x14ac:dyDescent="0.2"/>
  <cols>
    <col min="1" max="2" width="15" style="1" customWidth="1"/>
    <col min="3" max="3" width="0.7109375" style="1" customWidth="1"/>
    <col min="4" max="4" width="21" style="1" customWidth="1"/>
    <col min="5" max="5" width="0.5703125" style="1" customWidth="1"/>
    <col min="6" max="6" width="16.42578125" style="1" customWidth="1"/>
    <col min="7" max="7" width="12.42578125" style="1" customWidth="1"/>
    <col min="8" max="8" width="13.28515625" style="1" customWidth="1"/>
    <col min="9" max="16384" width="9.140625" style="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5" t="s">
        <v>33</v>
      </c>
      <c r="B2" s="525"/>
      <c r="C2" s="525"/>
      <c r="D2" s="525"/>
      <c r="E2" s="525"/>
      <c r="F2" s="525"/>
      <c r="G2" s="525"/>
      <c r="H2" s="525"/>
    </row>
    <row r="3" spans="1:17" x14ac:dyDescent="0.2">
      <c r="A3" s="525" t="s">
        <v>1829</v>
      </c>
      <c r="B3" s="525"/>
      <c r="C3" s="525"/>
      <c r="D3" s="525"/>
      <c r="E3" s="525"/>
      <c r="F3" s="525"/>
      <c r="G3" s="525"/>
      <c r="H3" s="525"/>
    </row>
    <row r="4" spans="1:17" x14ac:dyDescent="0.2">
      <c r="A4" s="525" t="s">
        <v>1828</v>
      </c>
      <c r="B4" s="525"/>
      <c r="C4" s="525"/>
      <c r="D4" s="525"/>
      <c r="E4" s="525"/>
      <c r="F4" s="525"/>
      <c r="G4" s="525"/>
      <c r="H4" s="525"/>
    </row>
    <row r="5" spans="1:17" x14ac:dyDescent="0.2">
      <c r="M5" s="91" t="s">
        <v>7735</v>
      </c>
      <c r="N5" s="91"/>
      <c r="O5" s="91"/>
      <c r="P5" s="91"/>
      <c r="Q5" s="91">
        <v>2700</v>
      </c>
    </row>
    <row r="6" spans="1:17" x14ac:dyDescent="0.2">
      <c r="M6" s="91" t="s">
        <v>5729</v>
      </c>
      <c r="N6" s="91"/>
      <c r="O6" s="91"/>
      <c r="P6" s="91"/>
      <c r="Q6" s="91"/>
    </row>
    <row r="7" spans="1:17" x14ac:dyDescent="0.2">
      <c r="M7" s="91"/>
      <c r="N7" s="91"/>
      <c r="O7" s="91"/>
      <c r="P7" s="91"/>
      <c r="Q7" s="91"/>
    </row>
    <row r="8" spans="1:17" s="91" customFormat="1" x14ac:dyDescent="0.2">
      <c r="A8" s="91" t="s">
        <v>32</v>
      </c>
      <c r="F8" s="22" t="s">
        <v>31</v>
      </c>
      <c r="M8" s="91" t="s">
        <v>562</v>
      </c>
      <c r="Q8" s="91">
        <v>350</v>
      </c>
    </row>
    <row r="9" spans="1:17" s="91" customFormat="1" x14ac:dyDescent="0.2">
      <c r="F9" s="92" t="s">
        <v>1221</v>
      </c>
      <c r="G9" s="155" t="s">
        <v>8186</v>
      </c>
    </row>
    <row r="10" spans="1:17" s="91" customFormat="1" x14ac:dyDescent="0.2">
      <c r="A10" s="91" t="s">
        <v>1558</v>
      </c>
      <c r="F10" s="92" t="s">
        <v>1335</v>
      </c>
      <c r="G10" s="155" t="s">
        <v>8183</v>
      </c>
      <c r="M10" s="91" t="s">
        <v>7648</v>
      </c>
      <c r="Q10" s="91">
        <v>183</v>
      </c>
    </row>
    <row r="11" spans="1:17" s="91" customFormat="1" x14ac:dyDescent="0.2">
      <c r="A11" s="91" t="s">
        <v>2263</v>
      </c>
      <c r="F11" s="92" t="s">
        <v>1354</v>
      </c>
      <c r="G11" s="155" t="s">
        <v>1220</v>
      </c>
    </row>
    <row r="12" spans="1:17" s="91" customFormat="1" x14ac:dyDescent="0.2">
      <c r="A12" s="91" t="s">
        <v>2264</v>
      </c>
      <c r="F12" s="92" t="s">
        <v>1377</v>
      </c>
      <c r="G12" s="91" t="s">
        <v>8187</v>
      </c>
    </row>
    <row r="13" spans="1:17" s="91" customFormat="1" x14ac:dyDescent="0.2">
      <c r="A13" s="91" t="s">
        <v>1561</v>
      </c>
      <c r="G13" s="91" t="s">
        <v>7914</v>
      </c>
      <c r="M13" s="91" t="s">
        <v>5728</v>
      </c>
      <c r="P13" s="91">
        <v>2500</v>
      </c>
    </row>
    <row r="14" spans="1:17" s="91" customFormat="1" x14ac:dyDescent="0.2">
      <c r="A14" s="91" t="s">
        <v>2265</v>
      </c>
      <c r="M14" s="91" t="s">
        <v>5729</v>
      </c>
    </row>
    <row r="15" spans="1:17" s="91" customFormat="1" x14ac:dyDescent="0.2">
      <c r="M15" s="91" t="s">
        <v>562</v>
      </c>
      <c r="P15" s="91">
        <v>320</v>
      </c>
    </row>
    <row r="16" spans="1:17" s="14" customFormat="1" ht="20.100000000000001" customHeight="1" x14ac:dyDescent="0.2">
      <c r="A16" s="17" t="s">
        <v>1261</v>
      </c>
      <c r="B16" s="31" t="s">
        <v>128</v>
      </c>
      <c r="C16" s="427"/>
      <c r="D16" s="18" t="s">
        <v>19</v>
      </c>
      <c r="E16" s="18"/>
      <c r="F16" s="17"/>
      <c r="G16" s="16"/>
      <c r="H16" s="15" t="s">
        <v>18</v>
      </c>
      <c r="M16" s="91" t="s">
        <v>2147</v>
      </c>
      <c r="N16" s="91"/>
      <c r="O16" s="91"/>
      <c r="P16" s="91">
        <f>SUM(P13+P15)*6%</f>
        <v>169.2</v>
      </c>
    </row>
    <row r="17" spans="1:16" s="91" customFormat="1" x14ac:dyDescent="0.2"/>
    <row r="18" spans="1:16" s="91" customFormat="1" x14ac:dyDescent="0.2"/>
    <row r="19" spans="1:16" s="91" customFormat="1" x14ac:dyDescent="0.2">
      <c r="A19" s="93" t="s">
        <v>8195</v>
      </c>
      <c r="B19" s="439" t="s">
        <v>8196</v>
      </c>
      <c r="D19" s="91" t="s">
        <v>6232</v>
      </c>
      <c r="H19" s="91">
        <v>500</v>
      </c>
      <c r="M19" s="91" t="s">
        <v>6232</v>
      </c>
      <c r="P19" s="91">
        <v>500</v>
      </c>
    </row>
    <row r="20" spans="1:16" s="91" customFormat="1" x14ac:dyDescent="0.2">
      <c r="A20" s="93"/>
      <c r="D20" s="91" t="s">
        <v>8197</v>
      </c>
      <c r="M20" s="91" t="s">
        <v>6231</v>
      </c>
    </row>
    <row r="21" spans="1:16" s="91" customFormat="1" x14ac:dyDescent="0.2">
      <c r="M21" s="91" t="s">
        <v>562</v>
      </c>
      <c r="P21" s="91">
        <v>50</v>
      </c>
    </row>
    <row r="22" spans="1:16" s="91" customFormat="1" x14ac:dyDescent="0.2">
      <c r="D22" s="91" t="s">
        <v>562</v>
      </c>
      <c r="H22" s="91">
        <v>55</v>
      </c>
      <c r="M22" s="91" t="s">
        <v>2147</v>
      </c>
      <c r="P22" s="91">
        <f>SUM(P19+P21)*6%</f>
        <v>33</v>
      </c>
    </row>
    <row r="23" spans="1:16" s="91" customFormat="1" x14ac:dyDescent="0.2"/>
    <row r="24" spans="1:16" s="91" customFormat="1" x14ac:dyDescent="0.2">
      <c r="D24" s="91" t="s">
        <v>7648</v>
      </c>
      <c r="H24" s="91">
        <f>SUM(H19+H22)*6%</f>
        <v>33.299999999999997</v>
      </c>
    </row>
    <row r="25" spans="1:16" s="91" customFormat="1" x14ac:dyDescent="0.2"/>
    <row r="26" spans="1:16" s="91" customFormat="1" x14ac:dyDescent="0.2">
      <c r="M26" s="91" t="s">
        <v>6659</v>
      </c>
      <c r="P26" s="91">
        <v>2700</v>
      </c>
    </row>
    <row r="27" spans="1:16" s="91" customFormat="1" x14ac:dyDescent="0.2">
      <c r="M27" s="91" t="s">
        <v>5729</v>
      </c>
    </row>
    <row r="28" spans="1:16" s="91" customFormat="1" x14ac:dyDescent="0.2">
      <c r="D28" s="94"/>
      <c r="E28" s="94"/>
    </row>
    <row r="29" spans="1:16" s="91" customFormat="1" x14ac:dyDescent="0.2">
      <c r="M29" s="91" t="s">
        <v>562</v>
      </c>
      <c r="P29" s="91">
        <v>320</v>
      </c>
    </row>
    <row r="30" spans="1:16" s="91" customFormat="1" x14ac:dyDescent="0.2"/>
    <row r="31" spans="1:16" s="91" customFormat="1" x14ac:dyDescent="0.2">
      <c r="H31" s="2"/>
    </row>
    <row r="32" spans="1:16" s="91" customFormat="1" x14ac:dyDescent="0.2">
      <c r="B32" s="94"/>
      <c r="C32" s="94"/>
    </row>
    <row r="33" spans="1:8" s="91" customFormat="1" x14ac:dyDescent="0.2">
      <c r="B33" s="94"/>
      <c r="C33" s="94"/>
    </row>
    <row r="34" spans="1:8" s="91" customFormat="1" x14ac:dyDescent="0.2"/>
    <row r="35" spans="1:8" s="91" customFormat="1" ht="13.5" thickBot="1" x14ac:dyDescent="0.25">
      <c r="H35" s="95">
        <f>SUM(H19:H34)</f>
        <v>588.29999999999995</v>
      </c>
    </row>
    <row r="36" spans="1:8" s="91" customFormat="1" ht="13.5" thickTop="1" x14ac:dyDescent="0.2"/>
    <row r="37" spans="1:8" s="91" customFormat="1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Hundred Eighty-Eight and 30/100 -----------</v>
      </c>
      <c r="C37" s="185"/>
      <c r="D37" s="97"/>
      <c r="E37" s="97"/>
      <c r="F37" s="206"/>
      <c r="G37" s="206"/>
      <c r="H37" s="206"/>
    </row>
    <row r="38" spans="1:8" s="91" customFormat="1" x14ac:dyDescent="0.2">
      <c r="A38" s="94"/>
    </row>
    <row r="39" spans="1:8" s="91" customFormat="1" ht="25.5" x14ac:dyDescent="0.2">
      <c r="A39" s="94"/>
      <c r="F39" s="218" t="s">
        <v>3975</v>
      </c>
      <c r="G39" s="219"/>
      <c r="H39" s="220"/>
    </row>
    <row r="40" spans="1:8" s="91" customFormat="1" x14ac:dyDescent="0.2">
      <c r="A40" s="91" t="s">
        <v>10</v>
      </c>
      <c r="F40" s="227"/>
      <c r="G40" s="227"/>
      <c r="H40" s="227"/>
    </row>
    <row r="41" spans="1:8" s="91" customFormat="1" x14ac:dyDescent="0.2">
      <c r="F41" s="228"/>
      <c r="G41" s="229"/>
      <c r="H41" s="229"/>
    </row>
    <row r="42" spans="1:8" s="91" customFormat="1" x14ac:dyDescent="0.2"/>
    <row r="43" spans="1:8" s="91" customFormat="1" x14ac:dyDescent="0.2">
      <c r="A43" s="101"/>
      <c r="B43" s="101"/>
      <c r="C43" s="386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C49" s="386"/>
      <c r="D49" s="101"/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sheetPr codeName="Sheet285">
    <pageSetUpPr fitToPage="1"/>
  </sheetPr>
  <dimension ref="A1:F51"/>
  <sheetViews>
    <sheetView topLeftCell="A4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3355</v>
      </c>
    </row>
    <row r="10" spans="1:6" x14ac:dyDescent="0.2">
      <c r="A10" s="91" t="s">
        <v>2955</v>
      </c>
      <c r="D10" s="92" t="s">
        <v>1357</v>
      </c>
      <c r="E10" s="92" t="s">
        <v>3316</v>
      </c>
    </row>
    <row r="11" spans="1:6" x14ac:dyDescent="0.2">
      <c r="A11" s="91" t="s">
        <v>2956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3356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2793</v>
      </c>
    </row>
    <row r="19" spans="1:6" x14ac:dyDescent="0.2">
      <c r="C19" s="146"/>
    </row>
    <row r="20" spans="1:6" x14ac:dyDescent="0.2">
      <c r="A20" s="111"/>
      <c r="B20" s="138"/>
      <c r="C20" s="91" t="s">
        <v>3298</v>
      </c>
      <c r="F20" s="91">
        <f>70%*2800</f>
        <v>1959.9999999999998</v>
      </c>
    </row>
    <row r="21" spans="1:6" x14ac:dyDescent="0.2">
      <c r="A21" s="147"/>
      <c r="B21" s="138"/>
      <c r="C21" s="91" t="s">
        <v>3299</v>
      </c>
    </row>
    <row r="22" spans="1:6" x14ac:dyDescent="0.2">
      <c r="A22" s="108"/>
      <c r="B22" s="138"/>
      <c r="C22" s="91" t="s">
        <v>3338</v>
      </c>
    </row>
    <row r="26" spans="1:6" x14ac:dyDescent="0.2">
      <c r="A26" s="136"/>
      <c r="B26" s="94"/>
    </row>
    <row r="28" spans="1:6" x14ac:dyDescent="0.2">
      <c r="A28" s="108"/>
    </row>
    <row r="31" spans="1:6" ht="13.5" thickBot="1" x14ac:dyDescent="0.25">
      <c r="F31" s="95">
        <f>SUM(F18:F30)</f>
        <v>1959.9999999999998</v>
      </c>
    </row>
    <row r="32" spans="1:6" ht="13.5" thickTop="1" x14ac:dyDescent="0.2"/>
    <row r="34" spans="1:6" ht="20.100000000000001" customHeight="1" thickBot="1" x14ac:dyDescent="0.25">
      <c r="A34" s="96" t="s">
        <v>336</v>
      </c>
      <c r="B34" s="185" t="s">
        <v>3339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sheetPr codeName="Sheet227">
    <pageSetUpPr fitToPage="1"/>
  </sheetPr>
  <dimension ref="A1:F55"/>
  <sheetViews>
    <sheetView topLeftCell="A4" workbookViewId="0">
      <selection activeCell="F34" sqref="F34"/>
    </sheetView>
  </sheetViews>
  <sheetFormatPr defaultRowHeight="12.75" x14ac:dyDescent="0.2"/>
  <cols>
    <col min="1" max="1" width="15.5703125" style="1" customWidth="1"/>
    <col min="2" max="2" width="14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30</v>
      </c>
      <c r="E9" s="91" t="s">
        <v>2564</v>
      </c>
      <c r="F9" s="91"/>
    </row>
    <row r="10" spans="1:6" x14ac:dyDescent="0.2">
      <c r="A10" s="91" t="s">
        <v>2471</v>
      </c>
      <c r="B10" s="91"/>
      <c r="C10" s="91"/>
      <c r="D10" s="92" t="s">
        <v>27</v>
      </c>
      <c r="E10" s="98" t="s">
        <v>2557</v>
      </c>
      <c r="F10" s="91"/>
    </row>
    <row r="11" spans="1:6" x14ac:dyDescent="0.2">
      <c r="A11" s="91" t="s">
        <v>2472</v>
      </c>
      <c r="B11" s="91"/>
      <c r="C11" s="91"/>
      <c r="D11" s="92" t="s">
        <v>24</v>
      </c>
      <c r="E11" s="92" t="s">
        <v>1220</v>
      </c>
      <c r="F11" s="91"/>
    </row>
    <row r="12" spans="1:6" x14ac:dyDescent="0.2">
      <c r="A12" s="91" t="s">
        <v>2473</v>
      </c>
      <c r="B12" s="91"/>
      <c r="C12" s="91"/>
      <c r="D12" s="92" t="s">
        <v>22</v>
      </c>
      <c r="E12" s="92" t="s">
        <v>2565</v>
      </c>
      <c r="F12" s="91"/>
    </row>
    <row r="13" spans="1:6" x14ac:dyDescent="0.2">
      <c r="A13" s="91" t="s">
        <v>1314</v>
      </c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67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2566</v>
      </c>
      <c r="D18" s="91"/>
      <c r="E18" s="91"/>
      <c r="F18" s="91"/>
    </row>
    <row r="19" spans="1:6" x14ac:dyDescent="0.2">
      <c r="A19" s="106"/>
      <c r="B19" s="91"/>
      <c r="C19" s="2"/>
      <c r="D19" s="91"/>
      <c r="E19" s="91"/>
      <c r="F19" s="91"/>
    </row>
    <row r="20" spans="1:6" x14ac:dyDescent="0.2">
      <c r="A20" s="137"/>
      <c r="B20" s="137"/>
      <c r="C20" s="91" t="s">
        <v>2474</v>
      </c>
      <c r="D20" s="91"/>
      <c r="E20" s="91"/>
      <c r="F20" s="91">
        <v>750</v>
      </c>
    </row>
    <row r="21" spans="1:6" x14ac:dyDescent="0.2">
      <c r="A21" s="91"/>
      <c r="B21" s="91"/>
      <c r="C21" s="91" t="s">
        <v>2567</v>
      </c>
      <c r="D21" s="91"/>
      <c r="E21" s="91"/>
      <c r="F21" s="91"/>
    </row>
    <row r="22" spans="1:6" x14ac:dyDescent="0.2">
      <c r="A22" s="91"/>
      <c r="B22" s="91"/>
      <c r="C22" s="91"/>
      <c r="D22" s="91"/>
      <c r="E22" s="91"/>
      <c r="F22" s="91"/>
    </row>
    <row r="23" spans="1:6" x14ac:dyDescent="0.2">
      <c r="A23" s="91"/>
      <c r="B23" s="91"/>
      <c r="C23" s="94"/>
      <c r="D23" s="91"/>
      <c r="E23" s="91"/>
      <c r="F23" s="91"/>
    </row>
    <row r="24" spans="1:6" x14ac:dyDescent="0.2">
      <c r="A24" s="91"/>
      <c r="B24" s="91"/>
      <c r="C24" s="91"/>
      <c r="D24" s="91"/>
      <c r="E24" s="91"/>
      <c r="F24" s="91"/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4"/>
      <c r="C29" s="91"/>
      <c r="D29" s="91"/>
      <c r="E29" s="91"/>
      <c r="F29" s="91"/>
    </row>
    <row r="30" spans="1:6" x14ac:dyDescent="0.2">
      <c r="A30" s="91"/>
      <c r="B30" s="94"/>
      <c r="C30" s="91"/>
      <c r="D30" s="91"/>
      <c r="E30" s="91"/>
      <c r="F30" s="91"/>
    </row>
    <row r="31" spans="1:6" x14ac:dyDescent="0.2">
      <c r="A31" s="91"/>
      <c r="B31" s="94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  <c r="F32" s="91"/>
    </row>
    <row r="33" spans="1:6" ht="13.5" thickBot="1" x14ac:dyDescent="0.25">
      <c r="A33" s="91"/>
      <c r="B33" s="91"/>
      <c r="C33" s="91"/>
      <c r="D33" s="91"/>
      <c r="E33" s="91"/>
      <c r="F33" s="95">
        <f>SUM(F20:F32)</f>
        <v>750</v>
      </c>
    </row>
    <row r="34" spans="1:6" ht="14.25" thickTop="1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336</v>
      </c>
      <c r="B35" s="185" t="s">
        <v>2430</v>
      </c>
      <c r="C35" s="97"/>
      <c r="D35" s="97"/>
      <c r="E35" s="97"/>
      <c r="F35" s="97"/>
    </row>
    <row r="36" spans="1:6" ht="25.5" x14ac:dyDescent="0.2">
      <c r="A36" s="94"/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9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4291</v>
      </c>
    </row>
    <row r="10" spans="1:6" x14ac:dyDescent="0.2">
      <c r="A10" s="91" t="s">
        <v>4293</v>
      </c>
      <c r="D10" s="92" t="s">
        <v>1329</v>
      </c>
      <c r="E10" s="92" t="s">
        <v>4290</v>
      </c>
    </row>
    <row r="11" spans="1:6" x14ac:dyDescent="0.2">
      <c r="A11" s="91" t="s">
        <v>4294</v>
      </c>
      <c r="D11" s="92" t="s">
        <v>1330</v>
      </c>
      <c r="E11" s="92" t="s">
        <v>1220</v>
      </c>
    </row>
    <row r="12" spans="1:6" x14ac:dyDescent="0.2">
      <c r="A12" s="91" t="s">
        <v>4295</v>
      </c>
      <c r="D12" s="92" t="s">
        <v>1377</v>
      </c>
      <c r="E12" s="92" t="s">
        <v>4292</v>
      </c>
    </row>
    <row r="13" spans="1:6" x14ac:dyDescent="0.2">
      <c r="A13" s="91" t="s">
        <v>4296</v>
      </c>
    </row>
    <row r="14" spans="1:6" x14ac:dyDescent="0.2">
      <c r="A14" s="91" t="s">
        <v>4297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4298</v>
      </c>
    </row>
    <row r="19" spans="1:6" x14ac:dyDescent="0.2">
      <c r="A19" s="106"/>
    </row>
    <row r="20" spans="1:6" x14ac:dyDescent="0.2">
      <c r="A20" s="93" t="s">
        <v>4299</v>
      </c>
      <c r="B20" s="93"/>
      <c r="C20" s="94" t="s">
        <v>4300</v>
      </c>
      <c r="F20" s="91">
        <v>50</v>
      </c>
    </row>
    <row r="21" spans="1:6" x14ac:dyDescent="0.2">
      <c r="A21" s="92"/>
      <c r="B21" s="93"/>
      <c r="C21" s="94"/>
    </row>
    <row r="22" spans="1:6" x14ac:dyDescent="0.2">
      <c r="A22" s="92"/>
      <c r="B22" s="93"/>
      <c r="C22" s="94"/>
    </row>
    <row r="23" spans="1:6" x14ac:dyDescent="0.2">
      <c r="A23" s="92"/>
      <c r="B23" s="93"/>
      <c r="C23" s="94"/>
    </row>
    <row r="24" spans="1:6" x14ac:dyDescent="0.2">
      <c r="A24" s="106"/>
      <c r="C24" s="94"/>
    </row>
    <row r="25" spans="1:6" x14ac:dyDescent="0.2">
      <c r="A25" s="106"/>
    </row>
    <row r="26" spans="1:6" x14ac:dyDescent="0.2">
      <c r="A26" s="106"/>
    </row>
    <row r="28" spans="1:6" x14ac:dyDescent="0.2">
      <c r="A28" s="93"/>
      <c r="B28" s="93"/>
    </row>
    <row r="29" spans="1:6" x14ac:dyDescent="0.2">
      <c r="A29" s="1"/>
      <c r="B29" s="1"/>
      <c r="C29" s="94"/>
    </row>
    <row r="30" spans="1:6" x14ac:dyDescent="0.2">
      <c r="A30" s="1"/>
      <c r="B30" s="1"/>
      <c r="C30" s="94"/>
    </row>
    <row r="31" spans="1:6" x14ac:dyDescent="0.2">
      <c r="A31" s="1"/>
      <c r="B31" s="1"/>
    </row>
    <row r="32" spans="1:6" x14ac:dyDescent="0.2">
      <c r="A32" s="106"/>
    </row>
    <row r="33" spans="1:6" ht="13.5" thickBot="1" x14ac:dyDescent="0.25">
      <c r="A33" s="106"/>
      <c r="F33" s="107">
        <f>SUM(F19:F31)</f>
        <v>50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Fifty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B37" s="91" t="s">
        <v>658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sheetPr codeName="Sheet228">
    <pageSetUpPr fitToPage="1"/>
  </sheetPr>
  <dimension ref="A1:F55"/>
  <sheetViews>
    <sheetView topLeftCell="A2" workbookViewId="0">
      <selection activeCell="F34" sqref="F34"/>
    </sheetView>
  </sheetViews>
  <sheetFormatPr defaultRowHeight="12.75" x14ac:dyDescent="0.2"/>
  <cols>
    <col min="1" max="1" width="15.5703125" style="1" customWidth="1"/>
    <col min="2" max="2" width="14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30</v>
      </c>
      <c r="E9" s="91" t="s">
        <v>2475</v>
      </c>
      <c r="F9" s="91"/>
    </row>
    <row r="10" spans="1:6" x14ac:dyDescent="0.2">
      <c r="A10" s="91" t="s">
        <v>2477</v>
      </c>
      <c r="B10" s="91"/>
      <c r="C10" s="91"/>
      <c r="D10" s="92" t="s">
        <v>27</v>
      </c>
      <c r="E10" s="98" t="s">
        <v>2449</v>
      </c>
      <c r="F10" s="91"/>
    </row>
    <row r="11" spans="1:6" x14ac:dyDescent="0.2">
      <c r="A11" s="91"/>
      <c r="B11" s="91"/>
      <c r="C11" s="91"/>
      <c r="D11" s="92" t="s">
        <v>24</v>
      </c>
      <c r="E11" s="92" t="s">
        <v>1220</v>
      </c>
      <c r="F11" s="91"/>
    </row>
    <row r="12" spans="1:6" x14ac:dyDescent="0.2">
      <c r="A12" s="91"/>
      <c r="B12" s="91"/>
      <c r="C12" s="91"/>
      <c r="D12" s="92" t="s">
        <v>22</v>
      </c>
      <c r="E12" s="92" t="s">
        <v>2476</v>
      </c>
      <c r="F12" s="91"/>
    </row>
    <row r="13" spans="1:6" x14ac:dyDescent="0.2">
      <c r="A13" s="91"/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67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2479</v>
      </c>
      <c r="D18" s="91"/>
      <c r="E18" s="91"/>
      <c r="F18" s="91"/>
    </row>
    <row r="19" spans="1:6" x14ac:dyDescent="0.2">
      <c r="A19" s="106"/>
      <c r="B19" s="91"/>
      <c r="C19" s="2"/>
      <c r="D19" s="91"/>
      <c r="E19" s="91"/>
      <c r="F19" s="91"/>
    </row>
    <row r="20" spans="1:6" x14ac:dyDescent="0.2">
      <c r="A20" s="137"/>
      <c r="B20" s="137"/>
      <c r="C20" s="91" t="s">
        <v>2478</v>
      </c>
      <c r="D20" s="91"/>
      <c r="E20" s="91"/>
      <c r="F20" s="91">
        <v>8000</v>
      </c>
    </row>
    <row r="21" spans="1:6" x14ac:dyDescent="0.2">
      <c r="A21" s="91"/>
      <c r="B21" s="91"/>
      <c r="C21" s="91"/>
      <c r="D21" s="91"/>
      <c r="E21" s="91"/>
      <c r="F21" s="91"/>
    </row>
    <row r="22" spans="1:6" x14ac:dyDescent="0.2">
      <c r="A22" s="91"/>
      <c r="B22" s="91"/>
      <c r="C22" s="91"/>
      <c r="D22" s="91"/>
      <c r="E22" s="91"/>
      <c r="F22" s="91"/>
    </row>
    <row r="23" spans="1:6" x14ac:dyDescent="0.2">
      <c r="A23" s="91"/>
      <c r="B23" s="91"/>
      <c r="C23" s="94"/>
      <c r="D23" s="91"/>
      <c r="E23" s="91"/>
      <c r="F23" s="91"/>
    </row>
    <row r="24" spans="1:6" x14ac:dyDescent="0.2">
      <c r="A24" s="91"/>
      <c r="B24" s="91"/>
      <c r="C24" s="91"/>
      <c r="D24" s="91"/>
      <c r="E24" s="91"/>
      <c r="F24" s="91"/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4"/>
      <c r="C29" s="91"/>
      <c r="D29" s="91"/>
      <c r="E29" s="91"/>
      <c r="F29" s="91"/>
    </row>
    <row r="30" spans="1:6" x14ac:dyDescent="0.2">
      <c r="A30" s="91"/>
      <c r="B30" s="94"/>
      <c r="C30" s="91"/>
      <c r="D30" s="91"/>
      <c r="E30" s="91"/>
      <c r="F30" s="91"/>
    </row>
    <row r="31" spans="1:6" x14ac:dyDescent="0.2">
      <c r="A31" s="91"/>
      <c r="B31" s="94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  <c r="F32" s="91"/>
    </row>
    <row r="33" spans="1:6" ht="13.5" thickBot="1" x14ac:dyDescent="0.25">
      <c r="A33" s="91"/>
      <c r="B33" s="91"/>
      <c r="C33" s="91"/>
      <c r="D33" s="91"/>
      <c r="E33" s="91"/>
      <c r="F33" s="95">
        <f>SUM(F20:F32)</f>
        <v>8000</v>
      </c>
    </row>
    <row r="34" spans="1:6" ht="14.25" thickTop="1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336</v>
      </c>
      <c r="B35" s="185" t="s">
        <v>1418</v>
      </c>
      <c r="C35" s="97"/>
      <c r="D35" s="97"/>
      <c r="E35" s="97"/>
      <c r="F35" s="97"/>
    </row>
    <row r="36" spans="1:6" ht="25.5" x14ac:dyDescent="0.2">
      <c r="A36" s="94"/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</sheetData>
  <customSheetViews>
    <customSheetView guid="{6428A7A0-B31B-40C1-A13E-AD0DCC619E51}" fitToPage="1" topLeftCell="A2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sheetPr codeName="Sheet229">
    <pageSetUpPr fitToPage="1"/>
  </sheetPr>
  <dimension ref="A1:F55"/>
  <sheetViews>
    <sheetView topLeftCell="A10" workbookViewId="0">
      <selection activeCell="F34" sqref="F34"/>
    </sheetView>
  </sheetViews>
  <sheetFormatPr defaultRowHeight="12.75" x14ac:dyDescent="0.2"/>
  <cols>
    <col min="1" max="1" width="14" style="91" customWidth="1"/>
    <col min="2" max="2" width="20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2340</v>
      </c>
    </row>
    <row r="10" spans="1:6" x14ac:dyDescent="0.2">
      <c r="A10" s="91" t="s">
        <v>2342</v>
      </c>
      <c r="D10" s="92" t="s">
        <v>1329</v>
      </c>
      <c r="E10" s="92" t="s">
        <v>2341</v>
      </c>
    </row>
    <row r="11" spans="1:6" x14ac:dyDescent="0.2">
      <c r="A11" s="91" t="s">
        <v>2343</v>
      </c>
      <c r="D11" s="92" t="s">
        <v>1330</v>
      </c>
      <c r="E11" s="92" t="s">
        <v>1220</v>
      </c>
    </row>
    <row r="12" spans="1:6" x14ac:dyDescent="0.2">
      <c r="A12" s="91" t="s">
        <v>2344</v>
      </c>
      <c r="D12" s="92" t="s">
        <v>1331</v>
      </c>
      <c r="E12" s="92" t="s">
        <v>770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2345</v>
      </c>
    </row>
    <row r="19" spans="1:6" x14ac:dyDescent="0.2">
      <c r="A19" s="93"/>
      <c r="B19" s="93"/>
    </row>
    <row r="20" spans="1:6" x14ac:dyDescent="0.2">
      <c r="A20" s="93" t="s">
        <v>2347</v>
      </c>
      <c r="B20" s="93" t="s">
        <v>2346</v>
      </c>
      <c r="C20" s="91" t="s">
        <v>2348</v>
      </c>
      <c r="F20" s="91">
        <v>20000</v>
      </c>
    </row>
    <row r="21" spans="1:6" x14ac:dyDescent="0.2">
      <c r="A21" s="93"/>
      <c r="B21" s="93"/>
    </row>
    <row r="22" spans="1:6" x14ac:dyDescent="0.2">
      <c r="A22" s="93"/>
      <c r="B22" s="93"/>
      <c r="C22" s="91" t="s">
        <v>2349</v>
      </c>
      <c r="F22" s="91">
        <v>10000</v>
      </c>
    </row>
    <row r="23" spans="1:6" x14ac:dyDescent="0.2">
      <c r="A23" s="93"/>
      <c r="B23" s="93"/>
    </row>
    <row r="24" spans="1:6" x14ac:dyDescent="0.2">
      <c r="A24" s="93"/>
      <c r="B24" s="93"/>
      <c r="C24" s="91" t="s">
        <v>2350</v>
      </c>
      <c r="F24" s="91">
        <v>2000</v>
      </c>
    </row>
    <row r="25" spans="1:6" x14ac:dyDescent="0.2">
      <c r="A25" s="93"/>
      <c r="B25" s="93"/>
    </row>
    <row r="26" spans="1:6" x14ac:dyDescent="0.2">
      <c r="B26" s="99"/>
      <c r="C26" s="91" t="s">
        <v>2351</v>
      </c>
      <c r="F26" s="91">
        <v>2703.9</v>
      </c>
    </row>
    <row r="28" spans="1:6" x14ac:dyDescent="0.2">
      <c r="C28" s="91" t="s">
        <v>2352</v>
      </c>
      <c r="F28" s="91">
        <v>590.70000000000005</v>
      </c>
    </row>
    <row r="30" spans="1:6" x14ac:dyDescent="0.2">
      <c r="C30" s="91" t="s">
        <v>2353</v>
      </c>
      <c r="F30" s="91">
        <v>147</v>
      </c>
    </row>
    <row r="32" spans="1:6" x14ac:dyDescent="0.2">
      <c r="A32" s="1"/>
      <c r="B32" s="1"/>
      <c r="C32" s="91" t="s">
        <v>2354</v>
      </c>
      <c r="F32" s="91">
        <v>120</v>
      </c>
    </row>
    <row r="33" spans="1:6" x14ac:dyDescent="0.2">
      <c r="A33" s="1"/>
      <c r="B33" s="1"/>
    </row>
    <row r="34" spans="1:6" ht="13.5" thickBot="1" x14ac:dyDescent="0.25">
      <c r="A34" s="1"/>
      <c r="B34" s="1"/>
      <c r="C34" s="91" t="s">
        <v>2355</v>
      </c>
      <c r="D34" s="1"/>
      <c r="E34" s="1"/>
      <c r="F34" s="107">
        <v>898.5</v>
      </c>
    </row>
    <row r="35" spans="1:6" ht="14.25" thickTop="1" thickBot="1" x14ac:dyDescent="0.25">
      <c r="A35" s="106"/>
      <c r="F35" s="107">
        <f>SUM(F19:F34)</f>
        <v>36460.1</v>
      </c>
    </row>
    <row r="36" spans="1:6" ht="26.25" thickTop="1" x14ac:dyDescent="0.2">
      <c r="A36" s="106"/>
      <c r="D36" s="218" t="s">
        <v>3975</v>
      </c>
      <c r="E36" s="219"/>
      <c r="F36" s="220"/>
    </row>
    <row r="37" spans="1:6" x14ac:dyDescent="0.2">
      <c r="A37" s="106"/>
    </row>
    <row r="38" spans="1:6" x14ac:dyDescent="0.2">
      <c r="A38" s="106"/>
    </row>
    <row r="39" spans="1:6" x14ac:dyDescent="0.2">
      <c r="A39" s="96" t="s">
        <v>1248</v>
      </c>
      <c r="B39" s="96" t="s">
        <v>2356</v>
      </c>
      <c r="C39" s="97"/>
      <c r="D39" s="227"/>
      <c r="E39" s="227"/>
      <c r="F39" s="227"/>
    </row>
    <row r="40" spans="1:6" x14ac:dyDescent="0.2">
      <c r="A40" s="91" t="s">
        <v>10</v>
      </c>
      <c r="D40" s="228"/>
      <c r="E40" s="229"/>
      <c r="F40" s="229"/>
    </row>
    <row r="41" spans="1:6" x14ac:dyDescent="0.2">
      <c r="A41" s="1"/>
    </row>
    <row r="43" spans="1:6" x14ac:dyDescent="0.2">
      <c r="A43" s="91" t="s">
        <v>120</v>
      </c>
      <c r="C43" s="99"/>
    </row>
    <row r="44" spans="1:6" x14ac:dyDescent="0.2">
      <c r="A44" s="101"/>
      <c r="B44" s="101"/>
    </row>
    <row r="46" spans="1:6" x14ac:dyDescent="0.2">
      <c r="A46" s="91" t="s">
        <v>8</v>
      </c>
      <c r="D46" s="98" t="s">
        <v>7</v>
      </c>
      <c r="F46" s="102"/>
    </row>
    <row r="47" spans="1:6" x14ac:dyDescent="0.2">
      <c r="A47" s="91" t="s">
        <v>3972</v>
      </c>
    </row>
    <row r="49" spans="1:6" x14ac:dyDescent="0.2">
      <c r="A49" s="91" t="s">
        <v>4066</v>
      </c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61" t="s">
        <v>35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sheetPr codeName="Sheet230"/>
  <dimension ref="A1:S52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1.5703125" style="91" customWidth="1"/>
    <col min="6" max="6" width="13.85546875" style="91" customWidth="1"/>
    <col min="7" max="7" width="9" style="91" customWidth="1"/>
    <col min="8" max="8" width="13.28515625" style="91" customWidth="1"/>
    <col min="9" max="9" width="9.140625" style="1"/>
    <col min="10" max="11" width="9.42578125" style="1" bestFit="1" customWidth="1"/>
    <col min="12" max="16384" width="9.140625" style="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F8" s="22" t="s">
        <v>31</v>
      </c>
      <c r="L8" s="93" t="s">
        <v>7576</v>
      </c>
      <c r="M8" s="93" t="s">
        <v>7606</v>
      </c>
      <c r="N8" s="93"/>
      <c r="O8" s="91" t="s">
        <v>7607</v>
      </c>
      <c r="P8" s="91"/>
      <c r="Q8" s="91"/>
      <c r="R8" s="91"/>
      <c r="S8" s="91"/>
    </row>
    <row r="9" spans="1:19" x14ac:dyDescent="0.2">
      <c r="A9" s="91" t="s">
        <v>1952</v>
      </c>
      <c r="F9" s="92" t="s">
        <v>1317</v>
      </c>
      <c r="G9" s="153" t="s">
        <v>8874</v>
      </c>
      <c r="J9" s="1" t="s">
        <v>7950</v>
      </c>
      <c r="K9" s="1">
        <v>43759</v>
      </c>
      <c r="L9" s="91"/>
      <c r="M9" s="91" t="s">
        <v>7951</v>
      </c>
      <c r="N9" s="91"/>
      <c r="O9" s="91"/>
      <c r="P9" s="91"/>
      <c r="Q9" s="91"/>
      <c r="R9" s="91"/>
      <c r="S9" s="91"/>
    </row>
    <row r="10" spans="1:19" x14ac:dyDescent="0.2">
      <c r="A10" s="91" t="s">
        <v>1953</v>
      </c>
      <c r="F10" s="92" t="s">
        <v>1329</v>
      </c>
      <c r="G10" s="155" t="s">
        <v>8852</v>
      </c>
      <c r="L10" s="91"/>
      <c r="M10" s="91"/>
      <c r="N10" s="91"/>
      <c r="O10" s="91" t="s">
        <v>7608</v>
      </c>
      <c r="P10" s="91"/>
      <c r="Q10" s="91"/>
      <c r="R10" s="91"/>
      <c r="S10" s="91">
        <f>6413*0.03</f>
        <v>192.39</v>
      </c>
    </row>
    <row r="11" spans="1:19" x14ac:dyDescent="0.2">
      <c r="A11" s="91" t="s">
        <v>1954</v>
      </c>
      <c r="F11" s="92" t="s">
        <v>1330</v>
      </c>
      <c r="G11" s="155" t="s">
        <v>1220</v>
      </c>
      <c r="L11" s="91"/>
      <c r="M11" s="91"/>
      <c r="N11" s="91"/>
      <c r="O11" s="91" t="s">
        <v>7609</v>
      </c>
      <c r="P11" s="91"/>
      <c r="Q11" s="91"/>
      <c r="R11" s="91"/>
      <c r="S11" s="91">
        <f>3819*0.5</f>
        <v>1909.5</v>
      </c>
    </row>
    <row r="12" spans="1:19" x14ac:dyDescent="0.2">
      <c r="A12" s="91" t="s">
        <v>1955</v>
      </c>
      <c r="F12" s="92" t="s">
        <v>1331</v>
      </c>
      <c r="G12" s="155" t="s">
        <v>8875</v>
      </c>
      <c r="L12" s="91"/>
      <c r="M12" s="91"/>
      <c r="N12" s="91"/>
      <c r="O12" s="91"/>
      <c r="P12" s="91"/>
      <c r="Q12" s="91"/>
      <c r="R12" s="91"/>
      <c r="S12" s="91"/>
    </row>
    <row r="13" spans="1:19" x14ac:dyDescent="0.2">
      <c r="A13" s="91" t="s">
        <v>1956</v>
      </c>
      <c r="G13" s="153" t="s">
        <v>7931</v>
      </c>
      <c r="J13" s="26"/>
      <c r="K13" s="26"/>
    </row>
    <row r="14" spans="1:19" x14ac:dyDescent="0.2">
      <c r="A14" s="91" t="s">
        <v>1957</v>
      </c>
    </row>
    <row r="16" spans="1:19" s="14" customFormat="1" ht="20.100000000000001" customHeight="1" x14ac:dyDescent="0.2">
      <c r="A16" s="31" t="s">
        <v>1226</v>
      </c>
      <c r="B16" s="31" t="s">
        <v>128</v>
      </c>
      <c r="C16" s="405"/>
      <c r="D16" s="18" t="s">
        <v>19</v>
      </c>
      <c r="E16" s="18"/>
      <c r="F16" s="17"/>
      <c r="G16" s="16"/>
      <c r="H16" s="15" t="s">
        <v>18</v>
      </c>
      <c r="M16" s="91" t="s">
        <v>8647</v>
      </c>
      <c r="N16" s="91"/>
      <c r="O16" s="91"/>
      <c r="P16" s="91"/>
      <c r="Q16" s="91"/>
    </row>
    <row r="17" spans="1:17" x14ac:dyDescent="0.2">
      <c r="A17" s="106"/>
      <c r="M17" s="91"/>
      <c r="N17" s="91"/>
      <c r="O17" s="91"/>
      <c r="P17" s="91"/>
      <c r="Q17" s="91"/>
    </row>
    <row r="18" spans="1:17" x14ac:dyDescent="0.2">
      <c r="A18" s="93" t="s">
        <v>8784</v>
      </c>
      <c r="B18" s="93" t="s">
        <v>8876</v>
      </c>
      <c r="C18" s="93"/>
      <c r="D18" s="91" t="s">
        <v>8877</v>
      </c>
      <c r="H18" s="91">
        <v>320</v>
      </c>
      <c r="M18" s="91" t="s">
        <v>8648</v>
      </c>
      <c r="N18" s="91"/>
      <c r="O18" s="91"/>
      <c r="P18" s="91"/>
      <c r="Q18" s="91">
        <f>5184*0.03</f>
        <v>155.51999999999998</v>
      </c>
    </row>
    <row r="19" spans="1:17" x14ac:dyDescent="0.2">
      <c r="A19" s="93"/>
      <c r="B19" s="93"/>
      <c r="C19" s="93"/>
      <c r="M19" s="91" t="s">
        <v>8649</v>
      </c>
      <c r="N19" s="91"/>
      <c r="O19" s="91"/>
      <c r="P19" s="91"/>
      <c r="Q19" s="91">
        <f>1708*0.5</f>
        <v>854</v>
      </c>
    </row>
    <row r="20" spans="1:17" x14ac:dyDescent="0.2">
      <c r="A20" s="93"/>
      <c r="B20" s="93"/>
      <c r="C20" s="93"/>
      <c r="M20" s="91"/>
      <c r="N20" s="91"/>
      <c r="O20" s="91"/>
      <c r="P20" s="91"/>
      <c r="Q20" s="91"/>
    </row>
    <row r="21" spans="1:17" x14ac:dyDescent="0.2">
      <c r="M21" s="91"/>
      <c r="N21" s="91"/>
      <c r="O21" s="91"/>
      <c r="P21" s="91"/>
      <c r="Q21" s="91"/>
    </row>
    <row r="22" spans="1:17" x14ac:dyDescent="0.2">
      <c r="M22" s="91"/>
      <c r="N22" s="91"/>
      <c r="O22" s="91"/>
      <c r="P22" s="91"/>
      <c r="Q22" s="91"/>
    </row>
    <row r="23" spans="1:17" x14ac:dyDescent="0.2">
      <c r="M23" s="91" t="s">
        <v>4736</v>
      </c>
      <c r="N23" s="91"/>
      <c r="O23" s="91"/>
      <c r="P23" s="91">
        <f>3810*0.03</f>
        <v>114.3</v>
      </c>
    </row>
    <row r="24" spans="1:17" x14ac:dyDescent="0.2">
      <c r="M24" s="91" t="s">
        <v>4737</v>
      </c>
      <c r="N24" s="91"/>
      <c r="O24" s="91"/>
      <c r="P24" s="91">
        <f>705*0.5</f>
        <v>352.5</v>
      </c>
    </row>
    <row r="25" spans="1:17" x14ac:dyDescent="0.2">
      <c r="A25" s="93"/>
      <c r="B25" s="93"/>
      <c r="C25" s="93"/>
      <c r="M25" s="91" t="s">
        <v>2147</v>
      </c>
      <c r="N25" s="91"/>
      <c r="O25" s="91"/>
      <c r="P25" s="91">
        <v>28.01</v>
      </c>
    </row>
    <row r="26" spans="1:17" x14ac:dyDescent="0.2">
      <c r="A26" s="93"/>
      <c r="B26" s="93"/>
      <c r="C26" s="93"/>
      <c r="M26" s="91"/>
      <c r="N26" s="91"/>
      <c r="O26" s="91"/>
      <c r="P26" s="91"/>
    </row>
    <row r="28" spans="1:17" x14ac:dyDescent="0.2">
      <c r="M28" s="91" t="s">
        <v>6425</v>
      </c>
      <c r="N28" s="91"/>
      <c r="O28" s="91"/>
      <c r="P28" s="91">
        <v>300</v>
      </c>
    </row>
    <row r="29" spans="1:17" x14ac:dyDescent="0.2">
      <c r="M29" s="91" t="s">
        <v>2147</v>
      </c>
      <c r="P29" s="91">
        <f>P28*6%</f>
        <v>18</v>
      </c>
    </row>
    <row r="30" spans="1:17" x14ac:dyDescent="0.2">
      <c r="M30" s="91" t="s">
        <v>6500</v>
      </c>
      <c r="N30" s="91"/>
      <c r="O30" s="91"/>
      <c r="P30" s="91">
        <f>3777*0.03</f>
        <v>113.31</v>
      </c>
    </row>
    <row r="31" spans="1:17" x14ac:dyDescent="0.2">
      <c r="M31" s="91" t="s">
        <v>6501</v>
      </c>
      <c r="N31" s="91"/>
      <c r="O31" s="91"/>
      <c r="P31" s="91">
        <f>1559*0.5</f>
        <v>779.5</v>
      </c>
    </row>
    <row r="32" spans="1:17" x14ac:dyDescent="0.2">
      <c r="A32" s="106"/>
      <c r="H32" s="1"/>
      <c r="M32" s="91" t="s">
        <v>2147</v>
      </c>
      <c r="N32" s="91"/>
      <c r="O32" s="91"/>
      <c r="P32" s="91">
        <f>SUM(P30+P31)*6%</f>
        <v>53.568599999999996</v>
      </c>
    </row>
    <row r="33" spans="1:8" ht="13.5" thickBot="1" x14ac:dyDescent="0.25">
      <c r="A33" s="106"/>
      <c r="H33" s="107">
        <f>SUM(H18:H32)</f>
        <v>320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Hundred Twenty and NO/100 -----------</v>
      </c>
      <c r="C35" s="185"/>
      <c r="D35" s="97"/>
      <c r="E35" s="97"/>
      <c r="F35" s="236"/>
      <c r="G35" s="232"/>
      <c r="H35" s="232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8" spans="1:8" x14ac:dyDescent="0.2">
      <c r="F38" s="227"/>
      <c r="G38" s="227"/>
      <c r="H38" s="227"/>
    </row>
    <row r="39" spans="1:8" x14ac:dyDescent="0.2">
      <c r="F39" s="228"/>
      <c r="G39" s="229"/>
      <c r="H39" s="229"/>
    </row>
    <row r="40" spans="1:8" x14ac:dyDescent="0.2">
      <c r="A40" s="1"/>
    </row>
    <row r="41" spans="1:8" x14ac:dyDescent="0.2">
      <c r="A41" s="101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 t="s">
        <v>120</v>
      </c>
      <c r="B47" s="101"/>
      <c r="C47" s="386"/>
      <c r="D47" s="101" t="s">
        <v>120</v>
      </c>
      <c r="F47" s="101"/>
      <c r="G47" s="101"/>
      <c r="H47" s="101"/>
    </row>
    <row r="48" spans="1:8" s="3" customFormat="1" ht="17.100000000000001" customHeight="1" x14ac:dyDescent="0.2">
      <c r="A48" s="61" t="s">
        <v>4066</v>
      </c>
      <c r="B48" s="104"/>
      <c r="C48" s="104"/>
      <c r="D48" s="6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 printArea="1" topLeftCell="A4">
      <selection activeCell="F32" sqref="F32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sheetPr codeName="Sheet123"/>
  <dimension ref="A1:N55"/>
  <sheetViews>
    <sheetView topLeftCell="A7" zoomScaleNormal="100" workbookViewId="0">
      <selection activeCell="D20" sqref="D20"/>
    </sheetView>
  </sheetViews>
  <sheetFormatPr defaultRowHeight="12.75" x14ac:dyDescent="0.2"/>
  <cols>
    <col min="1" max="1" width="16" style="91" customWidth="1"/>
    <col min="2" max="2" width="12.140625" style="91" customWidth="1"/>
    <col min="3" max="3" width="1.42578125" style="91" customWidth="1"/>
    <col min="4" max="4" width="20.85546875" style="91" customWidth="1"/>
    <col min="5" max="5" width="1.5703125" style="91" customWidth="1"/>
    <col min="6" max="6" width="1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1952</v>
      </c>
      <c r="F9" s="92" t="s">
        <v>1317</v>
      </c>
      <c r="G9" s="155" t="s">
        <v>7950</v>
      </c>
    </row>
    <row r="10" spans="1:8" x14ac:dyDescent="0.2">
      <c r="A10" s="91" t="s">
        <v>1953</v>
      </c>
      <c r="F10" s="92" t="s">
        <v>1329</v>
      </c>
      <c r="G10" s="155" t="s">
        <v>7952</v>
      </c>
    </row>
    <row r="11" spans="1:8" x14ac:dyDescent="0.2">
      <c r="A11" s="91" t="s">
        <v>1954</v>
      </c>
      <c r="F11" s="92" t="s">
        <v>1330</v>
      </c>
      <c r="G11" s="155" t="s">
        <v>1220</v>
      </c>
    </row>
    <row r="12" spans="1:8" x14ac:dyDescent="0.2">
      <c r="A12" s="91" t="s">
        <v>1955</v>
      </c>
      <c r="F12" s="92" t="s">
        <v>1331</v>
      </c>
      <c r="G12" s="91" t="s">
        <v>7951</v>
      </c>
    </row>
    <row r="13" spans="1:8" x14ac:dyDescent="0.2">
      <c r="A13" s="91" t="s">
        <v>1956</v>
      </c>
      <c r="G13" s="91" t="s">
        <v>6823</v>
      </c>
    </row>
    <row r="14" spans="1:8" x14ac:dyDescent="0.2">
      <c r="A14" s="91" t="s">
        <v>1957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431"/>
      <c r="D16" s="18" t="s">
        <v>19</v>
      </c>
      <c r="E16" s="18"/>
      <c r="F16" s="17"/>
      <c r="G16" s="16"/>
      <c r="H16" s="15" t="s">
        <v>18</v>
      </c>
    </row>
    <row r="17" spans="1:14" x14ac:dyDescent="0.2">
      <c r="A17" s="106"/>
    </row>
    <row r="18" spans="1:14" x14ac:dyDescent="0.2">
      <c r="D18" s="2" t="s">
        <v>5175</v>
      </c>
      <c r="E18" s="2"/>
      <c r="K18" s="91" t="s">
        <v>6235</v>
      </c>
      <c r="L18" s="91"/>
      <c r="M18" s="91"/>
      <c r="N18" s="91">
        <f>5568*0.03</f>
        <v>167.04</v>
      </c>
    </row>
    <row r="19" spans="1:14" x14ac:dyDescent="0.2">
      <c r="K19" s="91" t="s">
        <v>6236</v>
      </c>
      <c r="L19" s="91"/>
      <c r="M19" s="91"/>
      <c r="N19" s="91">
        <f>4851*0.5</f>
        <v>2425.5</v>
      </c>
    </row>
    <row r="20" spans="1:14" x14ac:dyDescent="0.2">
      <c r="A20" s="93" t="s">
        <v>7878</v>
      </c>
      <c r="B20" s="93" t="s">
        <v>7953</v>
      </c>
      <c r="C20" s="93"/>
      <c r="D20" s="91" t="s">
        <v>7954</v>
      </c>
      <c r="K20" s="91" t="s">
        <v>2147</v>
      </c>
      <c r="L20" s="91"/>
      <c r="M20" s="91"/>
      <c r="N20" s="91">
        <f>SUM(N18+N19)*6%</f>
        <v>155.55240000000001</v>
      </c>
    </row>
    <row r="21" spans="1:14" x14ac:dyDescent="0.2">
      <c r="A21" s="93"/>
      <c r="B21" s="93"/>
      <c r="C21" s="93"/>
      <c r="K21" s="91"/>
      <c r="L21" s="91"/>
      <c r="M21" s="91"/>
      <c r="N21" s="91"/>
    </row>
    <row r="22" spans="1:14" x14ac:dyDescent="0.2">
      <c r="A22" s="93"/>
      <c r="B22" s="93"/>
      <c r="C22" s="93"/>
      <c r="D22" s="91" t="s">
        <v>7956</v>
      </c>
      <c r="H22" s="91">
        <f>3565*0.03</f>
        <v>106.95</v>
      </c>
      <c r="K22" s="91"/>
      <c r="L22" s="91"/>
      <c r="M22" s="91"/>
      <c r="N22" s="91"/>
    </row>
    <row r="23" spans="1:14" x14ac:dyDescent="0.2">
      <c r="A23" s="93"/>
      <c r="B23" s="93"/>
      <c r="C23" s="93"/>
      <c r="D23" s="91" t="s">
        <v>7955</v>
      </c>
      <c r="H23" s="91">
        <f>1292*0.5</f>
        <v>646</v>
      </c>
    </row>
    <row r="24" spans="1:14" x14ac:dyDescent="0.2">
      <c r="A24" s="93"/>
      <c r="B24" s="93"/>
      <c r="C24" s="93"/>
    </row>
    <row r="25" spans="1:14" x14ac:dyDescent="0.2">
      <c r="A25" s="93"/>
      <c r="B25" s="99"/>
      <c r="C25" s="432"/>
    </row>
    <row r="26" spans="1:14" x14ac:dyDescent="0.2">
      <c r="A26" s="93"/>
      <c r="B26" s="432"/>
      <c r="C26" s="432"/>
    </row>
    <row r="27" spans="1:14" x14ac:dyDescent="0.2">
      <c r="A27" s="93"/>
      <c r="B27" s="432"/>
      <c r="C27" s="432"/>
    </row>
    <row r="28" spans="1:14" x14ac:dyDescent="0.2">
      <c r="A28" s="93"/>
      <c r="B28" s="432"/>
      <c r="C28" s="432"/>
    </row>
    <row r="33" spans="1:8" x14ac:dyDescent="0.2">
      <c r="A33" s="1"/>
      <c r="B33" s="1"/>
      <c r="C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06"/>
      <c r="H35" s="1"/>
    </row>
    <row r="36" spans="1:8" ht="13.5" thickBot="1" x14ac:dyDescent="0.25">
      <c r="A36" s="106"/>
      <c r="H36" s="107">
        <f>SUM(H18:H34)</f>
        <v>752.95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Hundred Fifty-Two and 95/100 -----------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2" spans="1:8" x14ac:dyDescent="0.2">
      <c r="F42" s="227"/>
      <c r="G42" s="227"/>
      <c r="H42" s="227"/>
    </row>
    <row r="43" spans="1:8" x14ac:dyDescent="0.2">
      <c r="A43" s="91" t="s">
        <v>120</v>
      </c>
      <c r="D43" s="99"/>
      <c r="E43" s="432"/>
      <c r="F43" s="228"/>
      <c r="G43" s="229"/>
      <c r="H43" s="229"/>
    </row>
    <row r="44" spans="1:8" x14ac:dyDescent="0.2">
      <c r="A44" s="23"/>
      <c r="B44" s="101"/>
      <c r="C44" s="386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C50" s="386"/>
      <c r="D50" s="101"/>
      <c r="F50" s="101"/>
      <c r="G50" s="101"/>
      <c r="H50" s="101"/>
    </row>
    <row r="51" spans="1:8" s="3" customFormat="1" ht="17.100000000000001" customHeight="1" x14ac:dyDescent="0.2">
      <c r="A51" s="209" t="s">
        <v>4047</v>
      </c>
      <c r="B51" s="104"/>
      <c r="C51" s="104"/>
      <c r="D51" s="209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 topLeftCell="A7">
      <selection activeCell="A20" sqref="A20:F22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sheetPr codeName="Sheet12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4975</v>
      </c>
    </row>
    <row r="10" spans="1:6" x14ac:dyDescent="0.2">
      <c r="A10" s="91" t="s">
        <v>1483</v>
      </c>
      <c r="D10" s="92" t="s">
        <v>1444</v>
      </c>
      <c r="E10" s="113" t="s">
        <v>4963</v>
      </c>
    </row>
    <row r="11" spans="1:6" x14ac:dyDescent="0.2">
      <c r="A11" s="91" t="s">
        <v>1484</v>
      </c>
      <c r="D11" s="92" t="s">
        <v>1431</v>
      </c>
      <c r="E11" s="113" t="s">
        <v>1220</v>
      </c>
    </row>
    <row r="12" spans="1:6" x14ac:dyDescent="0.2">
      <c r="A12" s="91" t="s">
        <v>1404</v>
      </c>
      <c r="D12" s="92" t="s">
        <v>1268</v>
      </c>
      <c r="E12" s="113" t="s">
        <v>4976</v>
      </c>
    </row>
    <row r="13" spans="1:6" x14ac:dyDescent="0.2">
      <c r="A13" s="91" t="s">
        <v>2856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4977</v>
      </c>
    </row>
    <row r="19" spans="1:6" x14ac:dyDescent="0.2">
      <c r="C19" s="2"/>
    </row>
    <row r="20" spans="1:6" x14ac:dyDescent="0.2">
      <c r="A20" s="111" t="s">
        <v>4978</v>
      </c>
      <c r="B20" s="93" t="s">
        <v>4979</v>
      </c>
      <c r="C20" s="91" t="s">
        <v>4980</v>
      </c>
      <c r="F20" s="110">
        <v>1100</v>
      </c>
    </row>
    <row r="22" spans="1:6" x14ac:dyDescent="0.2">
      <c r="C22" s="2"/>
    </row>
    <row r="24" spans="1:6" x14ac:dyDescent="0.2">
      <c r="A24" s="93"/>
      <c r="B24" s="93"/>
    </row>
    <row r="25" spans="1:6" x14ac:dyDescent="0.2">
      <c r="C25" s="2"/>
    </row>
    <row r="26" spans="1:6" x14ac:dyDescent="0.2">
      <c r="A26" s="111"/>
      <c r="B26" s="99"/>
      <c r="F26" s="110"/>
    </row>
    <row r="27" spans="1:6" x14ac:dyDescent="0.2">
      <c r="A27" s="111"/>
      <c r="B27" s="93"/>
      <c r="F27" s="110"/>
    </row>
    <row r="29" spans="1:6" x14ac:dyDescent="0.2">
      <c r="A29" s="111"/>
      <c r="B29" s="93"/>
    </row>
    <row r="31" spans="1:6" x14ac:dyDescent="0.2">
      <c r="A31" s="108"/>
    </row>
    <row r="35" spans="1:6" ht="13.5" thickBot="1" x14ac:dyDescent="0.25">
      <c r="F35" s="95">
        <f>SUM(F18:F33)</f>
        <v>1100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One Hundred and NO/100 -----------</v>
      </c>
      <c r="C37" s="97"/>
      <c r="D37" s="222"/>
      <c r="E37" s="222"/>
      <c r="F37" s="97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ht="25.5" x14ac:dyDescent="0.2">
      <c r="A39" s="235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4047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sheetPr codeName="Sheet12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1334</v>
      </c>
      <c r="E9" s="91" t="s">
        <v>1692</v>
      </c>
    </row>
    <row r="10" spans="1:6" x14ac:dyDescent="0.2">
      <c r="A10" s="91" t="s">
        <v>1695</v>
      </c>
      <c r="D10" s="92" t="s">
        <v>1335</v>
      </c>
      <c r="E10" s="92" t="s">
        <v>1670</v>
      </c>
    </row>
    <row r="11" spans="1:6" x14ac:dyDescent="0.2">
      <c r="A11" s="91" t="s">
        <v>1696</v>
      </c>
      <c r="D11" s="92" t="s">
        <v>1333</v>
      </c>
      <c r="E11" s="92" t="s">
        <v>1220</v>
      </c>
    </row>
    <row r="12" spans="1:6" x14ac:dyDescent="0.2">
      <c r="A12" s="91" t="s">
        <v>1697</v>
      </c>
      <c r="D12" s="92" t="s">
        <v>1331</v>
      </c>
      <c r="E12" s="92" t="s">
        <v>1693</v>
      </c>
    </row>
    <row r="13" spans="1:6" x14ac:dyDescent="0.2">
      <c r="A13" s="91" t="s">
        <v>1698</v>
      </c>
    </row>
    <row r="14" spans="1:6" x14ac:dyDescent="0.2">
      <c r="A14" s="91" t="s">
        <v>1699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/>
    </row>
    <row r="19" spans="1:6" x14ac:dyDescent="0.2">
      <c r="A19" s="93" t="s">
        <v>1637</v>
      </c>
      <c r="B19" s="93" t="s">
        <v>1694</v>
      </c>
      <c r="C19" s="91" t="s">
        <v>1700</v>
      </c>
      <c r="F19" s="91">
        <v>150</v>
      </c>
    </row>
    <row r="20" spans="1:6" x14ac:dyDescent="0.2">
      <c r="A20" s="93"/>
      <c r="B20" s="111"/>
      <c r="C20" s="91" t="s">
        <v>1701</v>
      </c>
    </row>
    <row r="21" spans="1:6" x14ac:dyDescent="0.2">
      <c r="A21" s="93"/>
      <c r="B21" s="111"/>
    </row>
    <row r="22" spans="1:6" x14ac:dyDescent="0.2">
      <c r="A22" s="109"/>
      <c r="C22" s="2"/>
      <c r="F22" s="110"/>
    </row>
    <row r="23" spans="1:6" x14ac:dyDescent="0.2">
      <c r="A23" s="108"/>
      <c r="F23" s="110"/>
    </row>
    <row r="24" spans="1:6" x14ac:dyDescent="0.2">
      <c r="A24" s="93"/>
      <c r="B24" s="93"/>
      <c r="F24" s="110"/>
    </row>
    <row r="25" spans="1:6" x14ac:dyDescent="0.2">
      <c r="A25" s="108"/>
      <c r="B25" s="94"/>
    </row>
    <row r="26" spans="1:6" x14ac:dyDescent="0.2">
      <c r="A26" s="108"/>
      <c r="B26" s="94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150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1691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sheetPr codeName="Sheet126">
    <pageSetUpPr fitToPage="1"/>
  </sheetPr>
  <dimension ref="A1:F52"/>
  <sheetViews>
    <sheetView workbookViewId="0">
      <selection activeCell="A32" sqref="A32"/>
    </sheetView>
  </sheetViews>
  <sheetFormatPr defaultRowHeight="12.75" x14ac:dyDescent="0.2"/>
  <cols>
    <col min="1" max="1" width="15.42578125" style="91" customWidth="1"/>
    <col min="2" max="2" width="13.28515625" style="91" customWidth="1"/>
    <col min="3" max="3" width="17.7109375" style="91" customWidth="1"/>
    <col min="4" max="4" width="16.42578125" style="91" customWidth="1"/>
    <col min="5" max="5" width="13.7109375" style="91" customWidth="1"/>
    <col min="6" max="6" width="14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91" t="s">
        <v>1619</v>
      </c>
    </row>
    <row r="10" spans="1:6" x14ac:dyDescent="0.2">
      <c r="A10" s="91" t="s">
        <v>1544</v>
      </c>
      <c r="E10" s="92" t="s">
        <v>1356</v>
      </c>
      <c r="F10" s="92" t="s">
        <v>3774</v>
      </c>
    </row>
    <row r="11" spans="1:6" x14ac:dyDescent="0.2">
      <c r="A11" s="91" t="s">
        <v>1545</v>
      </c>
      <c r="E11" s="92" t="s">
        <v>1364</v>
      </c>
      <c r="F11" s="92" t="s">
        <v>1220</v>
      </c>
    </row>
    <row r="12" spans="1:6" x14ac:dyDescent="0.2">
      <c r="A12" s="91" t="s">
        <v>1245</v>
      </c>
      <c r="E12" s="92" t="s">
        <v>1394</v>
      </c>
      <c r="F12" s="92" t="s">
        <v>1543</v>
      </c>
    </row>
    <row r="13" spans="1:6" x14ac:dyDescent="0.2">
      <c r="A13" s="91" t="s">
        <v>1546</v>
      </c>
      <c r="E13" s="92"/>
    </row>
    <row r="14" spans="1:6" x14ac:dyDescent="0.2">
      <c r="A14" s="91" t="s">
        <v>1547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8"/>
      <c r="E16" s="17"/>
      <c r="F16" s="15" t="s">
        <v>18</v>
      </c>
    </row>
    <row r="18" spans="1:6" x14ac:dyDescent="0.2">
      <c r="C18" s="2" t="s">
        <v>1548</v>
      </c>
      <c r="D18" s="2"/>
    </row>
    <row r="19" spans="1:6" x14ac:dyDescent="0.2">
      <c r="A19" s="94"/>
      <c r="C19" s="2" t="s">
        <v>1549</v>
      </c>
      <c r="D19" s="2"/>
    </row>
    <row r="20" spans="1:6" x14ac:dyDescent="0.2">
      <c r="A20" s="93"/>
      <c r="B20" s="93"/>
    </row>
    <row r="21" spans="1:6" x14ac:dyDescent="0.2">
      <c r="A21" s="93" t="s">
        <v>1550</v>
      </c>
      <c r="B21" s="93" t="s">
        <v>1551</v>
      </c>
      <c r="C21" s="2" t="s">
        <v>1552</v>
      </c>
      <c r="D21" s="2"/>
      <c r="F21" s="91">
        <v>3683</v>
      </c>
    </row>
    <row r="22" spans="1:6" x14ac:dyDescent="0.2">
      <c r="B22" s="94"/>
      <c r="C22" s="91" t="s">
        <v>1553</v>
      </c>
    </row>
    <row r="23" spans="1:6" x14ac:dyDescent="0.2">
      <c r="B23" s="94"/>
    </row>
    <row r="24" spans="1:6" x14ac:dyDescent="0.2">
      <c r="A24" s="93"/>
      <c r="B24" s="93"/>
      <c r="C24" s="2" t="s">
        <v>1552</v>
      </c>
      <c r="D24" s="2"/>
      <c r="F24" s="91">
        <v>650</v>
      </c>
    </row>
    <row r="25" spans="1:6" x14ac:dyDescent="0.2">
      <c r="C25" s="91" t="s">
        <v>1554</v>
      </c>
    </row>
    <row r="26" spans="1:6" x14ac:dyDescent="0.2">
      <c r="B26" s="94"/>
    </row>
    <row r="27" spans="1:6" x14ac:dyDescent="0.2">
      <c r="B27" s="94"/>
      <c r="C27" s="2" t="s">
        <v>1552</v>
      </c>
      <c r="D27" s="2"/>
      <c r="F27" s="91">
        <v>750</v>
      </c>
    </row>
    <row r="28" spans="1:6" x14ac:dyDescent="0.2">
      <c r="B28" s="94"/>
      <c r="C28" s="91" t="s">
        <v>1555</v>
      </c>
    </row>
    <row r="29" spans="1:6" x14ac:dyDescent="0.2">
      <c r="B29" s="94"/>
      <c r="C29" s="2"/>
      <c r="D29" s="2"/>
    </row>
    <row r="30" spans="1:6" x14ac:dyDescent="0.2">
      <c r="B30" s="94"/>
      <c r="C30" s="91" t="s">
        <v>1556</v>
      </c>
      <c r="F30" s="91">
        <v>48</v>
      </c>
    </row>
    <row r="31" spans="1:6" x14ac:dyDescent="0.2">
      <c r="B31" s="94"/>
    </row>
    <row r="32" spans="1:6" ht="13.5" thickBot="1" x14ac:dyDescent="0.25">
      <c r="B32" s="94"/>
      <c r="F32" s="107">
        <f>SUM(F20:F31)</f>
        <v>5131</v>
      </c>
    </row>
    <row r="33" spans="1:6" ht="13.5" thickTop="1" x14ac:dyDescent="0.2"/>
    <row r="35" spans="1:6" ht="20.100000000000001" customHeight="1" x14ac:dyDescent="0.2">
      <c r="A35" s="96" t="s">
        <v>1465</v>
      </c>
      <c r="B35" s="96" t="s">
        <v>1557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E43" s="98" t="s">
        <v>7</v>
      </c>
      <c r="F43" s="102"/>
    </row>
    <row r="47" spans="1:6" x14ac:dyDescent="0.2">
      <c r="A47" s="101" t="s">
        <v>3972</v>
      </c>
      <c r="B47" s="101"/>
      <c r="E47" s="91" t="s">
        <v>5</v>
      </c>
    </row>
    <row r="48" spans="1:6" s="61" customFormat="1" ht="17.100000000000001" customHeight="1" x14ac:dyDescent="0.2">
      <c r="A48" s="104" t="s">
        <v>35</v>
      </c>
      <c r="B48" s="104"/>
      <c r="E48" s="61" t="s">
        <v>3</v>
      </c>
    </row>
    <row r="49" spans="1:5" x14ac:dyDescent="0.2">
      <c r="A49" s="91" t="s">
        <v>4066</v>
      </c>
      <c r="E49" s="91" t="s">
        <v>2</v>
      </c>
    </row>
    <row r="51" spans="1:5" x14ac:dyDescent="0.2">
      <c r="E51" s="2" t="s">
        <v>1</v>
      </c>
    </row>
    <row r="52" spans="1:5" x14ac:dyDescent="0.2">
      <c r="E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sheetPr codeName="Sheet221">
    <tabColor rgb="FFFFFF00"/>
  </sheetPr>
  <dimension ref="A1:S53"/>
  <sheetViews>
    <sheetView view="pageBreakPreview" zoomScaleNormal="100" zoomScaleSheetLayoutView="100" workbookViewId="0">
      <selection activeCell="H9" sqref="H9:H13"/>
    </sheetView>
  </sheetViews>
  <sheetFormatPr defaultRowHeight="12.75" x14ac:dyDescent="0.2"/>
  <cols>
    <col min="1" max="1" width="15.28515625" style="91" customWidth="1"/>
    <col min="2" max="2" width="13.140625" style="91" customWidth="1"/>
    <col min="3" max="3" width="1.28515625" style="91" customWidth="1"/>
    <col min="4" max="4" width="19.140625" style="91" customWidth="1"/>
    <col min="5" max="5" width="1.42578125" style="91" customWidth="1"/>
    <col min="6" max="6" width="14" style="91" customWidth="1"/>
    <col min="7" max="7" width="11.140625" style="91" customWidth="1"/>
    <col min="8" max="8" width="13.42578125" style="91" customWidth="1"/>
    <col min="9" max="9" width="13.28515625" style="91" customWidth="1"/>
    <col min="10" max="16384" width="9.140625" style="9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G8" s="22" t="s">
        <v>31</v>
      </c>
    </row>
    <row r="9" spans="1:19" x14ac:dyDescent="0.2">
      <c r="G9" s="92" t="s">
        <v>1393</v>
      </c>
      <c r="H9" s="153" t="s">
        <v>8818</v>
      </c>
    </row>
    <row r="10" spans="1:19" x14ac:dyDescent="0.2">
      <c r="A10" s="91" t="s">
        <v>1463</v>
      </c>
      <c r="G10" s="92" t="s">
        <v>1356</v>
      </c>
      <c r="H10" s="155" t="s">
        <v>8808</v>
      </c>
    </row>
    <row r="11" spans="1:19" x14ac:dyDescent="0.2">
      <c r="A11" s="91" t="s">
        <v>1464</v>
      </c>
      <c r="G11" s="92" t="s">
        <v>1364</v>
      </c>
      <c r="H11" s="155" t="s">
        <v>1220</v>
      </c>
    </row>
    <row r="12" spans="1:19" x14ac:dyDescent="0.2">
      <c r="A12" s="91" t="s">
        <v>1245</v>
      </c>
      <c r="G12" s="92" t="s">
        <v>1394</v>
      </c>
      <c r="H12" s="155" t="s">
        <v>8819</v>
      </c>
    </row>
    <row r="13" spans="1:19" x14ac:dyDescent="0.2">
      <c r="A13" s="91" t="s">
        <v>2266</v>
      </c>
      <c r="G13" s="92"/>
      <c r="H13" s="153" t="s">
        <v>7931</v>
      </c>
    </row>
    <row r="16" spans="1:19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8"/>
      <c r="G16" s="17"/>
      <c r="H16" s="15" t="s">
        <v>18</v>
      </c>
      <c r="K16" s="93"/>
      <c r="L16" s="93"/>
      <c r="M16" s="93"/>
      <c r="N16" s="2" t="s">
        <v>6627</v>
      </c>
      <c r="O16" s="2"/>
      <c r="P16" s="2"/>
      <c r="Q16" s="91"/>
      <c r="R16" s="91"/>
      <c r="S16" s="91"/>
    </row>
    <row r="17" spans="1:18" x14ac:dyDescent="0.2">
      <c r="K17" s="93"/>
      <c r="L17" s="93"/>
      <c r="M17" s="93"/>
      <c r="N17" s="2"/>
      <c r="O17" s="2"/>
      <c r="P17" s="2"/>
    </row>
    <row r="18" spans="1:18" x14ac:dyDescent="0.2">
      <c r="A18" s="93"/>
      <c r="B18" s="93"/>
      <c r="C18" s="93"/>
      <c r="D18" s="146" t="s">
        <v>8820</v>
      </c>
      <c r="E18" s="2"/>
      <c r="F18" s="2"/>
      <c r="K18" s="93" t="s">
        <v>6628</v>
      </c>
      <c r="L18" s="93" t="s">
        <v>6629</v>
      </c>
      <c r="M18" s="99"/>
      <c r="N18" s="91" t="s">
        <v>6630</v>
      </c>
      <c r="R18" s="91">
        <f>750+390+650+390+700+420+70+100</f>
        <v>3470</v>
      </c>
    </row>
    <row r="19" spans="1:18" x14ac:dyDescent="0.2">
      <c r="A19" s="93"/>
      <c r="B19" s="93"/>
      <c r="C19" s="93"/>
      <c r="D19" s="2" t="s">
        <v>8800</v>
      </c>
      <c r="E19" s="2"/>
      <c r="F19" s="2"/>
      <c r="K19" s="93"/>
      <c r="L19" s="93"/>
      <c r="M19" s="99"/>
      <c r="N19" s="91" t="s">
        <v>6631</v>
      </c>
      <c r="R19" s="91">
        <v>550</v>
      </c>
    </row>
    <row r="20" spans="1:18" x14ac:dyDescent="0.2">
      <c r="A20" s="93"/>
      <c r="B20" s="93"/>
      <c r="C20" s="93"/>
      <c r="D20" s="2"/>
      <c r="E20" s="2"/>
      <c r="F20" s="2"/>
      <c r="K20" s="93"/>
      <c r="L20" s="93"/>
      <c r="M20" s="501"/>
    </row>
    <row r="21" spans="1:18" x14ac:dyDescent="0.2">
      <c r="A21" s="93" t="s">
        <v>8722</v>
      </c>
      <c r="B21" s="93" t="s">
        <v>8821</v>
      </c>
      <c r="C21" s="482"/>
      <c r="D21" s="91" t="s">
        <v>8822</v>
      </c>
      <c r="H21" s="91">
        <f>85+127.5+600+220+280+120+180+120</f>
        <v>1732.5</v>
      </c>
      <c r="K21" s="93"/>
      <c r="L21" s="93"/>
      <c r="M21" s="99"/>
    </row>
    <row r="22" spans="1:18" x14ac:dyDescent="0.2">
      <c r="A22" s="93"/>
      <c r="B22" s="93"/>
      <c r="C22" s="482"/>
      <c r="D22" s="91" t="s">
        <v>6631</v>
      </c>
      <c r="H22" s="91">
        <v>580.79999999999995</v>
      </c>
      <c r="M22" s="99"/>
      <c r="N22" s="91" t="s">
        <v>2147</v>
      </c>
      <c r="R22" s="91">
        <f>SUM(R18+R19)*6%</f>
        <v>241.2</v>
      </c>
    </row>
    <row r="23" spans="1:18" x14ac:dyDescent="0.2">
      <c r="A23" s="93"/>
      <c r="B23" s="482"/>
      <c r="C23" s="482"/>
      <c r="D23" s="91" t="s">
        <v>4922</v>
      </c>
      <c r="H23" s="91">
        <v>720</v>
      </c>
      <c r="K23" s="93"/>
      <c r="L23" s="99"/>
      <c r="M23" s="99"/>
    </row>
    <row r="24" spans="1:18" x14ac:dyDescent="0.2">
      <c r="C24" s="403"/>
      <c r="K24" s="93"/>
      <c r="L24" s="99"/>
      <c r="M24" s="99"/>
      <c r="N24" s="2" t="s">
        <v>6632</v>
      </c>
    </row>
    <row r="25" spans="1:18" x14ac:dyDescent="0.2">
      <c r="A25" s="93"/>
      <c r="B25" s="439"/>
      <c r="C25" s="439"/>
      <c r="D25" s="2"/>
      <c r="K25" s="93" t="s">
        <v>6567</v>
      </c>
      <c r="L25" s="99" t="s">
        <v>6633</v>
      </c>
      <c r="N25" s="91" t="s">
        <v>6634</v>
      </c>
      <c r="R25" s="91">
        <f>700+300+770+330+170+100</f>
        <v>2370</v>
      </c>
    </row>
    <row r="26" spans="1:18" x14ac:dyDescent="0.2">
      <c r="A26" s="93"/>
      <c r="B26" s="403"/>
      <c r="K26" s="93"/>
      <c r="L26" s="99"/>
      <c r="M26" s="99"/>
      <c r="N26" s="91" t="s">
        <v>6631</v>
      </c>
      <c r="R26" s="91">
        <v>1122</v>
      </c>
    </row>
    <row r="27" spans="1:18" x14ac:dyDescent="0.2">
      <c r="A27" s="93"/>
      <c r="B27" s="439"/>
      <c r="K27" s="93"/>
      <c r="L27" s="99"/>
      <c r="M27" s="99"/>
      <c r="N27" s="91" t="s">
        <v>2147</v>
      </c>
      <c r="R27" s="91">
        <f>SUM(R25+R26)*6%</f>
        <v>209.51999999999998</v>
      </c>
    </row>
    <row r="28" spans="1:18" x14ac:dyDescent="0.2">
      <c r="A28" s="93"/>
      <c r="B28" s="403"/>
      <c r="K28" s="93"/>
      <c r="L28" s="99"/>
      <c r="M28" s="99"/>
      <c r="N28" s="2"/>
    </row>
    <row r="29" spans="1:18" x14ac:dyDescent="0.2">
      <c r="A29" s="93"/>
      <c r="B29" s="403"/>
      <c r="C29" s="403"/>
      <c r="K29" s="93"/>
      <c r="L29" s="99"/>
      <c r="M29" s="99"/>
      <c r="N29" s="2" t="s">
        <v>6635</v>
      </c>
    </row>
    <row r="30" spans="1:18" x14ac:dyDescent="0.2">
      <c r="C30" s="99"/>
      <c r="D30" s="2"/>
      <c r="K30" s="93"/>
      <c r="L30" s="99"/>
      <c r="M30" s="99"/>
      <c r="N30" s="2"/>
    </row>
    <row r="31" spans="1:18" x14ac:dyDescent="0.2">
      <c r="C31" s="99"/>
      <c r="D31" s="2"/>
      <c r="K31" s="93" t="s">
        <v>6636</v>
      </c>
      <c r="L31" s="99" t="s">
        <v>6637</v>
      </c>
      <c r="M31" s="99"/>
      <c r="N31" s="91" t="s">
        <v>6638</v>
      </c>
      <c r="R31" s="91">
        <f>200+100+840+120+700+300+350+150</f>
        <v>2760</v>
      </c>
    </row>
    <row r="32" spans="1:18" x14ac:dyDescent="0.2">
      <c r="A32" s="93"/>
      <c r="B32" s="99"/>
      <c r="C32" s="99"/>
      <c r="D32" s="2"/>
      <c r="K32" s="93"/>
      <c r="L32" s="99"/>
      <c r="M32" s="99"/>
    </row>
    <row r="33" spans="1:13" x14ac:dyDescent="0.2">
      <c r="A33" s="93"/>
      <c r="B33" s="385"/>
      <c r="C33" s="385"/>
      <c r="K33" s="93"/>
      <c r="L33" s="385"/>
      <c r="M33" s="385"/>
    </row>
    <row r="34" spans="1:13" x14ac:dyDescent="0.2">
      <c r="A34" s="93"/>
      <c r="B34" s="93"/>
      <c r="C34" s="93"/>
    </row>
    <row r="35" spans="1:13" ht="13.5" thickBot="1" x14ac:dyDescent="0.25">
      <c r="H35" s="95">
        <f>SUM(H18:H34)</f>
        <v>3033.3</v>
      </c>
    </row>
    <row r="36" spans="1:13" ht="13.5" thickTop="1" x14ac:dyDescent="0.2"/>
    <row r="37" spans="1:13" ht="20.25" customHeight="1" x14ac:dyDescent="0.2">
      <c r="A37" s="96" t="s">
        <v>1465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Thirty-Three and 30/100 -----------</v>
      </c>
      <c r="C37" s="185"/>
      <c r="D37" s="97"/>
      <c r="E37" s="97"/>
      <c r="F37" s="236"/>
      <c r="G37" s="232"/>
      <c r="H37" s="232"/>
    </row>
    <row r="38" spans="1:13" x14ac:dyDescent="0.2">
      <c r="A38" s="94" t="s">
        <v>11</v>
      </c>
    </row>
    <row r="39" spans="1:13" ht="25.5" x14ac:dyDescent="0.2">
      <c r="A39" s="61" t="s">
        <v>10</v>
      </c>
      <c r="F39" s="218" t="s">
        <v>3975</v>
      </c>
      <c r="G39" s="219"/>
      <c r="H39" s="220"/>
    </row>
    <row r="40" spans="1:13" x14ac:dyDescent="0.2">
      <c r="F40" s="227"/>
      <c r="G40" s="227"/>
      <c r="H40" s="227"/>
    </row>
    <row r="41" spans="1:13" x14ac:dyDescent="0.2">
      <c r="F41" s="228"/>
      <c r="G41" s="229"/>
      <c r="H41" s="229"/>
    </row>
    <row r="43" spans="1:13" s="61" customFormat="1" ht="17.100000000000001" customHeight="1" x14ac:dyDescent="0.2">
      <c r="A43" s="101"/>
      <c r="B43" s="101"/>
      <c r="C43" s="91"/>
      <c r="D43" s="91"/>
      <c r="E43" s="91"/>
      <c r="F43" s="91"/>
      <c r="G43" s="91"/>
      <c r="H43" s="91"/>
    </row>
    <row r="44" spans="1:13" x14ac:dyDescent="0.2">
      <c r="G44" s="102"/>
    </row>
    <row r="45" spans="1:13" x14ac:dyDescent="0.2">
      <c r="A45" s="98" t="s">
        <v>8</v>
      </c>
      <c r="D45" s="98" t="s">
        <v>8</v>
      </c>
      <c r="F45" s="98" t="s">
        <v>7</v>
      </c>
    </row>
    <row r="49" spans="1:8" x14ac:dyDescent="0.2">
      <c r="A49" s="101"/>
      <c r="B49" s="101"/>
      <c r="D49" s="101"/>
      <c r="F49" s="101"/>
      <c r="G49" s="101"/>
      <c r="H49" s="101"/>
    </row>
    <row r="50" spans="1:8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</sheetData>
  <customSheetViews>
    <customSheetView guid="{6428A7A0-B31B-40C1-A13E-AD0DCC619E51}" state="hidden" topLeftCell="A5">
      <selection activeCell="I35" sqref="I35"/>
      <pageMargins left="0.55118110236220474" right="0.55118110236220474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0" orientation="portrait" r:id="rId2"/>
  <headerFooter alignWithMargins="0">
    <oddFooter>Page &amp;P of &amp;N</oddFooter>
  </headerFooter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sheetPr codeName="Sheet55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356</v>
      </c>
    </row>
    <row r="10" spans="1:6" x14ac:dyDescent="0.2">
      <c r="A10" s="1" t="s">
        <v>355</v>
      </c>
      <c r="D10" s="20" t="s">
        <v>27</v>
      </c>
      <c r="E10" s="20" t="s">
        <v>354</v>
      </c>
    </row>
    <row r="11" spans="1:6" x14ac:dyDescent="0.2">
      <c r="A11" s="1" t="s">
        <v>353</v>
      </c>
      <c r="D11" s="20" t="s">
        <v>24</v>
      </c>
      <c r="E11" s="20" t="s">
        <v>23</v>
      </c>
    </row>
    <row r="12" spans="1:6" x14ac:dyDescent="0.2">
      <c r="A12" s="1" t="s">
        <v>352</v>
      </c>
      <c r="D12" s="20" t="s">
        <v>22</v>
      </c>
      <c r="E12" s="20" t="s">
        <v>351</v>
      </c>
    </row>
    <row r="13" spans="1:6" x14ac:dyDescent="0.2">
      <c r="A13" s="1" t="s">
        <v>278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1" spans="1:6" x14ac:dyDescent="0.2">
      <c r="A21" s="1" t="s">
        <v>350</v>
      </c>
      <c r="C21" s="1" t="s">
        <v>349</v>
      </c>
      <c r="F21" s="1">
        <v>210</v>
      </c>
    </row>
    <row r="22" spans="1:6" x14ac:dyDescent="0.2">
      <c r="C22" s="1" t="s">
        <v>348</v>
      </c>
    </row>
    <row r="23" spans="1:6" x14ac:dyDescent="0.2">
      <c r="C23" s="1" t="s">
        <v>347</v>
      </c>
    </row>
    <row r="24" spans="1:6" x14ac:dyDescent="0.2">
      <c r="C24" s="1" t="s">
        <v>346</v>
      </c>
    </row>
    <row r="32" spans="1:6" ht="13.5" thickBot="1" x14ac:dyDescent="0.25">
      <c r="F32" s="11">
        <f>SUM(F18:F31)</f>
        <v>210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345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sheetPr codeName="Sheet4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946</v>
      </c>
    </row>
    <row r="10" spans="1:6" x14ac:dyDescent="0.2">
      <c r="A10" s="1" t="s">
        <v>945</v>
      </c>
      <c r="D10" s="20" t="s">
        <v>27</v>
      </c>
      <c r="E10" s="20" t="s">
        <v>922</v>
      </c>
    </row>
    <row r="11" spans="1:6" x14ac:dyDescent="0.2">
      <c r="A11" s="1" t="s">
        <v>944</v>
      </c>
      <c r="D11" s="20" t="s">
        <v>24</v>
      </c>
      <c r="E11" s="20" t="s">
        <v>23</v>
      </c>
    </row>
    <row r="12" spans="1:6" x14ac:dyDescent="0.2">
      <c r="A12" s="1" t="s">
        <v>631</v>
      </c>
      <c r="D12" s="20" t="s">
        <v>22</v>
      </c>
      <c r="E12" s="20" t="s">
        <v>943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21"/>
    </row>
    <row r="21" spans="1:6" x14ac:dyDescent="0.2">
      <c r="C21" s="21"/>
    </row>
    <row r="23" spans="1:6" x14ac:dyDescent="0.2">
      <c r="A23" s="1" t="s">
        <v>942</v>
      </c>
      <c r="C23" s="1" t="s">
        <v>941</v>
      </c>
      <c r="F23" s="1">
        <v>450</v>
      </c>
    </row>
    <row r="24" spans="1:6" x14ac:dyDescent="0.2">
      <c r="C24" s="1" t="s">
        <v>940</v>
      </c>
    </row>
    <row r="25" spans="1:6" x14ac:dyDescent="0.2">
      <c r="C25" s="1" t="s">
        <v>939</v>
      </c>
    </row>
    <row r="26" spans="1:6" x14ac:dyDescent="0.2">
      <c r="C26" s="21"/>
    </row>
    <row r="27" spans="1:6" x14ac:dyDescent="0.2">
      <c r="C27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SUM(F19:F32)</f>
        <v>450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938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9"/>
  <dimension ref="A1:L55"/>
  <sheetViews>
    <sheetView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5.855468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D9" s="92" t="s">
        <v>1317</v>
      </c>
      <c r="E9" s="91" t="s">
        <v>4870</v>
      </c>
    </row>
    <row r="10" spans="1:12" x14ac:dyDescent="0.2">
      <c r="A10" s="91" t="s">
        <v>4322</v>
      </c>
      <c r="D10" s="92" t="s">
        <v>1329</v>
      </c>
      <c r="E10" s="92" t="s">
        <v>4861</v>
      </c>
    </row>
    <row r="11" spans="1:12" x14ac:dyDescent="0.2">
      <c r="A11" s="91" t="s">
        <v>4323</v>
      </c>
      <c r="D11" s="92" t="s">
        <v>1330</v>
      </c>
      <c r="E11" s="92" t="s">
        <v>1220</v>
      </c>
    </row>
    <row r="12" spans="1:12" x14ac:dyDescent="0.2">
      <c r="A12" s="91" t="s">
        <v>1015</v>
      </c>
      <c r="D12" s="92" t="s">
        <v>1331</v>
      </c>
      <c r="E12" s="92" t="s">
        <v>4871</v>
      </c>
    </row>
    <row r="13" spans="1:12" x14ac:dyDescent="0.2">
      <c r="A13" s="91" t="s">
        <v>4324</v>
      </c>
      <c r="E13" s="153"/>
    </row>
    <row r="15" spans="1:12" x14ac:dyDescent="0.2">
      <c r="L15" s="80" t="s">
        <v>658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4848</v>
      </c>
    </row>
    <row r="19" spans="1:6" x14ac:dyDescent="0.2">
      <c r="A19" s="106"/>
      <c r="C19" s="2"/>
    </row>
    <row r="20" spans="1:6" x14ac:dyDescent="0.2">
      <c r="A20" s="93" t="s">
        <v>4824</v>
      </c>
      <c r="B20" s="99" t="s">
        <v>4872</v>
      </c>
      <c r="C20" s="91" t="s">
        <v>4873</v>
      </c>
      <c r="F20" s="91">
        <v>3780</v>
      </c>
    </row>
    <row r="21" spans="1:6" x14ac:dyDescent="0.2">
      <c r="A21" s="93"/>
      <c r="B21" s="94"/>
      <c r="C21" s="91" t="s">
        <v>4875</v>
      </c>
    </row>
    <row r="22" spans="1:6" x14ac:dyDescent="0.2">
      <c r="A22" s="93"/>
      <c r="B22" s="99"/>
    </row>
    <row r="23" spans="1:6" x14ac:dyDescent="0.2">
      <c r="C23" s="91" t="s">
        <v>4874</v>
      </c>
      <c r="F23" s="91">
        <v>3160</v>
      </c>
    </row>
    <row r="25" spans="1:6" x14ac:dyDescent="0.2">
      <c r="A25" s="137" t="s">
        <v>4738</v>
      </c>
      <c r="B25" s="99" t="s">
        <v>4876</v>
      </c>
      <c r="C25" s="91" t="s">
        <v>4877</v>
      </c>
      <c r="F25" s="91">
        <v>1802</v>
      </c>
    </row>
    <row r="27" spans="1:6" x14ac:dyDescent="0.2">
      <c r="C27" s="91" t="s">
        <v>4878</v>
      </c>
      <c r="F27" s="91">
        <v>4495.5</v>
      </c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13237.5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Thirteen Thousand Two Hundred Thirty-Seven and 50/100 -----------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  <row r="55" spans="1:6" x14ac:dyDescent="0.2">
      <c r="D55" s="2"/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1-000000000000}">
  <sheetPr codeName="Sheet4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954</v>
      </c>
    </row>
    <row r="10" spans="1:6" x14ac:dyDescent="0.2">
      <c r="A10" s="21" t="s">
        <v>953</v>
      </c>
      <c r="D10" s="20" t="s">
        <v>27</v>
      </c>
      <c r="E10" s="20" t="s">
        <v>952</v>
      </c>
    </row>
    <row r="11" spans="1:6" x14ac:dyDescent="0.2">
      <c r="A11" s="21" t="s">
        <v>951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950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949</v>
      </c>
    </row>
    <row r="20" spans="1:6" x14ac:dyDescent="0.2">
      <c r="C20" s="36" t="s">
        <v>948</v>
      </c>
    </row>
    <row r="21" spans="1:6" x14ac:dyDescent="0.2">
      <c r="C21" s="21"/>
    </row>
    <row r="23" spans="1:6" x14ac:dyDescent="0.2">
      <c r="A23" s="21"/>
      <c r="C23" s="21"/>
    </row>
    <row r="24" spans="1:6" x14ac:dyDescent="0.2">
      <c r="C24" s="21" t="s">
        <v>947</v>
      </c>
      <c r="F24" s="1">
        <v>1000</v>
      </c>
    </row>
    <row r="25" spans="1:6" x14ac:dyDescent="0.2">
      <c r="C25" s="21"/>
    </row>
    <row r="26" spans="1:6" x14ac:dyDescent="0.2">
      <c r="C26" s="21"/>
    </row>
    <row r="27" spans="1:6" x14ac:dyDescent="0.2">
      <c r="C27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SUM(F19:F32)</f>
        <v>1000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24" t="s">
        <v>899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1-000000000000}">
  <sheetPr codeName="Sheet257"/>
  <dimension ref="A1:F50"/>
  <sheetViews>
    <sheetView workbookViewId="0">
      <selection activeCell="F34" sqref="F34"/>
    </sheetView>
  </sheetViews>
  <sheetFormatPr defaultRowHeight="12.75" x14ac:dyDescent="0.2"/>
  <cols>
    <col min="1" max="1" width="16.28515625" style="153" customWidth="1"/>
    <col min="2" max="2" width="15.28515625" style="153" customWidth="1"/>
    <col min="3" max="3" width="20.28515625" style="153" customWidth="1"/>
    <col min="4" max="4" width="16.42578125" style="153" customWidth="1"/>
    <col min="5" max="5" width="10.140625" style="153" customWidth="1"/>
    <col min="6" max="6" width="11.8554687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2224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1517</v>
      </c>
      <c r="E9" s="153" t="s">
        <v>2691</v>
      </c>
    </row>
    <row r="10" spans="1:6" x14ac:dyDescent="0.2">
      <c r="A10" s="153" t="s">
        <v>2692</v>
      </c>
      <c r="D10" s="155" t="s">
        <v>1357</v>
      </c>
      <c r="E10" s="155" t="s">
        <v>2690</v>
      </c>
    </row>
    <row r="11" spans="1:6" x14ac:dyDescent="0.2">
      <c r="D11" s="155" t="s">
        <v>1330</v>
      </c>
      <c r="E11" s="155" t="s">
        <v>1220</v>
      </c>
    </row>
    <row r="12" spans="1:6" x14ac:dyDescent="0.2">
      <c r="D12" s="155" t="s">
        <v>1377</v>
      </c>
      <c r="E12" s="155" t="s">
        <v>770</v>
      </c>
    </row>
    <row r="16" spans="1:6" s="162" customFormat="1" ht="20.100000000000001" customHeight="1" x14ac:dyDescent="0.2">
      <c r="A16" s="157" t="s">
        <v>20</v>
      </c>
      <c r="B16" s="157"/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2693</v>
      </c>
    </row>
    <row r="19" spans="1:6" x14ac:dyDescent="0.2">
      <c r="C19" s="163" t="s">
        <v>2669</v>
      </c>
      <c r="F19" s="110"/>
    </row>
    <row r="21" spans="1:6" x14ac:dyDescent="0.2">
      <c r="A21" s="187" t="s">
        <v>11</v>
      </c>
      <c r="B21" s="173"/>
      <c r="C21" s="153" t="s">
        <v>2694</v>
      </c>
      <c r="F21" s="110">
        <f>660*2.52</f>
        <v>1663.2</v>
      </c>
    </row>
    <row r="22" spans="1:6" x14ac:dyDescent="0.2">
      <c r="A22" s="180"/>
      <c r="B22" s="173"/>
      <c r="F22" s="110"/>
    </row>
    <row r="23" spans="1:6" x14ac:dyDescent="0.2">
      <c r="B23" s="181"/>
      <c r="C23" s="153" t="s">
        <v>52</v>
      </c>
      <c r="F23" s="110">
        <v>1</v>
      </c>
    </row>
    <row r="24" spans="1:6" x14ac:dyDescent="0.2">
      <c r="A24" s="180"/>
      <c r="B24" s="169"/>
      <c r="F24" s="110"/>
    </row>
    <row r="25" spans="1:6" x14ac:dyDescent="0.2">
      <c r="A25" s="180"/>
    </row>
    <row r="26" spans="1:6" x14ac:dyDescent="0.2">
      <c r="A26" s="179"/>
    </row>
    <row r="27" spans="1:6" x14ac:dyDescent="0.2">
      <c r="A27" s="180"/>
      <c r="F27" s="110"/>
    </row>
    <row r="30" spans="1:6" ht="13.5" thickBot="1" x14ac:dyDescent="0.25">
      <c r="F30" s="182">
        <f>SUM(F18:F29)</f>
        <v>1664.2</v>
      </c>
    </row>
    <row r="31" spans="1:6" ht="13.5" thickTop="1" x14ac:dyDescent="0.2"/>
    <row r="33" spans="1:6" ht="20.100000000000001" customHeight="1" x14ac:dyDescent="0.2">
      <c r="A33" s="171" t="s">
        <v>122</v>
      </c>
      <c r="B33" s="171" t="s">
        <v>2695</v>
      </c>
      <c r="C33" s="172"/>
      <c r="D33" s="172"/>
      <c r="E33" s="172"/>
      <c r="F33" s="172"/>
    </row>
    <row r="34" spans="1:6" ht="13.5" thickBot="1" x14ac:dyDescent="0.25">
      <c r="A34" s="169" t="s">
        <v>11</v>
      </c>
      <c r="F34" s="170"/>
    </row>
    <row r="35" spans="1:6" ht="13.5" thickTop="1" x14ac:dyDescent="0.2">
      <c r="A35" s="153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53" t="s">
        <v>121</v>
      </c>
      <c r="C39" s="173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5" spans="1:6" x14ac:dyDescent="0.2">
      <c r="A45" s="174" t="s">
        <v>120</v>
      </c>
      <c r="B45" s="174"/>
      <c r="D45" s="174"/>
      <c r="E45" s="174"/>
      <c r="F45" s="174"/>
    </row>
    <row r="46" spans="1:6" s="178" customFormat="1" ht="17.100000000000001" customHeight="1" x14ac:dyDescent="0.2">
      <c r="A46" s="177" t="s">
        <v>35</v>
      </c>
      <c r="B46" s="177"/>
      <c r="C46" s="156"/>
      <c r="D46" s="156" t="s">
        <v>3</v>
      </c>
      <c r="E46" s="156"/>
      <c r="F46" s="156"/>
    </row>
    <row r="47" spans="1:6" x14ac:dyDescent="0.2">
      <c r="A47" s="153" t="s">
        <v>3972</v>
      </c>
      <c r="D47" s="153" t="s">
        <v>2</v>
      </c>
    </row>
    <row r="49" spans="1:4" x14ac:dyDescent="0.2">
      <c r="A49" s="153" t="s">
        <v>4066</v>
      </c>
      <c r="D49" s="163" t="s">
        <v>1</v>
      </c>
    </row>
    <row r="50" spans="1:4" x14ac:dyDescent="0.2">
      <c r="D50" s="163" t="s">
        <v>0</v>
      </c>
    </row>
  </sheetData>
  <customSheetViews>
    <customSheetView guid="{6428A7A0-B31B-40C1-A13E-AD0DCC619E51}">
      <selection activeCell="E9" sqref="E9"/>
      <pageMargins left="0.74803149606299213" right="0.74803149606299213" top="0.98425196850393704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2"/>
  <headerFooter alignWithMargins="0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1-000000000000}">
  <sheetPr codeName="Sheet25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2771</v>
      </c>
      <c r="D9" s="92" t="s">
        <v>1358</v>
      </c>
      <c r="E9" s="91" t="s">
        <v>4464</v>
      </c>
    </row>
    <row r="10" spans="1:6" x14ac:dyDescent="0.2">
      <c r="A10" s="91" t="s">
        <v>2772</v>
      </c>
      <c r="D10" s="92" t="s">
        <v>1357</v>
      </c>
      <c r="E10" s="98" t="s">
        <v>4446</v>
      </c>
    </row>
    <row r="11" spans="1:6" x14ac:dyDescent="0.2">
      <c r="A11" s="91" t="s">
        <v>1284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4465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 t="s">
        <v>4466</v>
      </c>
      <c r="B18" s="91" t="s">
        <v>4467</v>
      </c>
      <c r="C18" s="91" t="s">
        <v>4468</v>
      </c>
      <c r="F18" s="91">
        <f>515.38+617.69</f>
        <v>1133.0700000000002</v>
      </c>
    </row>
    <row r="19" spans="1:6" x14ac:dyDescent="0.2">
      <c r="A19" s="93"/>
      <c r="B19" s="93"/>
      <c r="C19" s="91" t="s">
        <v>4469</v>
      </c>
    </row>
    <row r="20" spans="1:6" x14ac:dyDescent="0.2">
      <c r="A20" s="93"/>
      <c r="B20" s="93"/>
      <c r="C20" s="91" t="s">
        <v>4470</v>
      </c>
    </row>
    <row r="24" spans="1:6" x14ac:dyDescent="0.2">
      <c r="A24" s="93"/>
      <c r="B24" s="93"/>
    </row>
    <row r="26" spans="1:6" x14ac:dyDescent="0.2">
      <c r="B26" s="94"/>
    </row>
    <row r="33" spans="1:6" ht="13.5" thickBot="1" x14ac:dyDescent="0.25">
      <c r="F33" s="95">
        <f>SUM(F18:F32)</f>
        <v>1133.0700000000002</v>
      </c>
    </row>
    <row r="34" spans="1:6" ht="13.5" thickTop="1" x14ac:dyDescent="0.2">
      <c r="F34" s="238"/>
    </row>
    <row r="35" spans="1:6" ht="20.100000000000001" customHeight="1" x14ac:dyDescent="0.2">
      <c r="A35" s="96" t="s">
        <v>1075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One Hundred Thirty-Three and 7/100 -----------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8" t="s">
        <v>10</v>
      </c>
      <c r="D37" s="218" t="s">
        <v>3975</v>
      </c>
      <c r="E37" s="219"/>
      <c r="F37" s="220"/>
    </row>
    <row r="38" spans="1:6" x14ac:dyDescent="0.2">
      <c r="A38" s="98"/>
    </row>
    <row r="39" spans="1:6" x14ac:dyDescent="0.2">
      <c r="A39" s="98"/>
      <c r="D39" s="227"/>
      <c r="E39" s="227"/>
      <c r="F39" s="227"/>
    </row>
    <row r="40" spans="1:6" x14ac:dyDescent="0.2">
      <c r="A40" s="98"/>
      <c r="C40" s="99"/>
      <c r="D40" s="228"/>
      <c r="E40" s="229"/>
      <c r="F40" s="229"/>
    </row>
    <row r="41" spans="1:6" x14ac:dyDescent="0.2">
      <c r="A41" s="101"/>
      <c r="B41" s="101"/>
    </row>
    <row r="42" spans="1:6" x14ac:dyDescent="0.2">
      <c r="A42" s="98"/>
    </row>
    <row r="43" spans="1:6" x14ac:dyDescent="0.2">
      <c r="A43" s="98" t="s">
        <v>8</v>
      </c>
      <c r="D43" s="98" t="s">
        <v>7</v>
      </c>
      <c r="F43" s="102"/>
    </row>
    <row r="44" spans="1:6" x14ac:dyDescent="0.2">
      <c r="A44" s="98"/>
    </row>
    <row r="45" spans="1:6" x14ac:dyDescent="0.2">
      <c r="A45" s="98"/>
    </row>
    <row r="46" spans="1:6" x14ac:dyDescent="0.2">
      <c r="A46" s="98"/>
    </row>
    <row r="47" spans="1:6" x14ac:dyDescent="0.2">
      <c r="A47" s="100"/>
      <c r="B47" s="101"/>
      <c r="D47" s="101"/>
      <c r="E47" s="101"/>
      <c r="F47" s="101"/>
    </row>
    <row r="48" spans="1:6" s="61" customFormat="1" ht="17.100000000000001" customHeight="1" x14ac:dyDescent="0.2">
      <c r="A48" s="98" t="s">
        <v>4066</v>
      </c>
      <c r="B48" s="104"/>
      <c r="D48" s="61" t="s">
        <v>3</v>
      </c>
    </row>
    <row r="49" spans="1:4" x14ac:dyDescent="0.2">
      <c r="A49" s="98"/>
      <c r="D49" s="91" t="s">
        <v>2</v>
      </c>
    </row>
    <row r="50" spans="1:4" x14ac:dyDescent="0.2">
      <c r="A50" s="98"/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1-000000000000}">
  <sheetPr codeName="Sheet429">
    <pageSetUpPr fitToPage="1"/>
  </sheetPr>
  <dimension ref="A1:H52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21" style="153" customWidth="1"/>
    <col min="4" max="4" width="16.42578125" style="153" customWidth="1"/>
    <col min="5" max="5" width="9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91" t="s">
        <v>5154</v>
      </c>
    </row>
    <row r="10" spans="1:6" x14ac:dyDescent="0.2">
      <c r="A10" s="153" t="s">
        <v>4531</v>
      </c>
      <c r="D10" s="155" t="s">
        <v>1329</v>
      </c>
      <c r="E10" s="92" t="s">
        <v>5131</v>
      </c>
    </row>
    <row r="11" spans="1:6" x14ac:dyDescent="0.2">
      <c r="A11" s="153" t="s">
        <v>4395</v>
      </c>
      <c r="D11" s="155" t="s">
        <v>1330</v>
      </c>
      <c r="E11" s="92" t="s">
        <v>1220</v>
      </c>
    </row>
    <row r="12" spans="1:6" x14ac:dyDescent="0.2">
      <c r="A12" s="153" t="s">
        <v>4396</v>
      </c>
      <c r="D12" s="155" t="s">
        <v>1331</v>
      </c>
      <c r="E12" s="94" t="s">
        <v>5155</v>
      </c>
    </row>
    <row r="13" spans="1:6" x14ac:dyDescent="0.2">
      <c r="A13" s="153" t="s">
        <v>4397</v>
      </c>
    </row>
    <row r="14" spans="1:6" x14ac:dyDescent="0.2">
      <c r="A14" s="153" t="s">
        <v>4398</v>
      </c>
    </row>
    <row r="15" spans="1:6" x14ac:dyDescent="0.2">
      <c r="A15" s="153" t="s">
        <v>2926</v>
      </c>
    </row>
    <row r="16" spans="1:6" s="162" customFormat="1" ht="20.100000000000001" customHeight="1" x14ac:dyDescent="0.2">
      <c r="A16" s="158" t="s">
        <v>1226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8" x14ac:dyDescent="0.2">
      <c r="A17" s="164"/>
    </row>
    <row r="18" spans="1:8" x14ac:dyDescent="0.2">
      <c r="A18" s="91"/>
      <c r="B18" s="91"/>
      <c r="C18" s="2" t="s">
        <v>5147</v>
      </c>
      <c r="D18" s="91"/>
      <c r="E18" s="91"/>
      <c r="F18" s="91"/>
      <c r="G18" s="1"/>
      <c r="H18" s="1"/>
    </row>
    <row r="19" spans="1:8" x14ac:dyDescent="0.2">
      <c r="A19" s="106"/>
      <c r="B19" s="91"/>
      <c r="C19" s="2"/>
      <c r="D19" s="91"/>
      <c r="E19" s="91"/>
      <c r="F19" s="91"/>
      <c r="G19" s="1"/>
      <c r="H19" s="1"/>
    </row>
    <row r="20" spans="1:8" x14ac:dyDescent="0.2">
      <c r="A20" s="137" t="s">
        <v>5148</v>
      </c>
      <c r="B20" s="93" t="s">
        <v>5156</v>
      </c>
      <c r="C20" s="91" t="s">
        <v>5157</v>
      </c>
      <c r="D20" s="91"/>
      <c r="E20" s="91"/>
      <c r="F20" s="91">
        <v>1350</v>
      </c>
      <c r="G20" s="1"/>
      <c r="H20" s="1"/>
    </row>
    <row r="21" spans="1:8" x14ac:dyDescent="0.2">
      <c r="A21" s="106"/>
      <c r="B21" s="91"/>
      <c r="C21" s="91" t="s">
        <v>2147</v>
      </c>
      <c r="D21" s="91"/>
      <c r="E21" s="91"/>
      <c r="F21" s="91">
        <f>F20*6%</f>
        <v>81</v>
      </c>
      <c r="G21" s="1"/>
      <c r="H21" s="1"/>
    </row>
    <row r="22" spans="1:8" x14ac:dyDescent="0.2">
      <c r="A22" s="106"/>
      <c r="B22" s="91"/>
      <c r="C22" s="91"/>
      <c r="D22" s="91"/>
      <c r="E22" s="91"/>
      <c r="F22" s="91"/>
      <c r="G22" s="1"/>
      <c r="H22" s="1"/>
    </row>
    <row r="23" spans="1:8" x14ac:dyDescent="0.2">
      <c r="A23" s="93"/>
      <c r="B23" s="99"/>
      <c r="C23" s="2" t="s">
        <v>4706</v>
      </c>
      <c r="D23" s="91"/>
      <c r="E23" s="91"/>
      <c r="F23" s="91"/>
      <c r="G23" s="1"/>
      <c r="H23" s="1"/>
    </row>
    <row r="24" spans="1:8" x14ac:dyDescent="0.2">
      <c r="A24" s="91"/>
      <c r="B24" s="91"/>
      <c r="C24" s="91"/>
      <c r="D24" s="91"/>
      <c r="E24" s="91"/>
      <c r="F24" s="91"/>
    </row>
    <row r="25" spans="1:8" x14ac:dyDescent="0.2">
      <c r="A25" s="93" t="s">
        <v>5158</v>
      </c>
      <c r="B25" s="93" t="s">
        <v>5159</v>
      </c>
      <c r="C25" s="91" t="s">
        <v>5160</v>
      </c>
      <c r="D25" s="91"/>
      <c r="E25" s="91"/>
      <c r="F25" s="91">
        <v>450</v>
      </c>
    </row>
    <row r="26" spans="1:8" x14ac:dyDescent="0.2">
      <c r="A26" s="93"/>
      <c r="B26" s="93"/>
      <c r="C26" s="91" t="s">
        <v>2147</v>
      </c>
      <c r="D26" s="91"/>
      <c r="E26" s="91"/>
      <c r="F26" s="91">
        <f>F25*6%</f>
        <v>27</v>
      </c>
    </row>
    <row r="27" spans="1:8" x14ac:dyDescent="0.2">
      <c r="A27" s="93"/>
      <c r="B27" s="99"/>
      <c r="C27" s="91"/>
      <c r="D27" s="91"/>
      <c r="E27" s="91"/>
      <c r="F27" s="91"/>
    </row>
    <row r="28" spans="1:8" x14ac:dyDescent="0.2">
      <c r="A28" s="91"/>
      <c r="B28" s="91"/>
      <c r="C28" s="91"/>
      <c r="D28" s="91"/>
      <c r="E28" s="91"/>
      <c r="F28" s="91"/>
    </row>
    <row r="29" spans="1:8" x14ac:dyDescent="0.2">
      <c r="A29" s="168"/>
    </row>
    <row r="30" spans="1:8" x14ac:dyDescent="0.2">
      <c r="A30" s="168"/>
      <c r="B30" s="152"/>
    </row>
    <row r="31" spans="1:8" x14ac:dyDescent="0.2">
      <c r="A31" s="152"/>
      <c r="B31" s="152"/>
      <c r="C31" s="152"/>
      <c r="D31" s="152"/>
      <c r="E31" s="152"/>
      <c r="F31" s="152"/>
    </row>
    <row r="32" spans="1:8" x14ac:dyDescent="0.2">
      <c r="A32" s="164"/>
      <c r="F32" s="152"/>
    </row>
    <row r="33" spans="1:6" ht="13.5" thickBot="1" x14ac:dyDescent="0.25">
      <c r="A33" s="164"/>
      <c r="F33" s="170">
        <f>SUM(F19:F31)</f>
        <v>1908</v>
      </c>
    </row>
    <row r="34" spans="1:6" ht="13.5" thickTop="1" x14ac:dyDescent="0.2">
      <c r="A34" s="164"/>
    </row>
    <row r="35" spans="1:6" ht="20.100000000000001" customHeight="1" x14ac:dyDescent="0.2">
      <c r="A35" s="171" t="s">
        <v>1248</v>
      </c>
      <c r="B35" s="213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Nine Hundred Eight and NO/100 -----------</v>
      </c>
      <c r="C35" s="172"/>
      <c r="D35" s="172"/>
      <c r="E35" s="172"/>
      <c r="F35" s="172"/>
    </row>
    <row r="36" spans="1:6" x14ac:dyDescent="0.2">
      <c r="A36" s="169"/>
    </row>
    <row r="37" spans="1:6" ht="25.5" x14ac:dyDescent="0.2">
      <c r="A37" s="153" t="s">
        <v>10</v>
      </c>
      <c r="D37" s="242" t="s">
        <v>3975</v>
      </c>
      <c r="E37" s="243"/>
      <c r="F37" s="244"/>
    </row>
    <row r="39" spans="1:6" x14ac:dyDescent="0.2">
      <c r="D39" s="258"/>
      <c r="E39" s="258"/>
      <c r="F39" s="258"/>
    </row>
    <row r="40" spans="1:6" x14ac:dyDescent="0.2">
      <c r="A40" s="153" t="s">
        <v>120</v>
      </c>
      <c r="C40" s="173"/>
      <c r="D40" s="259"/>
      <c r="E40" s="260"/>
      <c r="F40" s="260"/>
    </row>
    <row r="41" spans="1:6" x14ac:dyDescent="0.2">
      <c r="A41" s="250"/>
      <c r="B41" s="174"/>
    </row>
    <row r="43" spans="1:6" x14ac:dyDescent="0.2">
      <c r="A43" s="153" t="s">
        <v>8</v>
      </c>
      <c r="D43" s="175" t="s">
        <v>7</v>
      </c>
      <c r="F43" s="176"/>
    </row>
    <row r="47" spans="1:6" x14ac:dyDescent="0.2">
      <c r="A47" s="174"/>
      <c r="B47" s="174"/>
      <c r="D47" s="174"/>
      <c r="E47" s="174"/>
      <c r="F47" s="174"/>
    </row>
    <row r="48" spans="1:6" s="178" customFormat="1" ht="17.100000000000001" customHeight="1" x14ac:dyDescent="0.2">
      <c r="A48" s="153" t="s">
        <v>4066</v>
      </c>
      <c r="B48" s="177"/>
      <c r="C48" s="156"/>
      <c r="D48" s="156" t="s">
        <v>3</v>
      </c>
      <c r="E48" s="156"/>
      <c r="F48" s="156"/>
    </row>
    <row r="49" spans="4:4" x14ac:dyDescent="0.2">
      <c r="D49" s="153" t="s">
        <v>2</v>
      </c>
    </row>
    <row r="51" spans="4:4" x14ac:dyDescent="0.2">
      <c r="D51" s="163" t="s">
        <v>1</v>
      </c>
    </row>
    <row r="52" spans="4:4" x14ac:dyDescent="0.2">
      <c r="D52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1-000000000000}">
  <sheetPr codeName="Sheet572"/>
  <dimension ref="A1:G54"/>
  <sheetViews>
    <sheetView view="pageBreakPreview" topLeftCell="A13" zoomScaleNormal="100" zoomScaleSheetLayoutView="100" workbookViewId="0">
      <selection activeCell="F34" sqref="F34"/>
    </sheetView>
  </sheetViews>
  <sheetFormatPr defaultRowHeight="12.75" x14ac:dyDescent="0.2"/>
  <cols>
    <col min="1" max="1" width="14.5703125" style="91" customWidth="1"/>
    <col min="2" max="2" width="12.7109375" style="91" customWidth="1"/>
    <col min="3" max="3" width="1.28515625" style="91" customWidth="1"/>
    <col min="4" max="4" width="19.42578125" style="91" customWidth="1"/>
    <col min="5" max="5" width="1.42578125" style="91" customWidth="1"/>
    <col min="6" max="6" width="16.42578125" style="91" customWidth="1"/>
    <col min="7" max="7" width="16.140625" style="91" customWidth="1"/>
    <col min="8" max="8" width="13.28515625" style="91" customWidth="1"/>
    <col min="9" max="16384" width="9.140625" style="9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7" x14ac:dyDescent="0.2">
      <c r="A2" s="522" t="s">
        <v>33</v>
      </c>
      <c r="B2" s="522"/>
      <c r="C2" s="522"/>
      <c r="D2" s="522"/>
      <c r="E2" s="522"/>
      <c r="F2" s="522"/>
      <c r="G2" s="522"/>
    </row>
    <row r="3" spans="1:7" x14ac:dyDescent="0.2">
      <c r="A3" s="522" t="s">
        <v>1829</v>
      </c>
      <c r="B3" s="522"/>
      <c r="C3" s="522"/>
      <c r="D3" s="522"/>
      <c r="E3" s="522"/>
      <c r="F3" s="522"/>
      <c r="G3" s="522"/>
    </row>
    <row r="4" spans="1:7" x14ac:dyDescent="0.2">
      <c r="A4" s="522" t="s">
        <v>1828</v>
      </c>
      <c r="B4" s="522"/>
      <c r="C4" s="522"/>
      <c r="D4" s="522"/>
      <c r="E4" s="522"/>
      <c r="F4" s="522"/>
      <c r="G4" s="522"/>
    </row>
    <row r="8" spans="1:7" x14ac:dyDescent="0.2">
      <c r="A8" s="91" t="s">
        <v>32</v>
      </c>
      <c r="F8" s="22" t="s">
        <v>31</v>
      </c>
    </row>
    <row r="9" spans="1:7" x14ac:dyDescent="0.2">
      <c r="F9" s="92" t="s">
        <v>1393</v>
      </c>
      <c r="G9" s="91" t="s">
        <v>5640</v>
      </c>
    </row>
    <row r="10" spans="1:7" x14ac:dyDescent="0.2">
      <c r="A10" s="91" t="s">
        <v>5642</v>
      </c>
      <c r="F10" s="92" t="s">
        <v>1356</v>
      </c>
      <c r="G10" s="92" t="s">
        <v>5638</v>
      </c>
    </row>
    <row r="11" spans="1:7" x14ac:dyDescent="0.2">
      <c r="A11" s="91" t="s">
        <v>5643</v>
      </c>
      <c r="F11" s="92" t="s">
        <v>1364</v>
      </c>
      <c r="G11" s="92" t="s">
        <v>1220</v>
      </c>
    </row>
    <row r="12" spans="1:7" x14ac:dyDescent="0.2">
      <c r="A12" s="91" t="s">
        <v>5644</v>
      </c>
      <c r="F12" s="92" t="s">
        <v>1394</v>
      </c>
      <c r="G12" s="94" t="s">
        <v>5641</v>
      </c>
    </row>
    <row r="13" spans="1:7" x14ac:dyDescent="0.2">
      <c r="A13" s="91" t="s">
        <v>5645</v>
      </c>
      <c r="G13" s="92"/>
    </row>
    <row r="14" spans="1:7" x14ac:dyDescent="0.2">
      <c r="A14" s="91" t="s">
        <v>5646</v>
      </c>
    </row>
    <row r="15" spans="1:7" x14ac:dyDescent="0.2">
      <c r="A15" s="91" t="s">
        <v>5647</v>
      </c>
    </row>
    <row r="16" spans="1:7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8"/>
      <c r="G16" s="15" t="s">
        <v>18</v>
      </c>
    </row>
    <row r="18" spans="1:7" x14ac:dyDescent="0.2">
      <c r="A18" s="93"/>
      <c r="B18" s="93"/>
      <c r="C18" s="93"/>
      <c r="D18" s="2" t="s">
        <v>4580</v>
      </c>
      <c r="E18" s="2"/>
      <c r="F18" s="2"/>
    </row>
    <row r="19" spans="1:7" x14ac:dyDescent="0.2">
      <c r="A19" s="93"/>
      <c r="B19" s="93"/>
      <c r="C19" s="93"/>
      <c r="D19" s="2"/>
      <c r="E19" s="2"/>
      <c r="F19" s="2"/>
    </row>
    <row r="20" spans="1:7" x14ac:dyDescent="0.2">
      <c r="A20" s="93" t="s">
        <v>5548</v>
      </c>
      <c r="B20" s="93" t="s">
        <v>5648</v>
      </c>
      <c r="D20" s="91" t="s">
        <v>5649</v>
      </c>
      <c r="G20" s="91">
        <v>20</v>
      </c>
    </row>
    <row r="21" spans="1:7" x14ac:dyDescent="0.2">
      <c r="A21" s="93"/>
      <c r="B21" s="278"/>
      <c r="C21" s="93"/>
      <c r="D21" s="91" t="s">
        <v>5650</v>
      </c>
      <c r="G21" s="91">
        <v>102</v>
      </c>
    </row>
    <row r="22" spans="1:7" x14ac:dyDescent="0.2">
      <c r="A22" s="93"/>
      <c r="B22" s="278"/>
      <c r="C22" s="93"/>
      <c r="D22" s="91" t="s">
        <v>5651</v>
      </c>
      <c r="G22" s="91">
        <v>9520</v>
      </c>
    </row>
    <row r="23" spans="1:7" x14ac:dyDescent="0.2">
      <c r="A23" s="93"/>
      <c r="B23" s="93"/>
      <c r="C23" s="93"/>
      <c r="D23" s="91" t="s">
        <v>5652</v>
      </c>
      <c r="G23" s="91">
        <v>360</v>
      </c>
    </row>
    <row r="24" spans="1:7" x14ac:dyDescent="0.2">
      <c r="A24" s="93"/>
      <c r="B24" s="284"/>
      <c r="D24" s="91" t="s">
        <v>5653</v>
      </c>
      <c r="G24" s="91">
        <v>240</v>
      </c>
    </row>
    <row r="25" spans="1:7" x14ac:dyDescent="0.2">
      <c r="A25" s="93"/>
      <c r="B25" s="278"/>
      <c r="D25" s="91" t="s">
        <v>5654</v>
      </c>
      <c r="G25" s="91">
        <v>4200</v>
      </c>
    </row>
    <row r="26" spans="1:7" x14ac:dyDescent="0.2">
      <c r="B26" s="94"/>
      <c r="C26" s="94"/>
      <c r="D26" s="91" t="s">
        <v>2147</v>
      </c>
      <c r="F26" s="2"/>
      <c r="G26" s="91">
        <f>SUM(G20+G21+G22+G23+G24+G25)*6%</f>
        <v>866.52</v>
      </c>
    </row>
    <row r="27" spans="1:7" x14ac:dyDescent="0.2">
      <c r="A27" s="93"/>
      <c r="B27" s="99"/>
      <c r="C27" s="99"/>
    </row>
    <row r="28" spans="1:7" x14ac:dyDescent="0.2">
      <c r="B28" s="94"/>
      <c r="C28" s="94"/>
      <c r="F28" s="2"/>
    </row>
    <row r="29" spans="1:7" x14ac:dyDescent="0.2">
      <c r="A29" s="93"/>
      <c r="B29" s="99"/>
      <c r="C29" s="99"/>
    </row>
    <row r="30" spans="1:7" x14ac:dyDescent="0.2">
      <c r="A30" s="93"/>
      <c r="B30" s="99"/>
      <c r="C30" s="99"/>
    </row>
    <row r="32" spans="1:7" x14ac:dyDescent="0.2">
      <c r="A32" s="93"/>
      <c r="B32" s="99"/>
      <c r="C32" s="99"/>
    </row>
    <row r="33" spans="1:7" x14ac:dyDescent="0.2">
      <c r="A33" s="93"/>
      <c r="B33" s="99"/>
      <c r="C33" s="99"/>
    </row>
    <row r="34" spans="1:7" x14ac:dyDescent="0.2">
      <c r="A34" s="93"/>
      <c r="B34" s="93"/>
      <c r="C34" s="93"/>
    </row>
    <row r="35" spans="1:7" ht="13.5" thickBot="1" x14ac:dyDescent="0.25">
      <c r="G35" s="107">
        <f>SUM(G18:G33)</f>
        <v>15308.52</v>
      </c>
    </row>
    <row r="36" spans="1:7" ht="13.5" thickTop="1" x14ac:dyDescent="0.2"/>
    <row r="37" spans="1:7" ht="20.100000000000001" customHeight="1" x14ac:dyDescent="0.2">
      <c r="A37" s="96" t="s">
        <v>1465</v>
      </c>
      <c r="B37" s="185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Fifteen Thousand Three Hundred Eight and 52/100 -----------</v>
      </c>
      <c r="C37" s="185"/>
      <c r="D37" s="97"/>
      <c r="E37" s="97"/>
      <c r="F37" s="236"/>
      <c r="G37" s="232"/>
    </row>
    <row r="38" spans="1:7" x14ac:dyDescent="0.2">
      <c r="A38" s="94" t="s">
        <v>11</v>
      </c>
    </row>
    <row r="39" spans="1:7" ht="25.5" x14ac:dyDescent="0.2">
      <c r="A39" s="61" t="s">
        <v>10</v>
      </c>
      <c r="F39" s="218" t="s">
        <v>3975</v>
      </c>
      <c r="G39" s="219"/>
    </row>
    <row r="40" spans="1:7" x14ac:dyDescent="0.2">
      <c r="F40" s="227"/>
      <c r="G40" s="227"/>
    </row>
    <row r="41" spans="1:7" x14ac:dyDescent="0.2">
      <c r="F41" s="228"/>
      <c r="G41" s="229"/>
    </row>
    <row r="43" spans="1:7" x14ac:dyDescent="0.2">
      <c r="A43" s="101"/>
      <c r="B43" s="101"/>
    </row>
    <row r="45" spans="1:7" x14ac:dyDescent="0.2">
      <c r="A45" s="98" t="s">
        <v>8</v>
      </c>
      <c r="D45" s="98" t="s">
        <v>8</v>
      </c>
      <c r="F45" s="98" t="s">
        <v>7</v>
      </c>
    </row>
    <row r="49" spans="1:7" x14ac:dyDescent="0.2">
      <c r="A49" s="101"/>
      <c r="B49" s="101"/>
      <c r="D49" s="101"/>
      <c r="F49" s="101"/>
      <c r="G49" s="101"/>
    </row>
    <row r="50" spans="1:7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7" x14ac:dyDescent="0.2">
      <c r="F51" s="91" t="s">
        <v>2</v>
      </c>
    </row>
    <row r="53" spans="1:7" x14ac:dyDescent="0.2">
      <c r="F53" s="2" t="s">
        <v>1</v>
      </c>
    </row>
    <row r="54" spans="1:7" x14ac:dyDescent="0.2">
      <c r="F54" s="2" t="s">
        <v>0</v>
      </c>
    </row>
  </sheetData>
  <mergeCells count="4">
    <mergeCell ref="A1:G1"/>
    <mergeCell ref="A2:G2"/>
    <mergeCell ref="A3:G3"/>
    <mergeCell ref="A4:G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1-000000000000}">
  <sheetPr codeName="Sheet12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80" t="s">
        <v>1371</v>
      </c>
    </row>
    <row r="10" spans="1:6" x14ac:dyDescent="0.2">
      <c r="A10" s="80" t="s">
        <v>1370</v>
      </c>
      <c r="D10" s="20" t="s">
        <v>27</v>
      </c>
      <c r="E10" s="20" t="s">
        <v>1372</v>
      </c>
    </row>
    <row r="11" spans="1:6" x14ac:dyDescent="0.2">
      <c r="A11" s="21"/>
      <c r="D11" s="20" t="s">
        <v>24</v>
      </c>
      <c r="E11" s="20" t="s">
        <v>23</v>
      </c>
    </row>
    <row r="12" spans="1:6" x14ac:dyDescent="0.2">
      <c r="A12" s="21"/>
      <c r="D12" s="20" t="s">
        <v>22</v>
      </c>
      <c r="E12" s="81" t="s">
        <v>1373</v>
      </c>
    </row>
    <row r="13" spans="1:6" x14ac:dyDescent="0.2">
      <c r="A13" s="21"/>
    </row>
    <row r="14" spans="1:6" x14ac:dyDescent="0.2">
      <c r="A14" s="21"/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26"/>
      <c r="C18" s="13" t="s">
        <v>1374</v>
      </c>
    </row>
    <row r="19" spans="1:6" x14ac:dyDescent="0.2">
      <c r="A19" s="26"/>
      <c r="C19" s="13" t="s">
        <v>1367</v>
      </c>
    </row>
    <row r="20" spans="1:6" x14ac:dyDescent="0.2">
      <c r="A20" s="29"/>
      <c r="B20" s="21"/>
      <c r="C20" s="13" t="s">
        <v>1368</v>
      </c>
    </row>
    <row r="21" spans="1:6" x14ac:dyDescent="0.2">
      <c r="A21" s="29"/>
      <c r="B21" s="21"/>
      <c r="C21" s="21"/>
      <c r="F21" s="27"/>
    </row>
    <row r="22" spans="1:6" x14ac:dyDescent="0.2">
      <c r="A22" s="26"/>
      <c r="B22" s="30"/>
      <c r="C22" s="21" t="s">
        <v>127</v>
      </c>
      <c r="F22" s="27">
        <v>500</v>
      </c>
    </row>
    <row r="23" spans="1:6" x14ac:dyDescent="0.2">
      <c r="A23" s="26"/>
      <c r="B23" s="30"/>
      <c r="C23" s="80" t="s">
        <v>1369</v>
      </c>
      <c r="F23" s="27">
        <f>270*4</f>
        <v>1080</v>
      </c>
    </row>
    <row r="24" spans="1:6" x14ac:dyDescent="0.2">
      <c r="A24" s="26"/>
      <c r="B24" s="30"/>
    </row>
    <row r="25" spans="1:6" x14ac:dyDescent="0.2">
      <c r="A25" s="26"/>
      <c r="B25" s="30"/>
      <c r="F25" s="27"/>
    </row>
    <row r="26" spans="1:6" x14ac:dyDescent="0.2">
      <c r="A26" s="26"/>
      <c r="B26" s="8"/>
      <c r="C26" s="21"/>
    </row>
    <row r="27" spans="1:6" x14ac:dyDescent="0.2">
      <c r="A27" s="26"/>
    </row>
    <row r="28" spans="1:6" x14ac:dyDescent="0.2">
      <c r="A28" s="26"/>
      <c r="C28" s="21"/>
    </row>
    <row r="32" spans="1:6" ht="13.5" thickBot="1" x14ac:dyDescent="0.25">
      <c r="F32" s="25">
        <f>SUM(F18:F31)</f>
        <v>1580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84" t="s">
        <v>336</v>
      </c>
      <c r="B35" s="10" t="s">
        <v>1375</v>
      </c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121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23" t="s">
        <v>3972</v>
      </c>
      <c r="B47" s="23"/>
      <c r="D47" s="23"/>
      <c r="E47" s="23"/>
      <c r="F47" s="23"/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3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1-000000000000}">
  <sheetPr codeName="Sheet231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61" t="s">
        <v>3853</v>
      </c>
    </row>
    <row r="10" spans="1:6" x14ac:dyDescent="0.2">
      <c r="A10" s="91" t="s">
        <v>132</v>
      </c>
      <c r="D10" s="92" t="s">
        <v>1357</v>
      </c>
      <c r="E10" s="113" t="s">
        <v>3851</v>
      </c>
    </row>
    <row r="11" spans="1:6" x14ac:dyDescent="0.2">
      <c r="A11" s="91" t="s">
        <v>130</v>
      </c>
      <c r="D11" s="92" t="s">
        <v>1330</v>
      </c>
      <c r="E11" s="113" t="s">
        <v>1220</v>
      </c>
    </row>
    <row r="12" spans="1:6" x14ac:dyDescent="0.2">
      <c r="D12" s="92" t="s">
        <v>1224</v>
      </c>
      <c r="E12" s="113" t="s">
        <v>3854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1723</v>
      </c>
    </row>
    <row r="19" spans="1:6" x14ac:dyDescent="0.2">
      <c r="C19" s="2" t="s">
        <v>3855</v>
      </c>
    </row>
    <row r="20" spans="1:6" x14ac:dyDescent="0.2">
      <c r="C20" s="2" t="s">
        <v>3856</v>
      </c>
    </row>
    <row r="22" spans="1:6" x14ac:dyDescent="0.2">
      <c r="A22" s="136" t="s">
        <v>3384</v>
      </c>
      <c r="B22" s="138"/>
      <c r="C22" s="91" t="s">
        <v>3859</v>
      </c>
      <c r="F22" s="91">
        <f>637.5+76.5</f>
        <v>714</v>
      </c>
    </row>
    <row r="23" spans="1:6" x14ac:dyDescent="0.2">
      <c r="A23" s="147" t="s">
        <v>3857</v>
      </c>
      <c r="B23" s="138"/>
      <c r="C23" s="91" t="s">
        <v>3860</v>
      </c>
      <c r="F23" s="91">
        <f>219.9+85</f>
        <v>304.89999999999998</v>
      </c>
    </row>
    <row r="24" spans="1:6" x14ac:dyDescent="0.2">
      <c r="A24" s="91" t="s">
        <v>3858</v>
      </c>
      <c r="C24" s="91" t="s">
        <v>3861</v>
      </c>
      <c r="F24" s="91">
        <v>390</v>
      </c>
    </row>
    <row r="25" spans="1:6" x14ac:dyDescent="0.2">
      <c r="C25" s="91" t="s">
        <v>3785</v>
      </c>
      <c r="F25" s="91">
        <f>25+34</f>
        <v>59</v>
      </c>
    </row>
    <row r="26" spans="1:6" x14ac:dyDescent="0.2">
      <c r="C26" s="91" t="s">
        <v>3862</v>
      </c>
      <c r="F26" s="91">
        <f>27.63+112.63</f>
        <v>140.26</v>
      </c>
    </row>
    <row r="27" spans="1:6" x14ac:dyDescent="0.2">
      <c r="A27" s="108"/>
      <c r="B27" s="138"/>
      <c r="C27" s="91" t="s">
        <v>127</v>
      </c>
      <c r="F27" s="91">
        <f>87.52+221.68+42.5</f>
        <v>351.7</v>
      </c>
    </row>
    <row r="28" spans="1:6" x14ac:dyDescent="0.2">
      <c r="A28" s="108"/>
      <c r="B28" s="138"/>
      <c r="C28" s="91" t="s">
        <v>3863</v>
      </c>
      <c r="F28" s="91">
        <f>733.33</f>
        <v>733.33</v>
      </c>
    </row>
    <row r="29" spans="1:6" x14ac:dyDescent="0.2">
      <c r="B29" s="138"/>
      <c r="C29" s="91" t="s">
        <v>3864</v>
      </c>
      <c r="F29" s="91">
        <v>20.399999999999999</v>
      </c>
    </row>
    <row r="30" spans="1:6" x14ac:dyDescent="0.2">
      <c r="A30" s="147"/>
    </row>
    <row r="35" spans="1:6" x14ac:dyDescent="0.2">
      <c r="F35" s="2"/>
    </row>
    <row r="36" spans="1:6" ht="25.5" x14ac:dyDescent="0.2">
      <c r="D36" s="218" t="s">
        <v>3975</v>
      </c>
      <c r="E36" s="219"/>
      <c r="F36" s="220"/>
    </row>
    <row r="39" spans="1:6" x14ac:dyDescent="0.2">
      <c r="A39" s="96" t="s">
        <v>336</v>
      </c>
      <c r="B39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/>
      </c>
      <c r="C39" s="97"/>
      <c r="D39" s="227"/>
      <c r="E39" s="227"/>
      <c r="F39" s="227"/>
    </row>
    <row r="40" spans="1:6" x14ac:dyDescent="0.2">
      <c r="A40" s="91" t="s">
        <v>10</v>
      </c>
      <c r="D40" s="228"/>
      <c r="E40" s="229"/>
      <c r="F40" s="229"/>
    </row>
    <row r="43" spans="1:6" x14ac:dyDescent="0.2">
      <c r="A43" s="91" t="s">
        <v>121</v>
      </c>
      <c r="C43" s="99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1" t="s">
        <v>3972</v>
      </c>
    </row>
    <row r="49" spans="1:6" x14ac:dyDescent="0.2">
      <c r="A49" s="91" t="s">
        <v>4066</v>
      </c>
    </row>
    <row r="50" spans="1:6" x14ac:dyDescent="0.2">
      <c r="A50" s="101" t="s">
        <v>120</v>
      </c>
      <c r="B50" s="101"/>
      <c r="D50" s="101"/>
      <c r="E50" s="101"/>
      <c r="F50" s="101"/>
    </row>
    <row r="51" spans="1:6" s="61" customFormat="1" ht="17.100000000000001" customHeight="1" x14ac:dyDescent="0.2">
      <c r="A51" s="104" t="s">
        <v>35</v>
      </c>
      <c r="B51" s="104"/>
      <c r="D51" s="61" t="s">
        <v>3</v>
      </c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1-000000000000}">
  <sheetPr codeName="Sheet232">
    <pageSetUpPr fitToPage="1"/>
  </sheetPr>
  <dimension ref="A1:F49"/>
  <sheetViews>
    <sheetView topLeftCell="A31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2371</v>
      </c>
    </row>
    <row r="10" spans="1:6" x14ac:dyDescent="0.2">
      <c r="A10" s="91" t="s">
        <v>2373</v>
      </c>
      <c r="D10" s="92" t="s">
        <v>1329</v>
      </c>
      <c r="E10" s="92" t="s">
        <v>2362</v>
      </c>
    </row>
    <row r="11" spans="1:6" x14ac:dyDescent="0.2">
      <c r="A11" s="91" t="s">
        <v>2374</v>
      </c>
      <c r="D11" s="92" t="s">
        <v>1330</v>
      </c>
      <c r="E11" s="92" t="s">
        <v>1220</v>
      </c>
    </row>
    <row r="12" spans="1:6" x14ac:dyDescent="0.2">
      <c r="A12" s="91" t="s">
        <v>2375</v>
      </c>
      <c r="D12" s="92" t="s">
        <v>1224</v>
      </c>
      <c r="E12" s="92" t="s">
        <v>2372</v>
      </c>
    </row>
    <row r="13" spans="1:6" x14ac:dyDescent="0.2">
      <c r="A13" s="91" t="s">
        <v>2376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C18" s="2" t="s">
        <v>2377</v>
      </c>
    </row>
    <row r="19" spans="1:6" x14ac:dyDescent="0.2">
      <c r="A19" s="134"/>
      <c r="B19" s="93"/>
    </row>
    <row r="20" spans="1:6" x14ac:dyDescent="0.2">
      <c r="A20" s="134" t="s">
        <v>2378</v>
      </c>
      <c r="C20" s="91" t="s">
        <v>2379</v>
      </c>
      <c r="F20" s="91">
        <v>2570</v>
      </c>
    </row>
    <row r="21" spans="1:6" x14ac:dyDescent="0.2">
      <c r="A21" s="112"/>
    </row>
    <row r="22" spans="1:6" x14ac:dyDescent="0.2">
      <c r="A22" s="112"/>
    </row>
    <row r="24" spans="1:6" x14ac:dyDescent="0.2">
      <c r="A24" s="134"/>
      <c r="B24" s="93"/>
    </row>
    <row r="26" spans="1:6" x14ac:dyDescent="0.2">
      <c r="A26" s="134"/>
      <c r="B26" s="93"/>
    </row>
    <row r="27" spans="1:6" x14ac:dyDescent="0.2">
      <c r="A27" s="112"/>
    </row>
    <row r="28" spans="1:6" x14ac:dyDescent="0.2">
      <c r="A28" s="112"/>
      <c r="B28" s="94"/>
    </row>
    <row r="29" spans="1:6" x14ac:dyDescent="0.2">
      <c r="A29" s="112"/>
      <c r="B29" s="94"/>
    </row>
    <row r="30" spans="1:6" ht="13.5" thickBot="1" x14ac:dyDescent="0.25">
      <c r="A30" s="112"/>
      <c r="F30" s="95">
        <f>SUM(F20:F29)</f>
        <v>2570</v>
      </c>
    </row>
    <row r="31" spans="1:6" ht="13.5" thickTop="1" x14ac:dyDescent="0.2">
      <c r="A31" s="112"/>
    </row>
    <row r="32" spans="1:6" ht="20.100000000000001" customHeight="1" x14ac:dyDescent="0.2">
      <c r="A32" s="96" t="s">
        <v>1347</v>
      </c>
      <c r="B32" s="96" t="s">
        <v>2380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 t="s">
        <v>121</v>
      </c>
      <c r="C37" s="99"/>
    </row>
    <row r="38" spans="1:6" x14ac:dyDescent="0.2">
      <c r="A38" s="98"/>
      <c r="C38" s="99"/>
    </row>
    <row r="39" spans="1:6" x14ac:dyDescent="0.2">
      <c r="A39" s="100"/>
      <c r="B39" s="101"/>
      <c r="D39" s="227"/>
      <c r="E39" s="227"/>
      <c r="F39" s="227"/>
    </row>
    <row r="40" spans="1:6" x14ac:dyDescent="0.2">
      <c r="A40" s="98" t="s">
        <v>8</v>
      </c>
      <c r="D40" s="228"/>
      <c r="E40" s="229"/>
      <c r="F40" s="229"/>
    </row>
    <row r="41" spans="1:6" x14ac:dyDescent="0.2">
      <c r="A41" s="1"/>
    </row>
    <row r="42" spans="1:6" x14ac:dyDescent="0.2">
      <c r="A42" s="98"/>
    </row>
    <row r="43" spans="1:6" x14ac:dyDescent="0.2">
      <c r="A43" s="98"/>
    </row>
    <row r="44" spans="1:6" x14ac:dyDescent="0.2">
      <c r="A44" s="100" t="s">
        <v>658</v>
      </c>
      <c r="B44" s="101"/>
      <c r="D44" s="101"/>
      <c r="E44" s="101"/>
      <c r="F44" s="101"/>
    </row>
    <row r="45" spans="1:6" s="3" customFormat="1" ht="17.100000000000001" customHeight="1" x14ac:dyDescent="0.2">
      <c r="A45" s="103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1-000000000000}">
  <sheetPr codeName="Sheet204">
    <pageSetUpPr fitToPage="1"/>
  </sheetPr>
  <dimension ref="A1:F51"/>
  <sheetViews>
    <sheetView topLeftCell="A16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2176</v>
      </c>
    </row>
    <row r="10" spans="1:6" x14ac:dyDescent="0.2">
      <c r="A10" s="91" t="s">
        <v>2178</v>
      </c>
      <c r="D10" s="92" t="s">
        <v>1357</v>
      </c>
      <c r="E10" s="92" t="s">
        <v>2175</v>
      </c>
    </row>
    <row r="11" spans="1:6" x14ac:dyDescent="0.2">
      <c r="A11" s="91" t="s">
        <v>2179</v>
      </c>
      <c r="D11" s="92" t="s">
        <v>1330</v>
      </c>
      <c r="E11" s="92" t="s">
        <v>1220</v>
      </c>
    </row>
    <row r="12" spans="1:6" x14ac:dyDescent="0.2">
      <c r="A12" s="91" t="s">
        <v>1471</v>
      </c>
      <c r="D12" s="92" t="s">
        <v>1224</v>
      </c>
      <c r="E12" s="92" t="s">
        <v>2177</v>
      </c>
    </row>
    <row r="13" spans="1:6" x14ac:dyDescent="0.2">
      <c r="A13" s="91" t="s">
        <v>2180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2183</v>
      </c>
    </row>
    <row r="19" spans="1:6" x14ac:dyDescent="0.2">
      <c r="C19" s="2"/>
    </row>
    <row r="20" spans="1:6" x14ac:dyDescent="0.2">
      <c r="A20" s="111" t="s">
        <v>2181</v>
      </c>
      <c r="B20" s="93" t="s">
        <v>2182</v>
      </c>
      <c r="C20" s="91" t="s">
        <v>2184</v>
      </c>
      <c r="F20" s="91">
        <v>932.5</v>
      </c>
    </row>
    <row r="21" spans="1:6" x14ac:dyDescent="0.2">
      <c r="A21" s="108"/>
      <c r="B21" s="138"/>
    </row>
    <row r="22" spans="1:6" x14ac:dyDescent="0.2">
      <c r="A22" s="108"/>
      <c r="B22" s="138"/>
    </row>
    <row r="23" spans="1:6" x14ac:dyDescent="0.2">
      <c r="A23" s="108"/>
      <c r="B23" s="138"/>
    </row>
    <row r="24" spans="1:6" x14ac:dyDescent="0.2">
      <c r="A24" s="108"/>
      <c r="B24" s="138"/>
    </row>
    <row r="25" spans="1:6" x14ac:dyDescent="0.2">
      <c r="A25" s="108"/>
      <c r="B25" s="94"/>
    </row>
    <row r="26" spans="1:6" x14ac:dyDescent="0.2">
      <c r="A26" s="108"/>
    </row>
    <row r="27" spans="1:6" x14ac:dyDescent="0.2">
      <c r="A27" s="108"/>
    </row>
    <row r="31" spans="1:6" ht="13.5" thickBot="1" x14ac:dyDescent="0.25">
      <c r="F31" s="95">
        <f>SUM(F18:F30)</f>
        <v>932.5</v>
      </c>
    </row>
    <row r="32" spans="1:6" ht="13.5" thickTop="1" x14ac:dyDescent="0.2"/>
    <row r="34" spans="1:6" ht="20.100000000000001" customHeight="1" thickBot="1" x14ac:dyDescent="0.25">
      <c r="A34" s="96" t="s">
        <v>336</v>
      </c>
      <c r="B34" s="96" t="s">
        <v>2185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F1B2-241B-4F44-A841-4A312AB79ECD}">
  <sheetPr codeName="Sheet679"/>
  <dimension ref="A1:U63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1.28515625" style="153" customWidth="1"/>
    <col min="4" max="4" width="21" style="153" customWidth="1"/>
    <col min="5" max="5" width="1.28515625" style="153" customWidth="1"/>
    <col min="6" max="6" width="13.28515625" style="153" customWidth="1"/>
    <col min="7" max="7" width="9" style="153" customWidth="1"/>
    <col min="8" max="8" width="13.28515625" style="153" customWidth="1"/>
    <col min="9" max="11" width="9.140625" style="152"/>
    <col min="12" max="12" width="10.42578125" style="152" bestFit="1" customWidth="1"/>
    <col min="13" max="16384" width="9.140625" style="152"/>
  </cols>
  <sheetData>
    <row r="1" spans="1:19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9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9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9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9" x14ac:dyDescent="0.2">
      <c r="A8" s="153" t="s">
        <v>32</v>
      </c>
      <c r="F8" s="154" t="s">
        <v>31</v>
      </c>
    </row>
    <row r="9" spans="1:19" x14ac:dyDescent="0.2">
      <c r="F9" s="155" t="s">
        <v>1317</v>
      </c>
      <c r="G9" s="61" t="s">
        <v>6866</v>
      </c>
    </row>
    <row r="10" spans="1:19" x14ac:dyDescent="0.2">
      <c r="A10" s="153" t="s">
        <v>6868</v>
      </c>
      <c r="F10" s="155" t="s">
        <v>1329</v>
      </c>
      <c r="G10" s="113" t="s">
        <v>6867</v>
      </c>
    </row>
    <row r="11" spans="1:19" x14ac:dyDescent="0.2">
      <c r="A11" s="153" t="s">
        <v>6869</v>
      </c>
      <c r="F11" s="155" t="s">
        <v>1330</v>
      </c>
      <c r="G11" s="113" t="s">
        <v>1220</v>
      </c>
    </row>
    <row r="12" spans="1:19" x14ac:dyDescent="0.2">
      <c r="A12" s="153" t="s">
        <v>6870</v>
      </c>
      <c r="F12" s="155" t="s">
        <v>1331</v>
      </c>
      <c r="G12" s="113" t="s">
        <v>770</v>
      </c>
      <c r="P12" s="152" t="s">
        <v>4776</v>
      </c>
    </row>
    <row r="13" spans="1:19" x14ac:dyDescent="0.2">
      <c r="A13" s="153" t="s">
        <v>6871</v>
      </c>
      <c r="K13" s="319"/>
    </row>
    <row r="14" spans="1:19" x14ac:dyDescent="0.2">
      <c r="N14" s="152" t="s">
        <v>4562</v>
      </c>
      <c r="O14" s="152" t="s">
        <v>4777</v>
      </c>
      <c r="P14" s="152" t="s">
        <v>4778</v>
      </c>
      <c r="S14" s="152">
        <v>166002.99008399999</v>
      </c>
    </row>
    <row r="15" spans="1:19" x14ac:dyDescent="0.2">
      <c r="P15" s="152" t="s">
        <v>4779</v>
      </c>
    </row>
    <row r="16" spans="1:19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P16" s="162" t="s">
        <v>4780</v>
      </c>
    </row>
    <row r="17" spans="1:21" x14ac:dyDescent="0.2">
      <c r="A17" s="164"/>
    </row>
    <row r="18" spans="1:21" x14ac:dyDescent="0.2">
      <c r="D18" s="163" t="s">
        <v>6860</v>
      </c>
      <c r="E18" s="163"/>
      <c r="P18" s="152" t="s">
        <v>4781</v>
      </c>
    </row>
    <row r="20" spans="1:21" x14ac:dyDescent="0.2">
      <c r="A20" s="168" t="s">
        <v>6872</v>
      </c>
      <c r="B20" s="264"/>
      <c r="C20" s="168"/>
      <c r="D20" s="153" t="s">
        <v>6874</v>
      </c>
      <c r="H20" s="153">
        <f>13900*3.0514</f>
        <v>42414.46</v>
      </c>
      <c r="P20" s="152" t="s">
        <v>52</v>
      </c>
      <c r="S20" s="152">
        <v>10</v>
      </c>
    </row>
    <row r="21" spans="1:21" x14ac:dyDescent="0.2">
      <c r="A21" s="168"/>
      <c r="B21" s="169"/>
      <c r="C21" s="169"/>
      <c r="E21" s="167"/>
    </row>
    <row r="22" spans="1:21" x14ac:dyDescent="0.2">
      <c r="A22" s="168"/>
      <c r="B22" s="173"/>
      <c r="C22" s="173"/>
      <c r="D22" s="153" t="s">
        <v>6873</v>
      </c>
      <c r="P22" s="152" t="s">
        <v>2147</v>
      </c>
      <c r="S22" s="152">
        <v>0.6</v>
      </c>
    </row>
    <row r="23" spans="1:21" x14ac:dyDescent="0.2">
      <c r="F23" s="152"/>
      <c r="G23" s="152"/>
      <c r="L23" s="319"/>
    </row>
    <row r="24" spans="1:21" x14ac:dyDescent="0.2">
      <c r="D24" s="153" t="s">
        <v>52</v>
      </c>
      <c r="H24" s="153">
        <v>30</v>
      </c>
    </row>
    <row r="28" spans="1:21" x14ac:dyDescent="0.2">
      <c r="A28" s="166"/>
      <c r="B28" s="173"/>
      <c r="C28" s="173"/>
      <c r="N28" s="153"/>
      <c r="O28" s="153"/>
      <c r="P28" s="153"/>
      <c r="Q28" s="163" t="s">
        <v>4776</v>
      </c>
      <c r="R28" s="163"/>
      <c r="S28" s="153"/>
      <c r="T28" s="153"/>
      <c r="U28" s="153"/>
    </row>
    <row r="29" spans="1:21" x14ac:dyDescent="0.2">
      <c r="N29" s="153"/>
      <c r="O29" s="153"/>
      <c r="P29" s="153"/>
      <c r="Q29" s="153"/>
      <c r="R29" s="153"/>
      <c r="S29" s="153"/>
      <c r="T29" s="153"/>
      <c r="U29" s="153"/>
    </row>
    <row r="30" spans="1:21" x14ac:dyDescent="0.2">
      <c r="N30" s="168" t="s">
        <v>5934</v>
      </c>
      <c r="O30" s="168" t="s">
        <v>5935</v>
      </c>
      <c r="P30" s="168"/>
      <c r="Q30" s="153" t="s">
        <v>5936</v>
      </c>
      <c r="R30" s="153"/>
      <c r="S30" s="153"/>
      <c r="T30" s="153"/>
      <c r="U30" s="153">
        <f>71537.26*3.02309999</f>
        <v>216264.28999062738</v>
      </c>
    </row>
    <row r="31" spans="1:21" x14ac:dyDescent="0.2">
      <c r="A31" s="168"/>
      <c r="B31" s="173"/>
      <c r="C31" s="173"/>
      <c r="N31" s="168"/>
      <c r="O31" s="169"/>
      <c r="P31" s="169"/>
      <c r="Q31" s="167" t="s">
        <v>5937</v>
      </c>
      <c r="R31" s="167"/>
      <c r="S31" s="153"/>
      <c r="T31" s="153"/>
      <c r="U31" s="153"/>
    </row>
    <row r="32" spans="1:21" hidden="1" x14ac:dyDescent="0.2">
      <c r="D32" s="167"/>
      <c r="E32" s="167"/>
      <c r="N32" s="168"/>
      <c r="O32" s="173"/>
      <c r="P32" s="173"/>
      <c r="Q32" s="153"/>
      <c r="R32" s="153"/>
      <c r="S32" s="153"/>
      <c r="T32" s="153"/>
      <c r="U32" s="153"/>
    </row>
    <row r="33" spans="1:21" hidden="1" x14ac:dyDescent="0.2">
      <c r="A33" s="168"/>
      <c r="B33" s="173"/>
      <c r="C33" s="173"/>
      <c r="N33" s="153"/>
      <c r="O33" s="153"/>
      <c r="P33" s="153"/>
      <c r="Q33" s="153" t="s">
        <v>5938</v>
      </c>
      <c r="R33" s="153"/>
    </row>
    <row r="34" spans="1:21" hidden="1" x14ac:dyDescent="0.2">
      <c r="A34" s="168"/>
      <c r="B34" s="173"/>
      <c r="C34" s="173"/>
      <c r="D34" s="163"/>
      <c r="E34" s="163"/>
      <c r="N34" s="153"/>
      <c r="O34" s="153"/>
      <c r="P34" s="153"/>
      <c r="Q34" s="153"/>
      <c r="R34" s="153"/>
      <c r="S34" s="153"/>
      <c r="T34" s="153"/>
      <c r="U34" s="153"/>
    </row>
    <row r="35" spans="1:21" hidden="1" x14ac:dyDescent="0.2">
      <c r="A35" s="166"/>
      <c r="B35" s="169"/>
      <c r="C35" s="169"/>
      <c r="D35" s="152"/>
      <c r="E35" s="152"/>
      <c r="F35" s="152"/>
      <c r="G35" s="152"/>
      <c r="H35" s="152"/>
      <c r="N35" s="166"/>
      <c r="O35" s="173"/>
      <c r="P35" s="173"/>
      <c r="Q35" s="153" t="s">
        <v>52</v>
      </c>
      <c r="R35" s="153"/>
      <c r="S35" s="153"/>
      <c r="T35" s="153"/>
      <c r="U35" s="153">
        <v>10</v>
      </c>
    </row>
    <row r="36" spans="1:21" hidden="1" x14ac:dyDescent="0.2">
      <c r="A36" s="152"/>
      <c r="B36" s="152"/>
      <c r="C36" s="152"/>
      <c r="N36" s="153"/>
      <c r="O36" s="153"/>
      <c r="P36" s="153"/>
      <c r="Q36" s="153"/>
      <c r="R36" s="153"/>
      <c r="S36" s="153"/>
      <c r="T36" s="153"/>
      <c r="U36" s="153"/>
    </row>
    <row r="37" spans="1:21" hidden="1" x14ac:dyDescent="0.2">
      <c r="A37" s="152"/>
      <c r="B37" s="152"/>
      <c r="C37" s="152"/>
      <c r="D37" s="167"/>
      <c r="E37" s="167"/>
      <c r="N37" s="153"/>
      <c r="O37" s="153"/>
      <c r="P37" s="153"/>
      <c r="Q37" s="153" t="s">
        <v>2147</v>
      </c>
      <c r="R37" s="153"/>
      <c r="S37" s="153"/>
      <c r="T37" s="153"/>
      <c r="U37" s="153">
        <v>0.6</v>
      </c>
    </row>
    <row r="38" spans="1:21" hidden="1" x14ac:dyDescent="0.2">
      <c r="A38" s="166"/>
      <c r="B38" s="168"/>
      <c r="C38" s="168"/>
      <c r="D38" s="152"/>
      <c r="E38" s="152"/>
    </row>
    <row r="39" spans="1:21" hidden="1" x14ac:dyDescent="0.2">
      <c r="A39" s="166"/>
      <c r="B39" s="168"/>
      <c r="C39" s="168"/>
    </row>
    <row r="40" spans="1:21" hidden="1" x14ac:dyDescent="0.2">
      <c r="A40" s="166"/>
      <c r="B40" s="169"/>
      <c r="C40" s="169"/>
    </row>
    <row r="41" spans="1:21" x14ac:dyDescent="0.2">
      <c r="A41" s="166"/>
      <c r="B41" s="169"/>
      <c r="C41" s="169"/>
    </row>
    <row r="42" spans="1:21" x14ac:dyDescent="0.2">
      <c r="A42" s="215"/>
      <c r="B42" s="152"/>
      <c r="C42" s="152"/>
      <c r="D42" s="152"/>
      <c r="E42" s="152"/>
      <c r="F42" s="152"/>
      <c r="G42" s="152"/>
      <c r="H42" s="152"/>
    </row>
    <row r="43" spans="1:21" ht="13.5" thickBot="1" x14ac:dyDescent="0.25">
      <c r="A43" s="164"/>
      <c r="H43" s="170">
        <f>SUM(H20:H42)</f>
        <v>42444.46</v>
      </c>
    </row>
    <row r="44" spans="1:21" ht="13.5" thickTop="1" x14ac:dyDescent="0.2">
      <c r="A44" s="164"/>
    </row>
    <row r="45" spans="1:21" ht="20.100000000000001" customHeight="1" x14ac:dyDescent="0.2">
      <c r="A45" s="171" t="s">
        <v>1248</v>
      </c>
      <c r="B45" s="213" t="str">
        <f>IF(OR(H43&gt;1000000,H43&lt;=0),"",IF(H43&lt;1000,"",IF(MOD(H43,1000000)&gt;=100000,INDEX(numbers,TRUNC(MOD(H43,1000000)/100000,0)+1)&amp;" Hundred","")&amp;IF(MOD(H43,100000)&gt;=20000," "&amp;INDEX(tens,TRUNC(MOD(H43,100000)/10000,0)+1)&amp;IF(MOD(MOD(H43,100000),10000)&gt;=1000,"-"&amp;INDEX(numbers,TRUNC(MOD(MOD(H43,100000),10000)/1000,0)+1),""),IF(MOD(H43,100000)&gt;=1000," "&amp;INDEX(numbers,TRUNC(MOD(H43,100000)/1000,0)+1),""))&amp;" Thousand") &amp; IF(H43&lt;1,"Zero Dollars",IF(MOD(H43,1000)&gt;=100," "&amp;INDEX(numbers,TRUNC(MOD(H43,1000)/100,0)+1)&amp;" Hundred","")&amp;IF(MOD(H43,100)&gt;=20," "&amp;INDEX(tens,TRUNC(MOD(H43,100)/10,0)+1)&amp;IF(MOD(MOD(H43,100),10)&gt;=1,"-"&amp;INDEX(numbers,TRUNC(MOD(MOD(H43,100),10),0)+1),""),IF(MOD(H43,100)&gt;=1," "&amp;INDEX(numbers,TRUNC(MOD(H43,100),0)+1),""))&amp;"") &amp; " and " &amp; IF(MOD(H43,1)&lt;0.005,"NO",ROUND(MOD(H43,1)*100,0)) &amp; "/100 -----------")</f>
        <v xml:space="preserve"> Forty-Two Thousand Four Hundred Forty-Four and 46/100 -----------</v>
      </c>
      <c r="C45" s="213"/>
      <c r="D45" s="172"/>
      <c r="E45" s="172"/>
      <c r="F45" s="172"/>
      <c r="G45" s="172"/>
      <c r="H45" s="172"/>
      <c r="N45" s="153"/>
      <c r="O45" s="153"/>
      <c r="P45" s="153"/>
      <c r="Q45" s="163" t="s">
        <v>5939</v>
      </c>
      <c r="R45" s="163"/>
      <c r="S45" s="153"/>
      <c r="T45" s="153"/>
      <c r="U45" s="153"/>
    </row>
    <row r="46" spans="1:21" x14ac:dyDescent="0.2">
      <c r="A46" s="273"/>
      <c r="N46" s="153"/>
      <c r="O46" s="153"/>
      <c r="P46" s="153"/>
      <c r="Q46" s="153"/>
      <c r="R46" s="153"/>
      <c r="S46" s="153"/>
      <c r="T46" s="153"/>
      <c r="U46" s="153"/>
    </row>
    <row r="47" spans="1:21" ht="25.5" x14ac:dyDescent="0.2">
      <c r="A47" s="153" t="s">
        <v>10</v>
      </c>
      <c r="F47" s="218" t="s">
        <v>3975</v>
      </c>
      <c r="G47" s="219"/>
      <c r="H47" s="220"/>
      <c r="N47" s="168" t="s">
        <v>5727</v>
      </c>
      <c r="O47" s="168" t="s">
        <v>5940</v>
      </c>
      <c r="P47" s="168"/>
      <c r="Q47" s="153" t="s">
        <v>5941</v>
      </c>
      <c r="R47" s="153"/>
      <c r="S47" s="153"/>
      <c r="T47" s="153"/>
      <c r="U47" s="153">
        <f>4316.54*3.1221</f>
        <v>13476.669534000001</v>
      </c>
    </row>
    <row r="48" spans="1:21" x14ac:dyDescent="0.2">
      <c r="N48" s="168"/>
      <c r="O48" s="169"/>
      <c r="P48" s="169"/>
      <c r="Q48" s="167"/>
      <c r="R48" s="167"/>
      <c r="S48" s="153"/>
      <c r="T48" s="153"/>
      <c r="U48" s="153"/>
    </row>
    <row r="49" spans="1:21" x14ac:dyDescent="0.2">
      <c r="N49" s="168"/>
      <c r="O49" s="173"/>
      <c r="P49" s="173"/>
      <c r="Q49" s="153" t="s">
        <v>5942</v>
      </c>
      <c r="R49" s="153"/>
      <c r="S49" s="153"/>
      <c r="T49" s="153"/>
      <c r="U49" s="153">
        <f>1402.88*3.1221</f>
        <v>4379.9316480000007</v>
      </c>
    </row>
    <row r="50" spans="1:21" x14ac:dyDescent="0.2">
      <c r="A50" s="153" t="s">
        <v>120</v>
      </c>
      <c r="E50" s="173"/>
      <c r="N50" s="153"/>
      <c r="O50" s="153"/>
      <c r="P50" s="153"/>
      <c r="Q50" s="153"/>
      <c r="R50" s="153"/>
    </row>
    <row r="51" spans="1:21" x14ac:dyDescent="0.2">
      <c r="A51" s="174"/>
      <c r="B51" s="174"/>
      <c r="D51" s="225"/>
      <c r="N51" s="153"/>
      <c r="O51" s="153"/>
      <c r="P51" s="153"/>
      <c r="Q51" s="153" t="s">
        <v>52</v>
      </c>
      <c r="R51" s="153"/>
      <c r="S51" s="153"/>
      <c r="T51" s="153"/>
      <c r="U51" s="153">
        <v>10</v>
      </c>
    </row>
    <row r="52" spans="1:21" x14ac:dyDescent="0.2">
      <c r="D52" s="156"/>
      <c r="N52" s="166"/>
      <c r="O52" s="173"/>
      <c r="P52" s="173"/>
      <c r="Q52" s="153"/>
      <c r="R52" s="153"/>
      <c r="S52" s="153"/>
      <c r="T52" s="153"/>
      <c r="U52" s="153"/>
    </row>
    <row r="53" spans="1:21" x14ac:dyDescent="0.2">
      <c r="D53" s="156"/>
      <c r="N53" s="153"/>
      <c r="O53" s="153"/>
      <c r="P53" s="153"/>
      <c r="Q53" s="153" t="s">
        <v>2147</v>
      </c>
      <c r="R53" s="153"/>
      <c r="S53" s="153"/>
      <c r="T53" s="153"/>
      <c r="U53" s="153">
        <v>0.6</v>
      </c>
    </row>
    <row r="54" spans="1:21" x14ac:dyDescent="0.2">
      <c r="A54" s="153" t="s">
        <v>8</v>
      </c>
      <c r="D54" s="153" t="s">
        <v>8</v>
      </c>
      <c r="F54" s="175" t="s">
        <v>7</v>
      </c>
      <c r="H54" s="176"/>
      <c r="N54" s="153"/>
      <c r="O54" s="153"/>
      <c r="P54" s="153"/>
      <c r="Q54" s="153"/>
      <c r="R54" s="153"/>
      <c r="S54" s="153"/>
      <c r="T54" s="153"/>
      <c r="U54" s="153"/>
    </row>
    <row r="58" spans="1:21" x14ac:dyDescent="0.2">
      <c r="A58" s="274"/>
      <c r="B58" s="174"/>
      <c r="D58" s="274"/>
      <c r="F58" s="174"/>
      <c r="G58" s="174"/>
      <c r="H58" s="174"/>
    </row>
    <row r="59" spans="1:21" s="178" customFormat="1" ht="17.100000000000001" customHeight="1" x14ac:dyDescent="0.2">
      <c r="A59" s="156" t="s">
        <v>4066</v>
      </c>
      <c r="B59" s="177"/>
      <c r="C59" s="177"/>
      <c r="D59" s="156" t="s">
        <v>50</v>
      </c>
      <c r="E59" s="156"/>
      <c r="F59" s="156" t="s">
        <v>3</v>
      </c>
      <c r="G59" s="156"/>
      <c r="H59" s="156"/>
    </row>
    <row r="60" spans="1:21" x14ac:dyDescent="0.2">
      <c r="F60" s="153" t="s">
        <v>2</v>
      </c>
    </row>
    <row r="62" spans="1:21" x14ac:dyDescent="0.2">
      <c r="F62" s="163" t="s">
        <v>1</v>
      </c>
    </row>
    <row r="63" spans="1:21" x14ac:dyDescent="0.2">
      <c r="F6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00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  <c r="E8" s="251"/>
    </row>
    <row r="9" spans="1:7" x14ac:dyDescent="0.2">
      <c r="D9" s="92" t="s">
        <v>1334</v>
      </c>
      <c r="E9" s="91" t="s">
        <v>6683</v>
      </c>
      <c r="G9" s="61"/>
    </row>
    <row r="10" spans="1:7" x14ac:dyDescent="0.2">
      <c r="A10" s="91" t="s">
        <v>4419</v>
      </c>
      <c r="D10" s="92" t="s">
        <v>1335</v>
      </c>
      <c r="E10" s="98" t="s">
        <v>6685</v>
      </c>
      <c r="G10" s="113"/>
    </row>
    <row r="11" spans="1:7" x14ac:dyDescent="0.2">
      <c r="A11" s="91" t="s">
        <v>4421</v>
      </c>
      <c r="D11" s="92" t="s">
        <v>1333</v>
      </c>
      <c r="E11" s="92" t="s">
        <v>1220</v>
      </c>
      <c r="G11" s="113"/>
    </row>
    <row r="12" spans="1:7" x14ac:dyDescent="0.2">
      <c r="A12" s="91" t="s">
        <v>4420</v>
      </c>
      <c r="D12" s="92" t="s">
        <v>1331</v>
      </c>
      <c r="E12" s="92" t="s">
        <v>6684</v>
      </c>
      <c r="G12" s="113"/>
    </row>
    <row r="13" spans="1:7" x14ac:dyDescent="0.2">
      <c r="A13" s="91" t="s">
        <v>1561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/>
      <c r="B18" s="111"/>
      <c r="C18" s="2" t="s">
        <v>6686</v>
      </c>
      <c r="I18" s="91"/>
      <c r="J18" s="91"/>
      <c r="K18" s="91"/>
      <c r="L18" s="91"/>
    </row>
    <row r="19" spans="1:12" x14ac:dyDescent="0.2">
      <c r="C19" s="2"/>
      <c r="I19" s="91"/>
      <c r="J19" s="91"/>
      <c r="K19" s="91"/>
      <c r="L19" s="110"/>
    </row>
    <row r="20" spans="1:12" x14ac:dyDescent="0.2">
      <c r="A20" s="93" t="s">
        <v>6648</v>
      </c>
      <c r="B20" s="93" t="s">
        <v>6687</v>
      </c>
      <c r="C20" s="91" t="s">
        <v>6688</v>
      </c>
      <c r="F20" s="110">
        <v>900</v>
      </c>
      <c r="I20" s="91"/>
      <c r="J20" s="91"/>
      <c r="K20" s="91"/>
      <c r="L20" s="91"/>
    </row>
    <row r="21" spans="1:12" x14ac:dyDescent="0.2">
      <c r="A21" s="93"/>
      <c r="B21" s="93"/>
      <c r="I21" s="91"/>
      <c r="J21" s="91"/>
      <c r="K21" s="91"/>
      <c r="L21" s="91"/>
    </row>
    <row r="22" spans="1:12" x14ac:dyDescent="0.2">
      <c r="I22" s="91"/>
      <c r="J22" s="91"/>
      <c r="K22" s="91"/>
      <c r="L22" s="110"/>
    </row>
    <row r="23" spans="1:12" x14ac:dyDescent="0.2">
      <c r="A23" s="93"/>
      <c r="B23" s="99"/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31" spans="1:12" x14ac:dyDescent="0.2">
      <c r="A31" s="93"/>
      <c r="B31" s="111"/>
    </row>
    <row r="36" spans="1:6" ht="13.5" thickBot="1" x14ac:dyDescent="0.25">
      <c r="F36" s="95">
        <f>SUM(F18:F35)</f>
        <v>900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Nine Hundred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2A30-C99E-415D-8E45-6DB7311773C4}">
  <sheetPr codeName="Sheet763"/>
  <dimension ref="A1:M55"/>
  <sheetViews>
    <sheetView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42578125" style="91" customWidth="1"/>
    <col min="6" max="6" width="14" style="91" customWidth="1"/>
    <col min="7" max="7" width="8" style="91" customWidth="1"/>
    <col min="8" max="8" width="12.85546875" style="91" customWidth="1"/>
    <col min="9" max="12" width="9.140625" style="1"/>
    <col min="13" max="13" width="9.42578125" style="1" bestFit="1" customWidth="1"/>
    <col min="14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2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2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2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2" x14ac:dyDescent="0.2">
      <c r="A8" s="91" t="s">
        <v>32</v>
      </c>
      <c r="F8" s="22" t="s">
        <v>31</v>
      </c>
    </row>
    <row r="9" spans="1:12" x14ac:dyDescent="0.2">
      <c r="F9" s="92" t="s">
        <v>1317</v>
      </c>
      <c r="G9" s="91" t="s">
        <v>8105</v>
      </c>
    </row>
    <row r="10" spans="1:12" x14ac:dyDescent="0.2">
      <c r="A10" s="91" t="s">
        <v>8108</v>
      </c>
      <c r="F10" s="92" t="s">
        <v>1329</v>
      </c>
      <c r="G10" s="91" t="s">
        <v>8107</v>
      </c>
    </row>
    <row r="11" spans="1:12" x14ac:dyDescent="0.2">
      <c r="A11" s="91" t="s">
        <v>8109</v>
      </c>
      <c r="F11" s="92" t="s">
        <v>1330</v>
      </c>
      <c r="G11" s="91" t="s">
        <v>1220</v>
      </c>
      <c r="J11" s="1" t="s">
        <v>8105</v>
      </c>
      <c r="K11" s="1">
        <v>43796</v>
      </c>
      <c r="L11" s="1" t="s">
        <v>8115</v>
      </c>
    </row>
    <row r="12" spans="1:12" x14ac:dyDescent="0.2">
      <c r="A12" s="91" t="s">
        <v>8110</v>
      </c>
      <c r="F12" s="92" t="s">
        <v>1377</v>
      </c>
      <c r="G12" s="94" t="s">
        <v>8117</v>
      </c>
      <c r="J12" s="1" t="s">
        <v>8105</v>
      </c>
      <c r="K12" s="1">
        <v>43796</v>
      </c>
      <c r="L12" s="1" t="s">
        <v>8106</v>
      </c>
    </row>
    <row r="13" spans="1:12" x14ac:dyDescent="0.2">
      <c r="A13" s="91" t="s">
        <v>1608</v>
      </c>
    </row>
    <row r="16" spans="1:12" s="14" customFormat="1" ht="20.100000000000001" customHeight="1" x14ac:dyDescent="0.2">
      <c r="A16" s="17" t="s">
        <v>1247</v>
      </c>
      <c r="B16" s="473" t="s">
        <v>128</v>
      </c>
      <c r="C16" s="473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7611</v>
      </c>
    </row>
    <row r="19" spans="1:8" x14ac:dyDescent="0.2">
      <c r="A19" s="106"/>
    </row>
    <row r="20" spans="1:8" x14ac:dyDescent="0.2">
      <c r="A20" s="93" t="s">
        <v>8111</v>
      </c>
      <c r="B20" s="93" t="s">
        <v>8112</v>
      </c>
      <c r="C20" s="93"/>
      <c r="D20" s="91" t="s">
        <v>8113</v>
      </c>
      <c r="H20" s="91">
        <f>7500*6</f>
        <v>45000</v>
      </c>
    </row>
    <row r="21" spans="1:8" x14ac:dyDescent="0.2">
      <c r="A21" s="106"/>
      <c r="D21" s="94" t="s">
        <v>8114</v>
      </c>
      <c r="E21" s="94"/>
    </row>
    <row r="22" spans="1:8" x14ac:dyDescent="0.2">
      <c r="A22" s="106"/>
    </row>
    <row r="23" spans="1:8" x14ac:dyDescent="0.2">
      <c r="A23" s="93"/>
      <c r="B23" s="93"/>
      <c r="C23" s="93"/>
      <c r="D23" s="91" t="s">
        <v>8116</v>
      </c>
      <c r="H23" s="91">
        <v>-1000</v>
      </c>
    </row>
    <row r="24" spans="1:8" x14ac:dyDescent="0.2">
      <c r="A24" s="93"/>
      <c r="B24" s="93"/>
      <c r="C24" s="93"/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</row>
    <row r="27" spans="1:8" x14ac:dyDescent="0.2">
      <c r="A27" s="1"/>
      <c r="B27" s="1"/>
      <c r="C27" s="1"/>
      <c r="D27" s="94"/>
      <c r="E27" s="94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13" x14ac:dyDescent="0.2">
      <c r="A33" s="1"/>
      <c r="B33" s="1"/>
      <c r="C33" s="1"/>
    </row>
    <row r="34" spans="1:13" x14ac:dyDescent="0.2">
      <c r="A34" s="106"/>
    </row>
    <row r="35" spans="1:13" ht="13.5" thickBot="1" x14ac:dyDescent="0.25">
      <c r="A35" s="106"/>
      <c r="H35" s="107">
        <f>SUM(H19:H33)</f>
        <v>44000</v>
      </c>
    </row>
    <row r="36" spans="1:13" ht="13.5" thickTop="1" x14ac:dyDescent="0.2">
      <c r="A36" s="106"/>
    </row>
    <row r="37" spans="1:13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Forty-Four Thousand and NO/100 -----------</v>
      </c>
      <c r="C37" s="185"/>
      <c r="D37" s="97"/>
      <c r="E37" s="97"/>
      <c r="F37" s="97"/>
      <c r="G37" s="222"/>
      <c r="H37" s="222"/>
      <c r="L37" s="26"/>
      <c r="M37" s="26"/>
    </row>
    <row r="38" spans="1:13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13" ht="25.5" x14ac:dyDescent="0.2">
      <c r="A39" s="94" t="s">
        <v>3973</v>
      </c>
      <c r="F39" s="218" t="s">
        <v>3975</v>
      </c>
      <c r="G39" s="219"/>
      <c r="H39" s="220"/>
    </row>
    <row r="40" spans="1:13" x14ac:dyDescent="0.2">
      <c r="F40" s="228"/>
      <c r="G40" s="229"/>
      <c r="H40" s="229"/>
    </row>
    <row r="41" spans="1:13" x14ac:dyDescent="0.2">
      <c r="A41" s="1"/>
      <c r="E41" s="474"/>
    </row>
    <row r="42" spans="1:13" x14ac:dyDescent="0.2">
      <c r="A42" s="91" t="s">
        <v>120</v>
      </c>
      <c r="E42" s="474"/>
    </row>
    <row r="43" spans="1:13" x14ac:dyDescent="0.2">
      <c r="A43" s="101"/>
      <c r="B43" s="101"/>
    </row>
    <row r="46" spans="1:13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CF8D-FFC0-45FC-BB8B-75A09E881BB0}">
  <sheetPr codeName="Sheet742">
    <pageSetUpPr fitToPage="1"/>
  </sheetPr>
  <dimension ref="A1:H52"/>
  <sheetViews>
    <sheetView topLeftCell="A7" workbookViewId="0">
      <selection activeCell="G9" sqref="G9:G12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28515625" style="91" customWidth="1"/>
    <col min="4" max="4" width="21" style="91" customWidth="1"/>
    <col min="5" max="5" width="1.425781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5" t="s">
        <v>7660</v>
      </c>
    </row>
    <row r="10" spans="1:8" x14ac:dyDescent="0.2">
      <c r="A10" s="91" t="s">
        <v>7662</v>
      </c>
      <c r="F10" s="92" t="s">
        <v>1329</v>
      </c>
      <c r="G10" s="155" t="s">
        <v>7659</v>
      </c>
    </row>
    <row r="11" spans="1:8" x14ac:dyDescent="0.2">
      <c r="A11" s="91" t="s">
        <v>7663</v>
      </c>
      <c r="F11" s="92" t="s">
        <v>1330</v>
      </c>
      <c r="G11" s="155" t="s">
        <v>1220</v>
      </c>
    </row>
    <row r="12" spans="1:8" x14ac:dyDescent="0.2">
      <c r="A12" s="91" t="s">
        <v>7664</v>
      </c>
      <c r="F12" s="92" t="s">
        <v>1331</v>
      </c>
      <c r="G12" s="94" t="s">
        <v>7661</v>
      </c>
    </row>
    <row r="13" spans="1:8" x14ac:dyDescent="0.2">
      <c r="A13" s="91" t="s">
        <v>7665</v>
      </c>
      <c r="G13" s="153"/>
    </row>
    <row r="16" spans="1:8" s="14" customFormat="1" ht="20.100000000000001" customHeight="1" x14ac:dyDescent="0.2">
      <c r="A16" s="429" t="s">
        <v>1226</v>
      </c>
      <c r="B16" s="429" t="s">
        <v>128</v>
      </c>
      <c r="C16" s="429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6447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7631</v>
      </c>
      <c r="B20" s="93" t="s">
        <v>7666</v>
      </c>
      <c r="C20" s="93"/>
      <c r="D20" s="91" t="s">
        <v>7667</v>
      </c>
      <c r="H20" s="91">
        <v>36.86</v>
      </c>
    </row>
    <row r="21" spans="1:8" x14ac:dyDescent="0.2">
      <c r="A21" s="92"/>
      <c r="D21" s="91" t="s">
        <v>7668</v>
      </c>
    </row>
    <row r="22" spans="1:8" x14ac:dyDescent="0.2">
      <c r="A22" s="93"/>
      <c r="B22" s="93"/>
      <c r="C22" s="93"/>
      <c r="D22" s="91" t="s">
        <v>7669</v>
      </c>
      <c r="H22" s="91">
        <v>2.21</v>
      </c>
    </row>
    <row r="23" spans="1:8" x14ac:dyDescent="0.2">
      <c r="A23" s="92"/>
    </row>
    <row r="24" spans="1:8" x14ac:dyDescent="0.2">
      <c r="A24" s="93"/>
      <c r="B24" s="93"/>
      <c r="C24" s="93"/>
    </row>
    <row r="25" spans="1:8" x14ac:dyDescent="0.2">
      <c r="A25" s="93"/>
    </row>
    <row r="26" spans="1:8" x14ac:dyDescent="0.2">
      <c r="A26" s="142"/>
      <c r="B26" s="142"/>
      <c r="C26" s="142"/>
    </row>
    <row r="27" spans="1:8" x14ac:dyDescent="0.2">
      <c r="A27" s="93"/>
      <c r="D27" s="2"/>
      <c r="E27" s="2"/>
    </row>
    <row r="28" spans="1:8" x14ac:dyDescent="0.2">
      <c r="A28" s="92"/>
    </row>
    <row r="30" spans="1:8" x14ac:dyDescent="0.2">
      <c r="A30" s="93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SUM(H19:H31)</f>
        <v>39.07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Thirty-Nine and 7/100 -----------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x14ac:dyDescent="0.2">
      <c r="A37" s="91" t="s">
        <v>10</v>
      </c>
    </row>
    <row r="38" spans="1:8" ht="25.5" x14ac:dyDescent="0.2"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430"/>
      <c r="E40" s="430"/>
      <c r="F40" s="228"/>
      <c r="G40" s="229"/>
      <c r="H40" s="229"/>
    </row>
    <row r="41" spans="1:8" x14ac:dyDescent="0.2">
      <c r="A41" s="23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2D34-FBF2-4999-A8DA-008900C31045}">
  <sheetPr codeName="Sheet733"/>
  <dimension ref="A1:H58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2" width="15.140625" style="1" customWidth="1"/>
    <col min="3" max="3" width="1.42578125" style="1" customWidth="1"/>
    <col min="4" max="4" width="20.7109375" style="1" customWidth="1"/>
    <col min="5" max="5" width="1.140625" style="1" customWidth="1"/>
    <col min="6" max="6" width="15.285156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155" t="s">
        <v>8168</v>
      </c>
    </row>
    <row r="10" spans="1:8" s="91" customFormat="1" x14ac:dyDescent="0.2">
      <c r="A10" s="91" t="s">
        <v>8170</v>
      </c>
      <c r="F10" s="92" t="s">
        <v>1357</v>
      </c>
      <c r="G10" s="155" t="s">
        <v>8118</v>
      </c>
    </row>
    <row r="11" spans="1:8" s="91" customFormat="1" x14ac:dyDescent="0.2">
      <c r="A11" s="91" t="s">
        <v>7566</v>
      </c>
      <c r="F11" s="92" t="s">
        <v>1330</v>
      </c>
      <c r="G11" s="155" t="s">
        <v>1220</v>
      </c>
    </row>
    <row r="12" spans="1:8" s="91" customFormat="1" x14ac:dyDescent="0.2">
      <c r="A12" s="91" t="s">
        <v>7567</v>
      </c>
      <c r="F12" s="92" t="s">
        <v>1224</v>
      </c>
      <c r="G12" s="91" t="s">
        <v>8169</v>
      </c>
    </row>
    <row r="13" spans="1:8" s="91" customFormat="1" x14ac:dyDescent="0.2">
      <c r="A13" s="91" t="s">
        <v>7568</v>
      </c>
      <c r="G13" s="91" t="s">
        <v>7762</v>
      </c>
    </row>
    <row r="14" spans="1:8" s="91" customFormat="1" x14ac:dyDescent="0.2"/>
    <row r="15" spans="1:8" s="91" customFormat="1" x14ac:dyDescent="0.2"/>
    <row r="16" spans="1:8" s="91" customFormat="1" x14ac:dyDescent="0.2"/>
    <row r="17" spans="1:8" s="14" customFormat="1" ht="20.100000000000001" customHeight="1" x14ac:dyDescent="0.2">
      <c r="A17" s="17" t="s">
        <v>1261</v>
      </c>
      <c r="B17" s="414" t="s">
        <v>1262</v>
      </c>
      <c r="C17" s="414"/>
      <c r="D17" s="18" t="s">
        <v>19</v>
      </c>
      <c r="E17" s="18"/>
      <c r="F17" s="17"/>
      <c r="G17" s="16"/>
      <c r="H17" s="15" t="s">
        <v>18</v>
      </c>
    </row>
    <row r="18" spans="1:8" s="91" customFormat="1" x14ac:dyDescent="0.2"/>
    <row r="19" spans="1:8" s="91" customFormat="1" x14ac:dyDescent="0.2">
      <c r="A19" s="93"/>
      <c r="B19" s="93"/>
      <c r="C19" s="93"/>
      <c r="D19" s="2" t="s">
        <v>8171</v>
      </c>
      <c r="E19" s="2"/>
    </row>
    <row r="20" spans="1:8" s="91" customFormat="1" x14ac:dyDescent="0.2">
      <c r="D20" s="2"/>
      <c r="E20" s="2"/>
    </row>
    <row r="21" spans="1:8" s="91" customFormat="1" x14ac:dyDescent="0.2">
      <c r="A21" s="93" t="s">
        <v>8039</v>
      </c>
      <c r="B21" s="93" t="s">
        <v>8172</v>
      </c>
      <c r="C21" s="93"/>
      <c r="D21" s="91" t="s">
        <v>8173</v>
      </c>
      <c r="H21" s="91">
        <f>3550</f>
        <v>3550</v>
      </c>
    </row>
    <row r="22" spans="1:8" s="91" customFormat="1" x14ac:dyDescent="0.2">
      <c r="A22" s="93"/>
      <c r="B22" s="93"/>
      <c r="C22" s="93"/>
      <c r="D22" s="91" t="s">
        <v>8174</v>
      </c>
      <c r="H22" s="91">
        <v>360</v>
      </c>
    </row>
    <row r="23" spans="1:8" s="91" customFormat="1" x14ac:dyDescent="0.2"/>
    <row r="24" spans="1:8" s="91" customFormat="1" x14ac:dyDescent="0.2">
      <c r="A24" s="93"/>
      <c r="B24" s="415"/>
      <c r="C24" s="415"/>
    </row>
    <row r="25" spans="1:8" s="91" customFormat="1" x14ac:dyDescent="0.2">
      <c r="A25" s="93"/>
      <c r="B25" s="93"/>
      <c r="C25" s="93"/>
    </row>
    <row r="26" spans="1:8" s="91" customFormat="1" x14ac:dyDescent="0.2"/>
    <row r="27" spans="1:8" s="91" customFormat="1" x14ac:dyDescent="0.2">
      <c r="A27" s="93"/>
      <c r="B27" s="93"/>
      <c r="C27" s="93"/>
    </row>
    <row r="28" spans="1:8" s="91" customFormat="1" x14ac:dyDescent="0.2">
      <c r="A28" s="93"/>
      <c r="B28" s="93"/>
      <c r="C28" s="93"/>
    </row>
    <row r="29" spans="1:8" s="91" customFormat="1" x14ac:dyDescent="0.2">
      <c r="A29" s="93"/>
      <c r="B29" s="93"/>
      <c r="C29" s="93"/>
    </row>
    <row r="30" spans="1:8" s="91" customFormat="1" x14ac:dyDescent="0.2">
      <c r="A30" s="93"/>
      <c r="B30" s="93"/>
      <c r="C30" s="93"/>
    </row>
    <row r="31" spans="1:8" s="91" customFormat="1" x14ac:dyDescent="0.2">
      <c r="A31" s="93"/>
      <c r="B31" s="93"/>
      <c r="C31" s="93"/>
    </row>
    <row r="32" spans="1:8" s="91" customFormat="1" x14ac:dyDescent="0.2">
      <c r="A32" s="93"/>
      <c r="B32" s="415"/>
      <c r="C32" s="415"/>
    </row>
    <row r="33" spans="1:8" s="91" customFormat="1" x14ac:dyDescent="0.2"/>
    <row r="34" spans="1:8" s="91" customFormat="1" x14ac:dyDescent="0.2"/>
    <row r="35" spans="1:8" s="91" customFormat="1" ht="13.5" thickBot="1" x14ac:dyDescent="0.25">
      <c r="H35" s="107">
        <f>SUM(H19:H34)</f>
        <v>3910</v>
      </c>
    </row>
    <row r="36" spans="1:8" s="91" customFormat="1" ht="13.5" thickTop="1" x14ac:dyDescent="0.2"/>
    <row r="37" spans="1:8" s="91" customFormat="1" ht="20.100000000000001" customHeight="1" x14ac:dyDescent="0.2">
      <c r="A37" s="96" t="s">
        <v>2674</v>
      </c>
      <c r="B37" s="96" t="s">
        <v>2675</v>
      </c>
      <c r="C37" s="96"/>
      <c r="D37" s="97"/>
      <c r="E37" s="97"/>
      <c r="F37" s="206"/>
      <c r="G37" s="206"/>
      <c r="H37" s="206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F39" s="218" t="s">
        <v>3975</v>
      </c>
      <c r="G39" s="219"/>
      <c r="H39" s="220"/>
    </row>
    <row r="40" spans="1:8" s="91" customFormat="1" x14ac:dyDescent="0.2">
      <c r="F40" s="227"/>
      <c r="G40" s="227"/>
      <c r="H40" s="227"/>
    </row>
    <row r="41" spans="1:8" s="91" customFormat="1" x14ac:dyDescent="0.2">
      <c r="F41" s="228"/>
      <c r="G41" s="229"/>
      <c r="H41" s="229"/>
    </row>
    <row r="42" spans="1:8" s="91" customFormat="1" x14ac:dyDescent="0.2"/>
    <row r="43" spans="1:8" s="91" customFormat="1" x14ac:dyDescent="0.2">
      <c r="A43" s="101"/>
      <c r="B43" s="101"/>
      <c r="C43" s="386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/>
    <row r="50" spans="1:8" s="91" customFormat="1" x14ac:dyDescent="0.2">
      <c r="A50" s="101"/>
      <c r="B50" s="101"/>
      <c r="C50" s="386"/>
      <c r="D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s="91" customFormat="1" x14ac:dyDescent="0.2">
      <c r="F52" s="91" t="s">
        <v>2</v>
      </c>
    </row>
    <row r="53" spans="1:8" s="91" customFormat="1" x14ac:dyDescent="0.2"/>
    <row r="54" spans="1:8" s="91" customFormat="1" x14ac:dyDescent="0.2">
      <c r="F54" s="2" t="s">
        <v>1</v>
      </c>
    </row>
    <row r="55" spans="1:8" s="91" customFormat="1" x14ac:dyDescent="0.2">
      <c r="F55" s="2" t="s">
        <v>0</v>
      </c>
    </row>
    <row r="56" spans="1:8" s="91" customFormat="1" x14ac:dyDescent="0.2"/>
    <row r="57" spans="1:8" s="91" customFormat="1" x14ac:dyDescent="0.2"/>
    <row r="58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B828-AB1B-4F86-9B9E-319FD7FEC98E}">
  <sheetPr codeName="Sheet734"/>
  <dimension ref="A1:P55"/>
  <sheetViews>
    <sheetView view="pageBreakPreview" zoomScale="115" zoomScaleNormal="100" zoomScaleSheetLayoutView="115" workbookViewId="0">
      <selection activeCell="G9" sqref="G9:G12"/>
    </sheetView>
  </sheetViews>
  <sheetFormatPr defaultRowHeight="12.75" x14ac:dyDescent="0.2"/>
  <cols>
    <col min="1" max="1" width="16" style="153" customWidth="1"/>
    <col min="2" max="2" width="12.140625" style="153" customWidth="1"/>
    <col min="3" max="3" width="1.28515625" style="153" customWidth="1"/>
    <col min="4" max="4" width="19.42578125" style="153" customWidth="1"/>
    <col min="5" max="5" width="1.42578125" style="153" customWidth="1"/>
    <col min="6" max="6" width="15.28515625" style="153" customWidth="1"/>
    <col min="7" max="7" width="11.28515625" style="153" customWidth="1"/>
    <col min="8" max="8" width="13.28515625" style="153" customWidth="1"/>
    <col min="9" max="15" width="9.140625" style="152"/>
    <col min="16" max="16" width="9.7109375" style="152" bestFit="1" customWidth="1"/>
    <col min="17" max="16384" width="9.140625" style="152"/>
  </cols>
  <sheetData>
    <row r="1" spans="1:16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6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6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6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6" x14ac:dyDescent="0.2">
      <c r="A8" s="153" t="s">
        <v>32</v>
      </c>
      <c r="F8" s="154" t="s">
        <v>31</v>
      </c>
      <c r="J8" s="152" t="s">
        <v>7683</v>
      </c>
      <c r="K8" s="152">
        <v>43670</v>
      </c>
      <c r="M8" s="152" t="s">
        <v>7684</v>
      </c>
    </row>
    <row r="9" spans="1:16" x14ac:dyDescent="0.2">
      <c r="F9" s="155" t="s">
        <v>1317</v>
      </c>
      <c r="G9" s="91" t="s">
        <v>7873</v>
      </c>
    </row>
    <row r="10" spans="1:16" x14ac:dyDescent="0.2">
      <c r="A10" s="153" t="s">
        <v>7538</v>
      </c>
      <c r="F10" s="155" t="s">
        <v>1329</v>
      </c>
      <c r="G10" s="98" t="s">
        <v>7874</v>
      </c>
      <c r="J10" s="152" t="s">
        <v>7873</v>
      </c>
      <c r="K10" s="152">
        <v>43728</v>
      </c>
      <c r="M10" s="152" t="s">
        <v>7877</v>
      </c>
    </row>
    <row r="11" spans="1:16" x14ac:dyDescent="0.2">
      <c r="A11" s="153" t="s">
        <v>7539</v>
      </c>
      <c r="F11" s="155" t="s">
        <v>1330</v>
      </c>
      <c r="G11" s="92" t="s">
        <v>1220</v>
      </c>
    </row>
    <row r="12" spans="1:16" x14ac:dyDescent="0.2">
      <c r="A12" s="153" t="s">
        <v>1683</v>
      </c>
      <c r="F12" s="155" t="s">
        <v>1331</v>
      </c>
      <c r="G12" s="92" t="s">
        <v>7877</v>
      </c>
    </row>
    <row r="13" spans="1:16" x14ac:dyDescent="0.2">
      <c r="A13" s="153" t="s">
        <v>1314</v>
      </c>
      <c r="L13" s="153" t="s">
        <v>7525</v>
      </c>
      <c r="M13" s="153"/>
      <c r="N13" s="153"/>
      <c r="O13" s="153"/>
      <c r="P13" s="153">
        <v>3000</v>
      </c>
    </row>
    <row r="14" spans="1:16" x14ac:dyDescent="0.2">
      <c r="L14" s="153" t="s">
        <v>2147</v>
      </c>
      <c r="M14" s="153"/>
      <c r="N14" s="153"/>
      <c r="O14" s="153"/>
      <c r="P14" s="153">
        <f>P13*6%</f>
        <v>180</v>
      </c>
    </row>
    <row r="15" spans="1:16" x14ac:dyDescent="0.2">
      <c r="L15" s="153"/>
      <c r="M15" s="153"/>
      <c r="N15" s="153"/>
      <c r="O15" s="153"/>
      <c r="P15" s="153"/>
    </row>
    <row r="16" spans="1:16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L16" s="153" t="s">
        <v>7526</v>
      </c>
      <c r="M16" s="153"/>
      <c r="N16" s="153"/>
      <c r="O16" s="153"/>
      <c r="P16" s="153">
        <f>3000*4</f>
        <v>12000</v>
      </c>
    </row>
    <row r="17" spans="1:16" x14ac:dyDescent="0.2">
      <c r="A17" s="164"/>
      <c r="K17" s="153"/>
      <c r="L17" s="153" t="s">
        <v>7527</v>
      </c>
      <c r="M17" s="153"/>
      <c r="N17" s="153"/>
      <c r="O17" s="153"/>
      <c r="P17" s="153">
        <f>3000*4</f>
        <v>12000</v>
      </c>
    </row>
    <row r="18" spans="1:16" x14ac:dyDescent="0.2">
      <c r="A18" s="169"/>
      <c r="B18" s="404"/>
      <c r="D18" s="163" t="s">
        <v>6088</v>
      </c>
      <c r="E18" s="163"/>
      <c r="K18" s="153"/>
      <c r="L18" s="153" t="s">
        <v>2147</v>
      </c>
      <c r="M18" s="153"/>
      <c r="N18" s="153"/>
      <c r="O18" s="153"/>
      <c r="P18" s="153">
        <f>SUM(P16+P17)*6%</f>
        <v>1440</v>
      </c>
    </row>
    <row r="19" spans="1:16" x14ac:dyDescent="0.2">
      <c r="A19" s="164"/>
      <c r="E19" s="163"/>
      <c r="K19" s="153"/>
      <c r="L19" s="153"/>
      <c r="M19" s="153"/>
      <c r="N19" s="153"/>
      <c r="O19" s="153"/>
    </row>
    <row r="20" spans="1:16" x14ac:dyDescent="0.2">
      <c r="A20" s="166" t="s">
        <v>7434</v>
      </c>
      <c r="B20" s="168" t="s">
        <v>7540</v>
      </c>
      <c r="C20" s="168"/>
      <c r="D20" s="153" t="s">
        <v>7814</v>
      </c>
      <c r="H20" s="153">
        <v>30000</v>
      </c>
    </row>
    <row r="21" spans="1:16" x14ac:dyDescent="0.2">
      <c r="A21" s="166"/>
      <c r="B21" s="168"/>
      <c r="C21" s="168"/>
    </row>
    <row r="22" spans="1:16" x14ac:dyDescent="0.2">
      <c r="A22" s="166"/>
      <c r="B22" s="173"/>
    </row>
    <row r="23" spans="1:16" x14ac:dyDescent="0.2">
      <c r="A23" s="166"/>
      <c r="B23" s="168"/>
    </row>
    <row r="24" spans="1:16" x14ac:dyDescent="0.2">
      <c r="A24" s="166"/>
      <c r="B24" s="168"/>
    </row>
    <row r="25" spans="1:16" x14ac:dyDescent="0.2">
      <c r="A25" s="166"/>
      <c r="B25" s="168"/>
    </row>
    <row r="26" spans="1:16" x14ac:dyDescent="0.2">
      <c r="A26" s="168"/>
      <c r="B26" s="173"/>
    </row>
    <row r="27" spans="1:16" x14ac:dyDescent="0.2">
      <c r="A27" s="168"/>
      <c r="B27" s="173"/>
    </row>
    <row r="28" spans="1:16" x14ac:dyDescent="0.2">
      <c r="A28" s="168"/>
      <c r="B28" s="173"/>
    </row>
    <row r="29" spans="1:16" x14ac:dyDescent="0.2">
      <c r="A29" s="168"/>
      <c r="B29" s="173"/>
    </row>
    <row r="30" spans="1:16" x14ac:dyDescent="0.2">
      <c r="D30" s="163"/>
    </row>
    <row r="31" spans="1:16" x14ac:dyDescent="0.2">
      <c r="A31" s="168"/>
      <c r="B31" s="173"/>
    </row>
    <row r="32" spans="1:16" x14ac:dyDescent="0.2">
      <c r="A32" s="166"/>
      <c r="B32" s="168"/>
    </row>
    <row r="33" spans="1:8" x14ac:dyDescent="0.2">
      <c r="A33" s="168"/>
      <c r="B33" s="173"/>
    </row>
    <row r="34" spans="1:8" x14ac:dyDescent="0.2">
      <c r="A34" s="168"/>
      <c r="B34" s="168"/>
      <c r="C34" s="152"/>
    </row>
    <row r="35" spans="1:8" x14ac:dyDescent="0.2">
      <c r="A35" s="164"/>
      <c r="H35" s="152"/>
    </row>
    <row r="36" spans="1:8" ht="13.5" thickBot="1" x14ac:dyDescent="0.25">
      <c r="A36" s="164"/>
      <c r="H36" s="182">
        <f>SUM(H18:H34)</f>
        <v>30000</v>
      </c>
    </row>
    <row r="37" spans="1:8" ht="13.5" thickTop="1" x14ac:dyDescent="0.2">
      <c r="A37" s="164"/>
    </row>
    <row r="38" spans="1:8" ht="20.100000000000001" customHeight="1" x14ac:dyDescent="0.2">
      <c r="A38" s="171" t="s">
        <v>1248</v>
      </c>
      <c r="B38" s="213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Thirty Thousand and NO/100 -----------</v>
      </c>
      <c r="C38" s="213"/>
      <c r="D38" s="172"/>
      <c r="E38" s="172"/>
      <c r="F38" s="172"/>
      <c r="G38" s="172"/>
      <c r="H38" s="172"/>
    </row>
    <row r="39" spans="1:8" x14ac:dyDescent="0.2">
      <c r="A39" s="169"/>
    </row>
    <row r="40" spans="1:8" ht="25.5" x14ac:dyDescent="0.2">
      <c r="A40" s="153" t="s">
        <v>10</v>
      </c>
      <c r="F40" s="242" t="s">
        <v>3975</v>
      </c>
      <c r="G40" s="243"/>
      <c r="H40" s="244"/>
    </row>
    <row r="42" spans="1:8" x14ac:dyDescent="0.2">
      <c r="F42" s="258"/>
      <c r="G42" s="258"/>
      <c r="H42" s="258"/>
    </row>
    <row r="43" spans="1:8" x14ac:dyDescent="0.2">
      <c r="A43" s="153" t="s">
        <v>120</v>
      </c>
      <c r="D43" s="173"/>
      <c r="E43" s="173"/>
      <c r="F43" s="259"/>
      <c r="G43" s="260"/>
      <c r="H43" s="260"/>
    </row>
    <row r="44" spans="1:8" x14ac:dyDescent="0.2">
      <c r="A44" s="250"/>
      <c r="B44" s="174"/>
    </row>
    <row r="46" spans="1:8" x14ac:dyDescent="0.2">
      <c r="A46" s="153" t="s">
        <v>8</v>
      </c>
      <c r="D46" s="153" t="s">
        <v>8</v>
      </c>
      <c r="F46" s="175" t="s">
        <v>7</v>
      </c>
      <c r="H46" s="176"/>
    </row>
    <row r="50" spans="1:8" x14ac:dyDescent="0.2">
      <c r="A50" s="174"/>
      <c r="B50" s="174"/>
      <c r="D50" s="174"/>
      <c r="F50" s="174"/>
      <c r="G50" s="174"/>
      <c r="H50" s="174"/>
    </row>
    <row r="51" spans="1:8" s="178" customFormat="1" ht="17.100000000000001" customHeight="1" x14ac:dyDescent="0.2">
      <c r="A51" s="153" t="s">
        <v>4066</v>
      </c>
      <c r="B51" s="177"/>
      <c r="C51" s="177"/>
      <c r="D51" s="153" t="s">
        <v>50</v>
      </c>
      <c r="E51" s="156"/>
      <c r="F51" s="156" t="s">
        <v>3</v>
      </c>
      <c r="G51" s="156"/>
      <c r="H51" s="156"/>
    </row>
    <row r="52" spans="1:8" x14ac:dyDescent="0.2">
      <c r="F52" s="153" t="s">
        <v>2</v>
      </c>
    </row>
    <row r="54" spans="1:8" x14ac:dyDescent="0.2">
      <c r="F54" s="163" t="s">
        <v>1</v>
      </c>
    </row>
    <row r="55" spans="1:8" x14ac:dyDescent="0.2">
      <c r="F55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2F23-529A-40A4-8818-6A477BB27353}">
  <sheetPr codeName="Sheet714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7" width="9.140625" style="1"/>
    <col min="8" max="9" width="9.42578125" style="1" bestFit="1" customWidth="1"/>
    <col min="10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D9" s="92" t="s">
        <v>1317</v>
      </c>
      <c r="E9" s="155" t="s">
        <v>7367</v>
      </c>
    </row>
    <row r="10" spans="1:14" x14ac:dyDescent="0.2">
      <c r="A10" s="91" t="s">
        <v>7369</v>
      </c>
      <c r="D10" s="92" t="s">
        <v>1329</v>
      </c>
      <c r="E10" s="155" t="s">
        <v>7358</v>
      </c>
    </row>
    <row r="11" spans="1:14" x14ac:dyDescent="0.2">
      <c r="A11" s="91" t="s">
        <v>7373</v>
      </c>
      <c r="D11" s="92" t="s">
        <v>1330</v>
      </c>
      <c r="E11" s="155" t="s">
        <v>1220</v>
      </c>
    </row>
    <row r="12" spans="1:14" x14ac:dyDescent="0.2">
      <c r="A12" s="91" t="s">
        <v>7370</v>
      </c>
      <c r="D12" s="92" t="s">
        <v>1331</v>
      </c>
      <c r="E12" s="91" t="s">
        <v>7368</v>
      </c>
    </row>
    <row r="13" spans="1:14" x14ac:dyDescent="0.2">
      <c r="A13" s="91" t="s">
        <v>7371</v>
      </c>
      <c r="H13" s="26"/>
      <c r="I13" s="26"/>
    </row>
    <row r="14" spans="1:14" x14ac:dyDescent="0.2">
      <c r="A14" s="91" t="s">
        <v>7372</v>
      </c>
    </row>
    <row r="15" spans="1:14" x14ac:dyDescent="0.2">
      <c r="A15" s="91" t="s">
        <v>1314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 t="s">
        <v>4863</v>
      </c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7376</v>
      </c>
      <c r="K18" s="91" t="s">
        <v>4734</v>
      </c>
      <c r="L18" s="91"/>
      <c r="M18" s="91"/>
      <c r="N18" s="91">
        <f>3868*0.03</f>
        <v>116.03999999999999</v>
      </c>
    </row>
    <row r="19" spans="1:14" x14ac:dyDescent="0.2">
      <c r="A19" s="93"/>
      <c r="B19" s="93"/>
      <c r="K19" s="91" t="s">
        <v>4735</v>
      </c>
      <c r="L19" s="91"/>
      <c r="M19" s="91"/>
      <c r="N19" s="91">
        <f>2601*0.5</f>
        <v>1300.5</v>
      </c>
    </row>
    <row r="20" spans="1:14" x14ac:dyDescent="0.2">
      <c r="A20" s="93" t="s">
        <v>7374</v>
      </c>
      <c r="B20" s="93" t="s">
        <v>7375</v>
      </c>
      <c r="C20" s="91" t="s">
        <v>7377</v>
      </c>
      <c r="F20" s="91">
        <v>200</v>
      </c>
      <c r="K20" s="91" t="s">
        <v>2147</v>
      </c>
      <c r="L20" s="91"/>
      <c r="M20" s="91"/>
      <c r="N20" s="91">
        <v>84.99</v>
      </c>
    </row>
    <row r="21" spans="1:14" x14ac:dyDescent="0.2">
      <c r="C21" s="91" t="s">
        <v>7378</v>
      </c>
      <c r="F21" s="91">
        <v>270</v>
      </c>
      <c r="K21" s="91"/>
      <c r="L21" s="91"/>
      <c r="M21" s="91"/>
      <c r="N21" s="91"/>
    </row>
    <row r="22" spans="1:14" x14ac:dyDescent="0.2">
      <c r="K22" s="91" t="s">
        <v>4733</v>
      </c>
      <c r="L22" s="91"/>
      <c r="M22" s="91"/>
      <c r="N22" s="91"/>
    </row>
    <row r="23" spans="1:14" x14ac:dyDescent="0.2">
      <c r="K23" s="91" t="s">
        <v>4736</v>
      </c>
      <c r="L23" s="91"/>
      <c r="M23" s="91"/>
      <c r="N23" s="91">
        <f>3810*0.03</f>
        <v>114.3</v>
      </c>
    </row>
    <row r="24" spans="1:14" x14ac:dyDescent="0.2">
      <c r="K24" s="91" t="s">
        <v>4737</v>
      </c>
      <c r="L24" s="91"/>
      <c r="M24" s="91"/>
      <c r="N24" s="91">
        <f>705*0.5</f>
        <v>352.5</v>
      </c>
    </row>
    <row r="25" spans="1:14" x14ac:dyDescent="0.2">
      <c r="A25" s="93"/>
      <c r="B25" s="93"/>
      <c r="K25" s="91" t="s">
        <v>2147</v>
      </c>
      <c r="L25" s="91"/>
      <c r="M25" s="91"/>
      <c r="N25" s="91">
        <v>28.01</v>
      </c>
    </row>
    <row r="27" spans="1:14" x14ac:dyDescent="0.2">
      <c r="K27" s="91" t="s">
        <v>6425</v>
      </c>
      <c r="L27" s="91"/>
      <c r="M27" s="91"/>
      <c r="N27" s="91">
        <v>300</v>
      </c>
    </row>
    <row r="28" spans="1:14" x14ac:dyDescent="0.2">
      <c r="K28" s="91" t="s">
        <v>2147</v>
      </c>
      <c r="N28" s="91">
        <f>N27*6%</f>
        <v>18</v>
      </c>
    </row>
    <row r="29" spans="1:14" x14ac:dyDescent="0.2">
      <c r="K29" s="91"/>
      <c r="L29" s="91"/>
      <c r="M29" s="91"/>
      <c r="N29" s="91"/>
    </row>
    <row r="31" spans="1:14" x14ac:dyDescent="0.2">
      <c r="K31" s="91" t="s">
        <v>6500</v>
      </c>
      <c r="L31" s="91"/>
      <c r="M31" s="91"/>
      <c r="N31" s="91">
        <f>3777*0.03</f>
        <v>113.31</v>
      </c>
    </row>
    <row r="32" spans="1:14" x14ac:dyDescent="0.2">
      <c r="K32" s="91" t="s">
        <v>6501</v>
      </c>
      <c r="L32" s="91"/>
      <c r="M32" s="91"/>
      <c r="N32" s="91">
        <f>1559*0.5</f>
        <v>779.5</v>
      </c>
    </row>
    <row r="33" spans="1:14" x14ac:dyDescent="0.2">
      <c r="A33" s="106"/>
      <c r="F33" s="1"/>
      <c r="K33" s="91" t="s">
        <v>2147</v>
      </c>
      <c r="L33" s="91"/>
      <c r="M33" s="91"/>
      <c r="N33" s="91">
        <f>SUM(N31+N32)*6%</f>
        <v>53.568599999999996</v>
      </c>
    </row>
    <row r="34" spans="1:14" ht="13.5" thickBot="1" x14ac:dyDescent="0.25">
      <c r="A34" s="106"/>
      <c r="F34" s="107">
        <f>SUM(F18:F33)</f>
        <v>470</v>
      </c>
    </row>
    <row r="35" spans="1:14" ht="13.5" thickTop="1" x14ac:dyDescent="0.2">
      <c r="A35" s="106"/>
    </row>
    <row r="36" spans="1:14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Hundred Seventy and NO/100 -----------</v>
      </c>
      <c r="C36" s="97"/>
      <c r="D36" s="236"/>
      <c r="E36" s="232"/>
      <c r="F36" s="232"/>
    </row>
    <row r="37" spans="1:14" x14ac:dyDescent="0.2">
      <c r="A37" s="94"/>
    </row>
    <row r="38" spans="1:14" ht="25.5" x14ac:dyDescent="0.2">
      <c r="A38" s="91" t="s">
        <v>10</v>
      </c>
      <c r="D38" s="218" t="s">
        <v>3975</v>
      </c>
      <c r="E38" s="219"/>
      <c r="F38" s="220"/>
    </row>
    <row r="39" spans="1:14" x14ac:dyDescent="0.2">
      <c r="D39" s="227"/>
      <c r="E39" s="227"/>
      <c r="F39" s="227"/>
    </row>
    <row r="40" spans="1:14" x14ac:dyDescent="0.2">
      <c r="D40" s="228"/>
      <c r="E40" s="229"/>
      <c r="F40" s="229"/>
    </row>
    <row r="41" spans="1:14" x14ac:dyDescent="0.2">
      <c r="A41" s="1"/>
    </row>
    <row r="42" spans="1:14" x14ac:dyDescent="0.2">
      <c r="A42" s="101"/>
      <c r="B42" s="101"/>
    </row>
    <row r="44" spans="1:14" x14ac:dyDescent="0.2">
      <c r="A44" s="91" t="s">
        <v>8</v>
      </c>
      <c r="D44" s="98" t="s">
        <v>7</v>
      </c>
      <c r="F44" s="102"/>
    </row>
    <row r="48" spans="1:14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925F-F34D-4DC7-B1F9-B3D5FBE3E5CB}">
  <sheetPr codeName="Sheet715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7" width="9.140625" style="1"/>
    <col min="8" max="9" width="9.42578125" style="1" bestFit="1" customWidth="1"/>
    <col min="10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D9" s="92" t="s">
        <v>1317</v>
      </c>
      <c r="E9" s="155" t="s">
        <v>7379</v>
      </c>
    </row>
    <row r="10" spans="1:14" x14ac:dyDescent="0.2">
      <c r="A10" s="91" t="s">
        <v>7381</v>
      </c>
      <c r="D10" s="92" t="s">
        <v>1329</v>
      </c>
      <c r="E10" s="155" t="s">
        <v>7358</v>
      </c>
    </row>
    <row r="11" spans="1:14" x14ac:dyDescent="0.2">
      <c r="A11" s="91" t="s">
        <v>7384</v>
      </c>
      <c r="D11" s="92" t="s">
        <v>1330</v>
      </c>
      <c r="E11" s="155" t="s">
        <v>1220</v>
      </c>
    </row>
    <row r="12" spans="1:14" x14ac:dyDescent="0.2">
      <c r="A12" s="91" t="s">
        <v>7382</v>
      </c>
      <c r="D12" s="92" t="s">
        <v>1331</v>
      </c>
      <c r="E12" s="91" t="s">
        <v>7380</v>
      </c>
    </row>
    <row r="13" spans="1:14" x14ac:dyDescent="0.2">
      <c r="A13" s="91" t="s">
        <v>7383</v>
      </c>
      <c r="H13" s="26"/>
      <c r="I13" s="26"/>
    </row>
    <row r="14" spans="1:14" x14ac:dyDescent="0.2">
      <c r="A14" s="91" t="s">
        <v>1943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 t="s">
        <v>4863</v>
      </c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7385</v>
      </c>
      <c r="K18" s="91" t="s">
        <v>4734</v>
      </c>
      <c r="L18" s="91"/>
      <c r="M18" s="91"/>
      <c r="N18" s="91">
        <f>3868*0.03</f>
        <v>116.03999999999999</v>
      </c>
    </row>
    <row r="19" spans="1:14" x14ac:dyDescent="0.2">
      <c r="A19" s="93"/>
      <c r="B19" s="93"/>
      <c r="K19" s="91" t="s">
        <v>4735</v>
      </c>
      <c r="L19" s="91"/>
      <c r="M19" s="91"/>
      <c r="N19" s="91">
        <f>2601*0.5</f>
        <v>1300.5</v>
      </c>
    </row>
    <row r="20" spans="1:14" x14ac:dyDescent="0.2">
      <c r="A20" s="93" t="s">
        <v>7386</v>
      </c>
      <c r="B20" s="93" t="s">
        <v>7387</v>
      </c>
      <c r="C20" s="91" t="s">
        <v>7388</v>
      </c>
      <c r="F20" s="91">
        <v>1650</v>
      </c>
      <c r="K20" s="91" t="s">
        <v>2147</v>
      </c>
      <c r="L20" s="91"/>
      <c r="M20" s="91"/>
      <c r="N20" s="91">
        <v>84.99</v>
      </c>
    </row>
    <row r="21" spans="1:14" x14ac:dyDescent="0.2">
      <c r="K21" s="91"/>
      <c r="L21" s="91"/>
      <c r="M21" s="91"/>
      <c r="N21" s="91"/>
    </row>
    <row r="22" spans="1:14" x14ac:dyDescent="0.2">
      <c r="K22" s="91" t="s">
        <v>4733</v>
      </c>
      <c r="L22" s="91"/>
      <c r="M22" s="91"/>
      <c r="N22" s="91"/>
    </row>
    <row r="23" spans="1:14" x14ac:dyDescent="0.2">
      <c r="K23" s="91" t="s">
        <v>4736</v>
      </c>
      <c r="L23" s="91"/>
      <c r="M23" s="91"/>
      <c r="N23" s="91">
        <f>3810*0.03</f>
        <v>114.3</v>
      </c>
    </row>
    <row r="24" spans="1:14" x14ac:dyDescent="0.2">
      <c r="K24" s="91" t="s">
        <v>4737</v>
      </c>
      <c r="L24" s="91"/>
      <c r="M24" s="91"/>
      <c r="N24" s="91">
        <f>705*0.5</f>
        <v>352.5</v>
      </c>
    </row>
    <row r="25" spans="1:14" x14ac:dyDescent="0.2">
      <c r="A25" s="93"/>
      <c r="B25" s="93"/>
      <c r="K25" s="91" t="s">
        <v>2147</v>
      </c>
      <c r="L25" s="91"/>
      <c r="M25" s="91"/>
      <c r="N25" s="91">
        <v>28.01</v>
      </c>
    </row>
    <row r="27" spans="1:14" x14ac:dyDescent="0.2">
      <c r="K27" s="91" t="s">
        <v>6425</v>
      </c>
      <c r="L27" s="91"/>
      <c r="M27" s="91"/>
      <c r="N27" s="91">
        <v>300</v>
      </c>
    </row>
    <row r="28" spans="1:14" x14ac:dyDescent="0.2">
      <c r="K28" s="91" t="s">
        <v>2147</v>
      </c>
      <c r="N28" s="91">
        <f>N27*6%</f>
        <v>18</v>
      </c>
    </row>
    <row r="29" spans="1:14" x14ac:dyDescent="0.2">
      <c r="K29" s="91"/>
      <c r="L29" s="91"/>
      <c r="M29" s="91"/>
      <c r="N29" s="91"/>
    </row>
    <row r="31" spans="1:14" x14ac:dyDescent="0.2">
      <c r="K31" s="91" t="s">
        <v>6500</v>
      </c>
      <c r="L31" s="91"/>
      <c r="M31" s="91"/>
      <c r="N31" s="91">
        <f>3777*0.03</f>
        <v>113.31</v>
      </c>
    </row>
    <row r="32" spans="1:14" x14ac:dyDescent="0.2">
      <c r="K32" s="91" t="s">
        <v>6501</v>
      </c>
      <c r="L32" s="91"/>
      <c r="M32" s="91"/>
      <c r="N32" s="91">
        <f>1559*0.5</f>
        <v>779.5</v>
      </c>
    </row>
    <row r="33" spans="1:14" x14ac:dyDescent="0.2">
      <c r="A33" s="106"/>
      <c r="F33" s="1"/>
      <c r="K33" s="91" t="s">
        <v>2147</v>
      </c>
      <c r="L33" s="91"/>
      <c r="M33" s="91"/>
      <c r="N33" s="91">
        <f>SUM(N31+N32)*6%</f>
        <v>53.568599999999996</v>
      </c>
    </row>
    <row r="34" spans="1:14" ht="13.5" thickBot="1" x14ac:dyDescent="0.25">
      <c r="A34" s="106"/>
      <c r="F34" s="107">
        <f>SUM(F18:F33)</f>
        <v>1650</v>
      </c>
    </row>
    <row r="35" spans="1:14" ht="13.5" thickTop="1" x14ac:dyDescent="0.2">
      <c r="A35" s="106"/>
    </row>
    <row r="36" spans="1:14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Six Hundred Fifty and NO/100 -----------</v>
      </c>
      <c r="C36" s="97"/>
      <c r="D36" s="236"/>
      <c r="E36" s="232"/>
      <c r="F36" s="232"/>
    </row>
    <row r="37" spans="1:14" x14ac:dyDescent="0.2">
      <c r="A37" s="94"/>
    </row>
    <row r="38" spans="1:14" ht="25.5" x14ac:dyDescent="0.2">
      <c r="A38" s="91" t="s">
        <v>10</v>
      </c>
      <c r="D38" s="218" t="s">
        <v>3975</v>
      </c>
      <c r="E38" s="219"/>
      <c r="F38" s="220"/>
    </row>
    <row r="39" spans="1:14" x14ac:dyDescent="0.2">
      <c r="D39" s="227"/>
      <c r="E39" s="227"/>
      <c r="F39" s="227"/>
    </row>
    <row r="40" spans="1:14" x14ac:dyDescent="0.2">
      <c r="D40" s="228"/>
      <c r="E40" s="229"/>
      <c r="F40" s="229"/>
    </row>
    <row r="41" spans="1:14" x14ac:dyDescent="0.2">
      <c r="A41" s="1"/>
    </row>
    <row r="42" spans="1:14" x14ac:dyDescent="0.2">
      <c r="A42" s="101"/>
      <c r="B42" s="101"/>
    </row>
    <row r="44" spans="1:14" x14ac:dyDescent="0.2">
      <c r="A44" s="91" t="s">
        <v>8</v>
      </c>
      <c r="D44" s="98" t="s">
        <v>7</v>
      </c>
      <c r="F44" s="102"/>
    </row>
    <row r="48" spans="1:14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6042-5F0D-419D-8E81-91FA91C1C851}">
  <sheetPr codeName="Sheet696"/>
  <dimension ref="A1:Q55"/>
  <sheetViews>
    <sheetView view="pageBreakPreview" topLeftCell="A7" zoomScaleNormal="100" zoomScaleSheetLayoutView="100" workbookViewId="0">
      <selection activeCell="D30" sqref="D30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8554687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9" width="9.140625" style="1"/>
    <col min="10" max="10" width="21.85546875" style="1" bestFit="1" customWidth="1"/>
    <col min="11" max="11" width="9.42578125" style="1" bestFit="1" customWidth="1"/>
    <col min="12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5" x14ac:dyDescent="0.2">
      <c r="A9" s="91"/>
      <c r="B9" s="91"/>
      <c r="C9" s="91"/>
      <c r="D9" s="91"/>
      <c r="E9" s="91"/>
      <c r="F9" s="92" t="s">
        <v>1517</v>
      </c>
      <c r="G9" s="91" t="s">
        <v>8786</v>
      </c>
      <c r="H9" s="91"/>
      <c r="J9" s="26"/>
      <c r="K9" s="26"/>
    </row>
    <row r="10" spans="1:15" x14ac:dyDescent="0.2">
      <c r="A10" s="91" t="s">
        <v>7202</v>
      </c>
      <c r="B10" s="91"/>
      <c r="C10" s="91"/>
      <c r="D10" s="91"/>
      <c r="E10" s="91"/>
      <c r="F10" s="92" t="s">
        <v>1357</v>
      </c>
      <c r="G10" s="92" t="s">
        <v>8783</v>
      </c>
      <c r="H10" s="91"/>
    </row>
    <row r="11" spans="1:15" x14ac:dyDescent="0.2">
      <c r="A11" s="91" t="s">
        <v>7203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15" x14ac:dyDescent="0.2">
      <c r="A12" s="91" t="s">
        <v>7204</v>
      </c>
      <c r="B12" s="91"/>
      <c r="C12" s="91"/>
      <c r="D12" s="91"/>
      <c r="E12" s="91"/>
      <c r="F12" s="92" t="s">
        <v>1377</v>
      </c>
      <c r="G12" s="92" t="s">
        <v>8787</v>
      </c>
      <c r="H12" s="91"/>
    </row>
    <row r="13" spans="1:15" x14ac:dyDescent="0.2">
      <c r="A13" s="91" t="s">
        <v>1337</v>
      </c>
      <c r="B13" s="91"/>
      <c r="C13" s="91"/>
      <c r="D13" s="91"/>
      <c r="E13" s="91"/>
      <c r="F13" s="91"/>
      <c r="G13" s="91" t="s">
        <v>7762</v>
      </c>
      <c r="H13" s="91"/>
    </row>
    <row r="14" spans="1:15" x14ac:dyDescent="0.2">
      <c r="A14" s="91"/>
      <c r="B14" s="91"/>
      <c r="C14" s="91"/>
      <c r="D14" s="91"/>
      <c r="E14" s="91"/>
      <c r="F14" s="91"/>
      <c r="G14" s="91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</row>
    <row r="16" spans="1:15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  <c r="L16" s="2" t="s">
        <v>4243</v>
      </c>
      <c r="M16" s="91"/>
      <c r="N16" s="91"/>
      <c r="O16" s="91"/>
    </row>
    <row r="17" spans="1:17" x14ac:dyDescent="0.2">
      <c r="A17" s="91"/>
      <c r="B17" s="91"/>
      <c r="C17" s="91"/>
      <c r="D17" s="91"/>
      <c r="E17" s="91"/>
      <c r="F17" s="91"/>
      <c r="G17" s="91"/>
      <c r="H17" s="91"/>
      <c r="L17" s="91"/>
      <c r="M17" s="91"/>
      <c r="N17" s="91"/>
      <c r="O17" s="91"/>
    </row>
    <row r="18" spans="1:17" x14ac:dyDescent="0.2">
      <c r="A18" s="91"/>
      <c r="B18" s="91"/>
      <c r="C18" s="91"/>
      <c r="D18" s="2" t="s">
        <v>7205</v>
      </c>
      <c r="E18" s="2"/>
      <c r="F18" s="91"/>
      <c r="G18" s="91"/>
      <c r="H18" s="91"/>
      <c r="L18" s="91" t="s">
        <v>7192</v>
      </c>
      <c r="M18" s="91"/>
      <c r="N18" s="91"/>
      <c r="O18" s="91">
        <v>120</v>
      </c>
    </row>
    <row r="19" spans="1:17" x14ac:dyDescent="0.2">
      <c r="A19" s="91"/>
      <c r="B19" s="91"/>
      <c r="C19" s="91"/>
      <c r="D19" s="91"/>
      <c r="E19" s="91"/>
      <c r="F19" s="91"/>
      <c r="G19" s="91"/>
      <c r="H19" s="91"/>
      <c r="L19" s="91" t="s">
        <v>7193</v>
      </c>
      <c r="M19" s="91"/>
      <c r="N19" s="91"/>
      <c r="O19" s="91">
        <v>120</v>
      </c>
    </row>
    <row r="20" spans="1:17" x14ac:dyDescent="0.2">
      <c r="A20" s="93" t="s">
        <v>11</v>
      </c>
      <c r="B20" s="93" t="s">
        <v>7564</v>
      </c>
      <c r="C20" s="93"/>
      <c r="D20" s="91" t="s">
        <v>8788</v>
      </c>
      <c r="E20" s="91"/>
      <c r="F20" s="91"/>
      <c r="G20" s="91"/>
      <c r="H20" s="91">
        <v>250</v>
      </c>
      <c r="L20" s="91" t="s">
        <v>7194</v>
      </c>
      <c r="M20" s="91"/>
      <c r="N20" s="91"/>
      <c r="O20" s="91">
        <v>120</v>
      </c>
    </row>
    <row r="21" spans="1:17" x14ac:dyDescent="0.2">
      <c r="A21" s="93"/>
      <c r="B21" s="93"/>
      <c r="C21" s="93"/>
      <c r="D21" s="91"/>
      <c r="E21" s="91"/>
      <c r="F21" s="91"/>
      <c r="G21" s="91"/>
      <c r="H21" s="91"/>
      <c r="L21" s="91" t="s">
        <v>7195</v>
      </c>
      <c r="M21" s="91"/>
      <c r="N21" s="91"/>
      <c r="O21" s="91">
        <v>120</v>
      </c>
    </row>
    <row r="22" spans="1:17" x14ac:dyDescent="0.2">
      <c r="A22" s="93"/>
      <c r="B22" s="93"/>
      <c r="C22" s="93"/>
      <c r="D22" s="91"/>
      <c r="E22" s="91"/>
      <c r="F22" s="91"/>
      <c r="G22" s="91"/>
      <c r="H22" s="91"/>
      <c r="L22" s="91" t="s">
        <v>7196</v>
      </c>
      <c r="M22" s="91"/>
      <c r="N22" s="91"/>
      <c r="O22" s="91">
        <v>120</v>
      </c>
    </row>
    <row r="23" spans="1:17" x14ac:dyDescent="0.2">
      <c r="A23" s="93"/>
      <c r="B23" s="93"/>
      <c r="C23" s="93"/>
      <c r="D23" s="91"/>
      <c r="E23" s="91"/>
      <c r="F23" s="91"/>
      <c r="G23" s="91"/>
      <c r="H23" s="91"/>
      <c r="L23" s="91"/>
      <c r="M23" s="91"/>
      <c r="N23" s="91"/>
      <c r="O23" s="91"/>
    </row>
    <row r="24" spans="1:17" x14ac:dyDescent="0.2">
      <c r="A24" s="93"/>
      <c r="B24" s="93"/>
      <c r="C24" s="93"/>
      <c r="D24" s="91"/>
      <c r="E24" s="91"/>
      <c r="F24" s="91"/>
      <c r="G24" s="91"/>
      <c r="H24" s="91"/>
      <c r="L24" s="91"/>
      <c r="M24" s="91"/>
      <c r="N24" s="2" t="s">
        <v>5338</v>
      </c>
      <c r="O24" s="91"/>
      <c r="P24" s="91"/>
      <c r="Q24" s="91"/>
    </row>
    <row r="25" spans="1:17" x14ac:dyDescent="0.2">
      <c r="A25" s="93"/>
      <c r="B25" s="99"/>
      <c r="C25" s="412"/>
      <c r="D25" s="91"/>
      <c r="E25" s="91"/>
      <c r="F25" s="91"/>
      <c r="G25" s="91"/>
      <c r="H25" s="91"/>
      <c r="L25" s="91"/>
      <c r="M25" s="91"/>
      <c r="N25" s="91"/>
      <c r="O25" s="91"/>
      <c r="P25" s="91"/>
      <c r="Q25" s="91"/>
    </row>
    <row r="26" spans="1:17" x14ac:dyDescent="0.2">
      <c r="A26" s="93"/>
      <c r="B26" s="99"/>
      <c r="C26" s="412"/>
      <c r="D26" s="91"/>
      <c r="E26" s="91"/>
      <c r="F26" s="91"/>
      <c r="G26" s="91"/>
      <c r="H26" s="91"/>
      <c r="L26" s="93"/>
      <c r="M26" s="93" t="s">
        <v>7197</v>
      </c>
      <c r="N26" s="91" t="s">
        <v>7198</v>
      </c>
      <c r="O26" s="91"/>
      <c r="P26" s="91"/>
      <c r="Q26" s="91">
        <v>90</v>
      </c>
    </row>
    <row r="27" spans="1:17" x14ac:dyDescent="0.2">
      <c r="A27" s="93"/>
      <c r="B27" s="99"/>
      <c r="C27" s="412"/>
      <c r="D27" s="91"/>
      <c r="E27" s="91"/>
      <c r="F27" s="91"/>
      <c r="G27" s="91"/>
      <c r="H27" s="91"/>
      <c r="L27" s="93" t="s">
        <v>7199</v>
      </c>
      <c r="M27" s="93" t="s">
        <v>7200</v>
      </c>
      <c r="N27" s="91" t="s">
        <v>7201</v>
      </c>
      <c r="O27" s="91"/>
      <c r="P27" s="91"/>
      <c r="Q27" s="91">
        <v>90</v>
      </c>
    </row>
    <row r="28" spans="1:17" x14ac:dyDescent="0.2">
      <c r="A28" s="93"/>
      <c r="B28" s="412"/>
      <c r="C28" s="412"/>
      <c r="D28" s="91"/>
      <c r="E28" s="91"/>
      <c r="F28" s="91"/>
      <c r="G28" s="91"/>
      <c r="H28" s="91"/>
      <c r="L28" s="93"/>
      <c r="M28" s="93"/>
      <c r="N28" s="91"/>
      <c r="O28" s="91"/>
      <c r="P28" s="91"/>
      <c r="Q28" s="91"/>
    </row>
    <row r="29" spans="1:17" x14ac:dyDescent="0.2">
      <c r="A29" s="93"/>
      <c r="B29" s="412"/>
      <c r="C29" s="412"/>
      <c r="D29" s="91"/>
      <c r="E29" s="91"/>
      <c r="F29" s="91"/>
      <c r="G29" s="91"/>
      <c r="H29" s="91"/>
      <c r="L29" s="93"/>
      <c r="M29" s="93"/>
      <c r="N29" s="91"/>
      <c r="O29" s="91"/>
      <c r="P29" s="91"/>
      <c r="Q29" s="91"/>
    </row>
    <row r="30" spans="1:17" x14ac:dyDescent="0.2">
      <c r="A30" s="93"/>
      <c r="B30" s="99"/>
      <c r="C30" s="412"/>
      <c r="D30" s="91"/>
      <c r="E30" s="91"/>
      <c r="F30" s="91"/>
      <c r="G30" s="91"/>
      <c r="H30" s="91"/>
      <c r="N30" s="91"/>
      <c r="O30" s="91"/>
      <c r="P30" s="91"/>
      <c r="Q30" s="91"/>
    </row>
    <row r="31" spans="1:17" x14ac:dyDescent="0.2">
      <c r="A31" s="136"/>
      <c r="B31" s="94"/>
      <c r="C31" s="94"/>
      <c r="D31" s="91"/>
      <c r="E31" s="91"/>
      <c r="F31" s="91"/>
      <c r="G31" s="91"/>
      <c r="H31" s="91"/>
    </row>
    <row r="32" spans="1:17" x14ac:dyDescent="0.2">
      <c r="A32" s="147"/>
      <c r="B32" s="94"/>
      <c r="C32" s="94"/>
      <c r="D32" s="91"/>
      <c r="E32" s="91"/>
      <c r="F32" s="91"/>
      <c r="G32" s="91"/>
      <c r="H32" s="91"/>
    </row>
    <row r="33" spans="1:8" x14ac:dyDescent="0.2">
      <c r="A33" s="108"/>
      <c r="B33" s="91"/>
      <c r="C33" s="91"/>
      <c r="D33" s="91"/>
      <c r="E33" s="91"/>
      <c r="F33" s="91"/>
      <c r="G33" s="91"/>
    </row>
    <row r="34" spans="1:8" ht="13.5" thickBot="1" x14ac:dyDescent="0.25">
      <c r="A34" s="91"/>
      <c r="B34" s="91"/>
      <c r="C34" s="91"/>
      <c r="D34" s="91"/>
      <c r="E34" s="91"/>
      <c r="F34" s="91"/>
      <c r="G34" s="91"/>
      <c r="H34" s="107">
        <f>SUM(H20:H33)</f>
        <v>250</v>
      </c>
    </row>
    <row r="35" spans="1:8" ht="13.5" thickTop="1" x14ac:dyDescent="0.2">
      <c r="A35" s="91"/>
      <c r="B35" s="91"/>
      <c r="C35" s="91"/>
      <c r="D35" s="91"/>
      <c r="E35" s="91"/>
      <c r="F35" s="91"/>
      <c r="G35" s="91"/>
      <c r="H35" s="91"/>
    </row>
    <row r="36" spans="1:8" ht="20.100000000000001" customHeight="1" x14ac:dyDescent="0.2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Hundred Fifty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 t="s">
        <v>11</v>
      </c>
      <c r="B37" s="91"/>
      <c r="C37" s="91"/>
      <c r="D37" s="91"/>
      <c r="E37" s="91"/>
      <c r="F37" s="91"/>
      <c r="G37" s="91"/>
      <c r="H37" s="91"/>
    </row>
    <row r="38" spans="1:8" ht="25.5" x14ac:dyDescent="0.2">
      <c r="A38" s="61" t="s">
        <v>10</v>
      </c>
      <c r="B38" s="91"/>
      <c r="C38" s="91"/>
      <c r="D38" s="91"/>
      <c r="E38" s="91"/>
      <c r="F38" s="218" t="s">
        <v>3975</v>
      </c>
      <c r="G38" s="219"/>
      <c r="H38" s="220"/>
    </row>
    <row r="39" spans="1:8" x14ac:dyDescent="0.2">
      <c r="A39" s="91"/>
      <c r="B39" s="91"/>
      <c r="C39" s="91"/>
      <c r="D39" s="91"/>
      <c r="E39" s="91"/>
      <c r="F39" s="91"/>
      <c r="G39" s="91"/>
      <c r="H39" s="91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9"/>
      <c r="E41" s="412"/>
      <c r="F41" s="91"/>
      <c r="G41" s="91"/>
      <c r="H41" s="91"/>
    </row>
    <row r="42" spans="1:8" x14ac:dyDescent="0.2">
      <c r="A42" s="101"/>
      <c r="B42" s="101"/>
      <c r="C42" s="386"/>
      <c r="D42" s="91"/>
      <c r="E42" s="91"/>
      <c r="F42" s="91"/>
      <c r="G42" s="91"/>
      <c r="H42" s="91"/>
    </row>
    <row r="43" spans="1:8" x14ac:dyDescent="0.2">
      <c r="B43" s="91"/>
      <c r="C43" s="91"/>
      <c r="D43" s="91"/>
      <c r="E43" s="91"/>
      <c r="F43" s="91"/>
      <c r="G43" s="91"/>
      <c r="H43" s="91"/>
    </row>
    <row r="44" spans="1:8" x14ac:dyDescent="0.2">
      <c r="A44" s="98" t="s">
        <v>8</v>
      </c>
      <c r="D44" s="98" t="s">
        <v>8</v>
      </c>
      <c r="E44" s="91"/>
      <c r="F44" s="98" t="s">
        <v>7</v>
      </c>
      <c r="G44" s="91"/>
      <c r="H44" s="102"/>
    </row>
    <row r="45" spans="1:8" x14ac:dyDescent="0.2">
      <c r="A45" s="91"/>
      <c r="B45" s="91"/>
      <c r="C45" s="91"/>
      <c r="D45" s="91"/>
      <c r="E45" s="91"/>
      <c r="F45" s="91"/>
      <c r="G45" s="91"/>
      <c r="H45" s="91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101"/>
      <c r="B48" s="101"/>
      <c r="C48" s="386"/>
      <c r="D48" s="101"/>
      <c r="E48" s="91"/>
      <c r="F48" s="101"/>
      <c r="G48" s="101"/>
      <c r="H48" s="101"/>
    </row>
    <row r="49" spans="1:8" s="3" customFormat="1" ht="17.100000000000001" customHeight="1" x14ac:dyDescent="0.2">
      <c r="A49" s="103" t="s">
        <v>4066</v>
      </c>
      <c r="B49" s="104"/>
      <c r="C49" s="104"/>
      <c r="D49" s="103" t="s">
        <v>50</v>
      </c>
      <c r="E49" s="61"/>
      <c r="F49" s="61" t="s">
        <v>3</v>
      </c>
      <c r="G49" s="61"/>
      <c r="H49" s="61"/>
    </row>
    <row r="50" spans="1:8" x14ac:dyDescent="0.2">
      <c r="A50" s="91"/>
      <c r="B50" s="91"/>
      <c r="C50" s="91"/>
      <c r="D50" s="91"/>
      <c r="E50" s="91"/>
      <c r="F50" s="91" t="s">
        <v>2</v>
      </c>
      <c r="G50" s="91"/>
      <c r="H50" s="91"/>
    </row>
    <row r="51" spans="1:8" x14ac:dyDescent="0.2">
      <c r="A51" s="91"/>
      <c r="B51" s="91"/>
      <c r="C51" s="91"/>
      <c r="D51" s="91"/>
      <c r="E51" s="91"/>
      <c r="F51" s="91"/>
      <c r="G51" s="91"/>
      <c r="H51" s="91"/>
    </row>
    <row r="52" spans="1:8" x14ac:dyDescent="0.2">
      <c r="A52" s="91"/>
      <c r="B52" s="91"/>
      <c r="C52" s="91"/>
      <c r="D52" s="91"/>
      <c r="E52" s="91"/>
      <c r="F52" s="2" t="s">
        <v>1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0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1-000000000000}">
  <sheetPr codeName="Sheet638"/>
  <dimension ref="A1:H54"/>
  <sheetViews>
    <sheetView zoomScaleNormal="100" workbookViewId="0">
      <selection activeCell="G9" sqref="G9:G12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8243</v>
      </c>
    </row>
    <row r="10" spans="1:8" x14ac:dyDescent="0.2">
      <c r="A10" s="91" t="s">
        <v>6275</v>
      </c>
      <c r="F10" s="92" t="s">
        <v>1329</v>
      </c>
      <c r="G10" s="92" t="s">
        <v>8183</v>
      </c>
    </row>
    <row r="11" spans="1:8" x14ac:dyDescent="0.2">
      <c r="A11" s="91" t="s">
        <v>6276</v>
      </c>
      <c r="F11" s="92" t="s">
        <v>1330</v>
      </c>
      <c r="G11" s="92" t="s">
        <v>1220</v>
      </c>
    </row>
    <row r="12" spans="1:8" x14ac:dyDescent="0.2">
      <c r="A12" s="91" t="s">
        <v>1015</v>
      </c>
      <c r="F12" s="92" t="s">
        <v>1331</v>
      </c>
      <c r="G12" s="94" t="s">
        <v>8244</v>
      </c>
    </row>
    <row r="13" spans="1:8" x14ac:dyDescent="0.2">
      <c r="A13" s="91" t="s">
        <v>6277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7946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8223</v>
      </c>
      <c r="B20" s="93" t="s">
        <v>8245</v>
      </c>
      <c r="C20" s="93"/>
      <c r="D20" s="91" t="s">
        <v>8246</v>
      </c>
      <c r="H20" s="91">
        <v>56603.75</v>
      </c>
    </row>
    <row r="21" spans="1:8" x14ac:dyDescent="0.2">
      <c r="A21" s="93"/>
      <c r="B21" s="94"/>
      <c r="C21" s="94"/>
      <c r="D21" s="91" t="s">
        <v>8247</v>
      </c>
    </row>
    <row r="22" spans="1:8" x14ac:dyDescent="0.2">
      <c r="A22" s="93"/>
      <c r="B22" s="99"/>
      <c r="C22" s="99"/>
      <c r="D22" s="91" t="s">
        <v>7947</v>
      </c>
    </row>
    <row r="23" spans="1:8" x14ac:dyDescent="0.2">
      <c r="A23" s="93"/>
      <c r="B23" s="93"/>
      <c r="C23" s="93"/>
      <c r="D23" s="91" t="s">
        <v>7948</v>
      </c>
    </row>
    <row r="24" spans="1:8" x14ac:dyDescent="0.2">
      <c r="A24" s="93"/>
      <c r="B24" s="99"/>
      <c r="C24" s="99"/>
      <c r="D24" s="91" t="s">
        <v>6703</v>
      </c>
    </row>
    <row r="25" spans="1:8" x14ac:dyDescent="0.2">
      <c r="A25" s="93"/>
      <c r="B25" s="93"/>
      <c r="C25" s="93"/>
      <c r="D25" s="91" t="s">
        <v>7949</v>
      </c>
    </row>
    <row r="26" spans="1:8" x14ac:dyDescent="0.2">
      <c r="A26" s="93"/>
      <c r="B26" s="94"/>
      <c r="C26" s="94"/>
    </row>
    <row r="27" spans="1:8" x14ac:dyDescent="0.2">
      <c r="A27" s="93"/>
      <c r="B27" s="99"/>
      <c r="C27" s="99"/>
      <c r="D27" s="91" t="s">
        <v>7648</v>
      </c>
      <c r="H27" s="91">
        <f>H20*6%</f>
        <v>3396.2249999999999</v>
      </c>
    </row>
    <row r="28" spans="1:8" x14ac:dyDescent="0.2">
      <c r="A28" s="93"/>
      <c r="B28" s="93"/>
      <c r="C28" s="93"/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</row>
    <row r="31" spans="1:8" x14ac:dyDescent="0.2">
      <c r="A31" s="99"/>
    </row>
    <row r="32" spans="1:8" x14ac:dyDescent="0.2">
      <c r="A32" s="137"/>
      <c r="B32" s="94"/>
      <c r="C32" s="94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361">
        <f>SUM(H19:H33)</f>
        <v>59999.974999999999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Fifty-Nine Thousand Nine Hundred Ninety-Nine and 97/100 -----------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D38" s="386"/>
      <c r="F38" s="218" t="s">
        <v>3975</v>
      </c>
      <c r="G38" s="219"/>
      <c r="H38" s="220"/>
    </row>
    <row r="39" spans="1:8" x14ac:dyDescent="0.2">
      <c r="D39" s="386"/>
      <c r="F39" s="227"/>
      <c r="G39" s="227"/>
      <c r="H39" s="227"/>
    </row>
    <row r="40" spans="1:8" x14ac:dyDescent="0.2">
      <c r="D40" s="386"/>
      <c r="F40" s="228"/>
      <c r="G40" s="229"/>
      <c r="H40" s="229"/>
    </row>
    <row r="41" spans="1:8" x14ac:dyDescent="0.2">
      <c r="A41" s="1"/>
      <c r="D41" s="386"/>
    </row>
    <row r="42" spans="1:8" x14ac:dyDescent="0.2">
      <c r="A42" s="101"/>
      <c r="B42" s="101"/>
      <c r="D42" s="386"/>
    </row>
    <row r="43" spans="1:8" x14ac:dyDescent="0.2">
      <c r="D43" s="388"/>
    </row>
    <row r="44" spans="1:8" x14ac:dyDescent="0.2">
      <c r="D44" s="6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1-000000000000}">
  <sheetPr codeName="Sheet583">
    <pageSetUpPr fitToPage="1"/>
  </sheetPr>
  <dimension ref="A1:F56"/>
  <sheetViews>
    <sheetView topLeftCell="A10" workbookViewId="0">
      <selection activeCell="F34" sqref="F34"/>
    </sheetView>
  </sheetViews>
  <sheetFormatPr defaultRowHeight="12.75" x14ac:dyDescent="0.2"/>
  <cols>
    <col min="1" max="1" width="12.42578125" style="91" customWidth="1"/>
    <col min="2" max="2" width="15.5703125" style="91" customWidth="1"/>
    <col min="3" max="3" width="14.42578125" style="91" customWidth="1"/>
    <col min="4" max="4" width="16" style="91" customWidth="1"/>
    <col min="5" max="5" width="11.85546875" style="91" customWidth="1"/>
    <col min="6" max="6" width="13.425781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5755</v>
      </c>
    </row>
    <row r="10" spans="1:6" x14ac:dyDescent="0.2">
      <c r="A10" s="91" t="s">
        <v>5757</v>
      </c>
      <c r="D10" s="92" t="s">
        <v>1356</v>
      </c>
      <c r="E10" s="91" t="s">
        <v>5754</v>
      </c>
    </row>
    <row r="11" spans="1:6" x14ac:dyDescent="0.2">
      <c r="A11" s="91" t="s">
        <v>5758</v>
      </c>
      <c r="D11" s="92" t="s">
        <v>1364</v>
      </c>
      <c r="E11" s="91" t="s">
        <v>1220</v>
      </c>
    </row>
    <row r="12" spans="1:6" x14ac:dyDescent="0.2">
      <c r="A12" s="91" t="s">
        <v>5759</v>
      </c>
      <c r="D12" s="92" t="s">
        <v>1394</v>
      </c>
      <c r="E12" s="91" t="s">
        <v>5756</v>
      </c>
    </row>
    <row r="13" spans="1:6" x14ac:dyDescent="0.2">
      <c r="D13" s="92"/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  <c r="F16" s="205"/>
    </row>
    <row r="18" spans="1:6" x14ac:dyDescent="0.2">
      <c r="A18" s="93"/>
      <c r="B18" s="93"/>
      <c r="C18" s="2" t="s">
        <v>5760</v>
      </c>
    </row>
    <row r="19" spans="1:6" x14ac:dyDescent="0.2">
      <c r="A19" s="94"/>
      <c r="C19" s="2" t="s">
        <v>5761</v>
      </c>
    </row>
    <row r="20" spans="1:6" x14ac:dyDescent="0.2">
      <c r="A20" s="93"/>
      <c r="B20" s="93"/>
    </row>
    <row r="21" spans="1:6" x14ac:dyDescent="0.2">
      <c r="A21" s="93" t="s">
        <v>5735</v>
      </c>
      <c r="B21" s="93" t="s">
        <v>2032</v>
      </c>
      <c r="C21" s="91" t="s">
        <v>5763</v>
      </c>
      <c r="F21" s="91">
        <f>501.71626*8</f>
        <v>4013.7300799999998</v>
      </c>
    </row>
    <row r="22" spans="1:6" x14ac:dyDescent="0.2">
      <c r="A22" s="93"/>
      <c r="B22" s="93"/>
      <c r="C22" s="91" t="s">
        <v>5762</v>
      </c>
      <c r="F22" s="91">
        <f>F21*10%</f>
        <v>401.37300800000003</v>
      </c>
    </row>
    <row r="23" spans="1:6" x14ac:dyDescent="0.2">
      <c r="A23" s="93"/>
      <c r="B23" s="93"/>
      <c r="C23" s="91" t="s">
        <v>2147</v>
      </c>
      <c r="F23" s="91">
        <v>264.89999999999998</v>
      </c>
    </row>
    <row r="24" spans="1:6" x14ac:dyDescent="0.2">
      <c r="A24" s="93"/>
      <c r="B24" s="93"/>
    </row>
    <row r="25" spans="1:6" x14ac:dyDescent="0.2">
      <c r="A25" s="93"/>
      <c r="B25" s="93"/>
    </row>
    <row r="29" spans="1:6" x14ac:dyDescent="0.2">
      <c r="A29" s="93"/>
      <c r="B29" s="93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3"/>
    </row>
    <row r="34" spans="1:6" x14ac:dyDescent="0.2">
      <c r="B34" s="94"/>
    </row>
    <row r="35" spans="1:6" x14ac:dyDescent="0.2">
      <c r="B35" s="94"/>
    </row>
    <row r="36" spans="1:6" x14ac:dyDescent="0.2">
      <c r="B36" s="94"/>
    </row>
    <row r="37" spans="1:6" ht="13.5" thickBot="1" x14ac:dyDescent="0.25">
      <c r="F37" s="107">
        <f>SUM(F18:F35)</f>
        <v>4680.0030879999995</v>
      </c>
    </row>
    <row r="38" spans="1:6" ht="13.5" thickTop="1" x14ac:dyDescent="0.2"/>
    <row r="39" spans="1:6" ht="20.100000000000001" customHeight="1" x14ac:dyDescent="0.2">
      <c r="A39" s="96" t="s">
        <v>1465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Four Thousand Six Hundred Eighty and NO/100 -----------</v>
      </c>
      <c r="C39" s="97"/>
      <c r="D39" s="97"/>
      <c r="E39" s="97"/>
      <c r="F39" s="206"/>
    </row>
    <row r="40" spans="1:6" x14ac:dyDescent="0.2">
      <c r="A40" s="94" t="s">
        <v>11</v>
      </c>
    </row>
    <row r="41" spans="1:6" ht="24" customHeight="1" x14ac:dyDescent="0.2">
      <c r="A41" s="91" t="s">
        <v>10</v>
      </c>
      <c r="D41" s="218" t="s">
        <v>3975</v>
      </c>
      <c r="E41" s="219"/>
      <c r="F41" s="220"/>
    </row>
    <row r="43" spans="1:6" x14ac:dyDescent="0.2">
      <c r="D43" s="227"/>
      <c r="E43" s="227"/>
      <c r="F43" s="227"/>
    </row>
    <row r="44" spans="1:6" x14ac:dyDescent="0.2">
      <c r="C44" s="99"/>
      <c r="D44" s="228"/>
      <c r="E44" s="229"/>
      <c r="F44" s="229"/>
    </row>
    <row r="45" spans="1:6" x14ac:dyDescent="0.2">
      <c r="A45" s="101"/>
      <c r="B45" s="101"/>
    </row>
    <row r="47" spans="1:6" x14ac:dyDescent="0.2">
      <c r="A47" s="98" t="s">
        <v>8</v>
      </c>
      <c r="D47" s="98" t="s">
        <v>7</v>
      </c>
      <c r="E47" s="102"/>
    </row>
    <row r="51" spans="1:6" x14ac:dyDescent="0.2">
      <c r="A51" s="101"/>
      <c r="B51" s="101"/>
      <c r="D51" s="101"/>
      <c r="E51" s="101"/>
      <c r="F51" s="101"/>
    </row>
    <row r="52" spans="1:6" s="61" customFormat="1" ht="17.100000000000001" customHeight="1" x14ac:dyDescent="0.2">
      <c r="A52" s="209" t="s">
        <v>4047</v>
      </c>
      <c r="B52" s="104"/>
      <c r="D52" s="61" t="s">
        <v>3</v>
      </c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AC2E-7E7B-462C-9CE8-2F2FFBADE957}">
  <sheetPr codeName="Sheet657">
    <pageSetUpPr fitToPage="1"/>
  </sheetPr>
  <dimension ref="A1:F53"/>
  <sheetViews>
    <sheetView view="pageBreakPreview" topLeftCell="A4" zoomScaleNormal="100" zoomScaleSheetLayoutView="100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6459</v>
      </c>
      <c r="D9" s="92" t="s">
        <v>1358</v>
      </c>
      <c r="E9" s="155" t="s">
        <v>6569</v>
      </c>
    </row>
    <row r="10" spans="1:6" x14ac:dyDescent="0.2">
      <c r="A10" s="91" t="s">
        <v>6460</v>
      </c>
      <c r="D10" s="92" t="s">
        <v>1357</v>
      </c>
      <c r="E10" s="155" t="s">
        <v>6539</v>
      </c>
    </row>
    <row r="11" spans="1:6" x14ac:dyDescent="0.2">
      <c r="A11" s="91" t="s">
        <v>6461</v>
      </c>
      <c r="D11" s="92" t="s">
        <v>1330</v>
      </c>
      <c r="E11" s="155" t="s">
        <v>1220</v>
      </c>
    </row>
    <row r="12" spans="1:6" x14ac:dyDescent="0.2">
      <c r="A12" s="91" t="s">
        <v>6462</v>
      </c>
      <c r="D12" s="92" t="s">
        <v>1224</v>
      </c>
      <c r="E12" s="91" t="s">
        <v>6570</v>
      </c>
    </row>
    <row r="13" spans="1:6" x14ac:dyDescent="0.2">
      <c r="A13" s="91" t="s">
        <v>6463</v>
      </c>
    </row>
    <row r="16" spans="1:6" s="14" customFormat="1" ht="20.100000000000001" customHeight="1" x14ac:dyDescent="0.2">
      <c r="A16" s="363" t="s">
        <v>1226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 t="s">
        <v>6564</v>
      </c>
      <c r="B18" s="93" t="s">
        <v>6571</v>
      </c>
      <c r="C18" s="91" t="s">
        <v>6572</v>
      </c>
      <c r="F18" s="91">
        <v>700</v>
      </c>
    </row>
    <row r="19" spans="1:6" x14ac:dyDescent="0.2">
      <c r="A19" s="93"/>
      <c r="B19" s="93"/>
      <c r="C19" s="91" t="s">
        <v>6573</v>
      </c>
    </row>
    <row r="20" spans="1:6" x14ac:dyDescent="0.2">
      <c r="A20" s="93"/>
      <c r="B20" s="93"/>
    </row>
    <row r="21" spans="1:6" x14ac:dyDescent="0.2">
      <c r="C21" s="91" t="s">
        <v>2147</v>
      </c>
      <c r="F21" s="91">
        <f>F18*6%</f>
        <v>42</v>
      </c>
    </row>
    <row r="23" spans="1:6" x14ac:dyDescent="0.2">
      <c r="A23" s="94"/>
    </row>
    <row r="28" spans="1:6" x14ac:dyDescent="0.2">
      <c r="B28" s="94"/>
    </row>
    <row r="29" spans="1:6" x14ac:dyDescent="0.2">
      <c r="B29" s="94"/>
    </row>
    <row r="30" spans="1:6" x14ac:dyDescent="0.2">
      <c r="B30" s="94"/>
    </row>
    <row r="31" spans="1:6" x14ac:dyDescent="0.2">
      <c r="B31" s="94"/>
    </row>
    <row r="32" spans="1:6" x14ac:dyDescent="0.2">
      <c r="B32" s="94"/>
      <c r="C32" s="143"/>
      <c r="D32" s="143"/>
      <c r="E32" s="143"/>
      <c r="F32" s="143"/>
    </row>
    <row r="34" spans="1:6" ht="13.5" thickBot="1" x14ac:dyDescent="0.25">
      <c r="F34" s="95">
        <f>SUM(F18:F33)</f>
        <v>742</v>
      </c>
    </row>
    <row r="35" spans="1:6" ht="13.5" thickTop="1" x14ac:dyDescent="0.2"/>
    <row r="36" spans="1:6" ht="20.100000000000001" customHeight="1" x14ac:dyDescent="0.2">
      <c r="A36" s="96" t="s">
        <v>1075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Seven Hundred Forty-Two and NO/100 -----------</v>
      </c>
      <c r="C36" s="97"/>
      <c r="D36" s="97"/>
      <c r="E36" s="97"/>
      <c r="F36" s="97"/>
    </row>
    <row r="37" spans="1:6" x14ac:dyDescent="0.2">
      <c r="A37" s="94"/>
    </row>
    <row r="38" spans="1:6" ht="25.5" x14ac:dyDescent="0.2">
      <c r="A38" s="98" t="s">
        <v>10</v>
      </c>
      <c r="D38" s="218" t="s">
        <v>3975</v>
      </c>
      <c r="E38" s="219"/>
      <c r="F38" s="220"/>
    </row>
    <row r="39" spans="1:6" x14ac:dyDescent="0.2">
      <c r="A39" s="98"/>
    </row>
    <row r="40" spans="1:6" x14ac:dyDescent="0.2">
      <c r="A40" s="98"/>
      <c r="D40" s="227"/>
      <c r="E40" s="227"/>
      <c r="F40" s="227"/>
    </row>
    <row r="41" spans="1:6" x14ac:dyDescent="0.2">
      <c r="A41" s="98"/>
      <c r="C41" s="99"/>
      <c r="D41" s="228"/>
      <c r="E41" s="229"/>
      <c r="F41" s="229"/>
    </row>
    <row r="42" spans="1:6" x14ac:dyDescent="0.2">
      <c r="A42" s="101"/>
      <c r="B42" s="101"/>
    </row>
    <row r="43" spans="1:6" x14ac:dyDescent="0.2">
      <c r="A43" s="98"/>
    </row>
    <row r="44" spans="1:6" x14ac:dyDescent="0.2">
      <c r="A44" s="98" t="s">
        <v>8</v>
      </c>
      <c r="D44" s="98" t="s">
        <v>7</v>
      </c>
      <c r="F44" s="102"/>
    </row>
    <row r="45" spans="1:6" x14ac:dyDescent="0.2">
      <c r="A45" s="98"/>
    </row>
    <row r="46" spans="1:6" x14ac:dyDescent="0.2">
      <c r="A46" s="98"/>
    </row>
    <row r="47" spans="1:6" x14ac:dyDescent="0.2">
      <c r="A47" s="98"/>
    </row>
    <row r="48" spans="1:6" x14ac:dyDescent="0.2">
      <c r="A48" s="100"/>
      <c r="B48" s="101"/>
      <c r="D48" s="101"/>
      <c r="E48" s="101"/>
      <c r="F48" s="101"/>
    </row>
    <row r="49" spans="1:4" s="61" customFormat="1" ht="17.100000000000001" customHeight="1" x14ac:dyDescent="0.2">
      <c r="A49" s="98" t="s">
        <v>4066</v>
      </c>
      <c r="B49" s="104"/>
      <c r="D49" s="61" t="s">
        <v>3</v>
      </c>
    </row>
    <row r="50" spans="1:4" x14ac:dyDescent="0.2">
      <c r="A50" s="98"/>
      <c r="D50" s="91" t="s">
        <v>2</v>
      </c>
    </row>
    <row r="51" spans="1:4" x14ac:dyDescent="0.2">
      <c r="A51" s="98"/>
    </row>
    <row r="52" spans="1:4" x14ac:dyDescent="0.2">
      <c r="D52" s="2" t="s">
        <v>1</v>
      </c>
    </row>
    <row r="53" spans="1:4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87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4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4790</v>
      </c>
    </row>
    <row r="10" spans="1:6" x14ac:dyDescent="0.2">
      <c r="A10" s="91" t="s">
        <v>4793</v>
      </c>
      <c r="D10" s="92" t="s">
        <v>1329</v>
      </c>
      <c r="E10" s="91" t="s">
        <v>4792</v>
      </c>
    </row>
    <row r="11" spans="1:6" x14ac:dyDescent="0.2">
      <c r="A11" s="91" t="s">
        <v>4794</v>
      </c>
      <c r="D11" s="92" t="s">
        <v>1330</v>
      </c>
      <c r="E11" s="91" t="s">
        <v>1220</v>
      </c>
    </row>
    <row r="12" spans="1:6" x14ac:dyDescent="0.2">
      <c r="A12" s="91" t="s">
        <v>4795</v>
      </c>
      <c r="D12" s="92" t="s">
        <v>1331</v>
      </c>
      <c r="E12" s="91" t="s">
        <v>4791</v>
      </c>
    </row>
    <row r="13" spans="1:6" x14ac:dyDescent="0.2">
      <c r="A13" s="91" t="s">
        <v>4796</v>
      </c>
    </row>
    <row r="14" spans="1:6" x14ac:dyDescent="0.2">
      <c r="A14" s="91" t="s">
        <v>4797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4798</v>
      </c>
    </row>
    <row r="19" spans="1:6" x14ac:dyDescent="0.2">
      <c r="A19" s="106"/>
      <c r="C19" s="2"/>
    </row>
    <row r="20" spans="1:6" x14ac:dyDescent="0.2">
      <c r="A20" s="93" t="s">
        <v>4799</v>
      </c>
      <c r="B20" s="272" t="s">
        <v>4800</v>
      </c>
      <c r="C20" s="91" t="s">
        <v>4801</v>
      </c>
      <c r="F20" s="91">
        <v>6000</v>
      </c>
    </row>
    <row r="21" spans="1:6" x14ac:dyDescent="0.2">
      <c r="A21" s="93"/>
      <c r="B21" s="94"/>
      <c r="C21" s="91" t="s">
        <v>4802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6000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Thousand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1-000000000000}">
  <sheetPr codeName="Sheet620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358" t="s">
        <v>6031</v>
      </c>
      <c r="F9" s="91"/>
    </row>
    <row r="10" spans="1:6" x14ac:dyDescent="0.2">
      <c r="A10" s="91" t="s">
        <v>6043</v>
      </c>
      <c r="B10" s="91"/>
      <c r="C10" s="91"/>
      <c r="D10" s="92" t="s">
        <v>1357</v>
      </c>
      <c r="E10" s="359" t="s">
        <v>6030</v>
      </c>
      <c r="F10" s="91"/>
    </row>
    <row r="11" spans="1:6" x14ac:dyDescent="0.2">
      <c r="A11" s="91" t="s">
        <v>6044</v>
      </c>
      <c r="B11" s="91"/>
      <c r="C11" s="91"/>
      <c r="D11" s="92" t="s">
        <v>1330</v>
      </c>
      <c r="E11" s="359" t="s">
        <v>1220</v>
      </c>
      <c r="F11" s="91"/>
    </row>
    <row r="12" spans="1:6" x14ac:dyDescent="0.2">
      <c r="A12" s="91" t="s">
        <v>2337</v>
      </c>
      <c r="B12" s="91"/>
      <c r="C12" s="91"/>
      <c r="D12" s="92" t="s">
        <v>1377</v>
      </c>
      <c r="E12" s="360" t="s">
        <v>6032</v>
      </c>
      <c r="F12" s="91"/>
    </row>
    <row r="13" spans="1:6" x14ac:dyDescent="0.2">
      <c r="A13" s="91" t="s">
        <v>1314</v>
      </c>
      <c r="B13" s="91"/>
      <c r="C13" s="91"/>
      <c r="D13" s="91"/>
      <c r="E13" s="91"/>
      <c r="F13" s="91"/>
    </row>
    <row r="14" spans="1:6" x14ac:dyDescent="0.2">
      <c r="A14" s="91" t="s">
        <v>6045</v>
      </c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7" x14ac:dyDescent="0.2">
      <c r="A17" s="91"/>
      <c r="B17" s="91"/>
      <c r="C17" s="91"/>
      <c r="D17" s="91"/>
      <c r="E17" s="91"/>
      <c r="F17" s="91"/>
    </row>
    <row r="18" spans="1:7" x14ac:dyDescent="0.2">
      <c r="A18" s="93"/>
      <c r="B18" s="93"/>
      <c r="C18" s="91" t="s">
        <v>6013</v>
      </c>
      <c r="D18" s="91"/>
      <c r="E18" s="91"/>
      <c r="F18" s="91">
        <v>2000</v>
      </c>
    </row>
    <row r="19" spans="1:7" x14ac:dyDescent="0.2">
      <c r="A19" s="93"/>
      <c r="B19" s="93"/>
      <c r="C19" s="94"/>
      <c r="D19" s="91"/>
      <c r="E19" s="91"/>
      <c r="G19" s="91"/>
    </row>
    <row r="20" spans="1:7" x14ac:dyDescent="0.2">
      <c r="A20" s="93"/>
      <c r="B20" s="93"/>
      <c r="C20" s="94"/>
      <c r="D20" s="91"/>
      <c r="E20" s="91"/>
      <c r="G20" s="91"/>
    </row>
    <row r="21" spans="1:7" x14ac:dyDescent="0.2">
      <c r="A21" s="93"/>
      <c r="B21" s="93"/>
      <c r="C21" s="94"/>
      <c r="D21" s="91"/>
      <c r="E21" s="91"/>
      <c r="G21" s="91"/>
    </row>
    <row r="22" spans="1:7" x14ac:dyDescent="0.2">
      <c r="A22" s="93"/>
      <c r="B22" s="93"/>
      <c r="C22" s="94"/>
      <c r="D22" s="91"/>
      <c r="E22" s="91"/>
      <c r="G22" s="91"/>
    </row>
    <row r="23" spans="1:7" x14ac:dyDescent="0.2">
      <c r="G23" s="91"/>
    </row>
    <row r="24" spans="1:7" x14ac:dyDescent="0.2">
      <c r="A24" s="93"/>
      <c r="B24" s="93"/>
      <c r="C24" s="94"/>
      <c r="D24" s="91"/>
      <c r="E24" s="91"/>
      <c r="F24" s="91"/>
      <c r="G24" s="91"/>
    </row>
    <row r="25" spans="1:7" x14ac:dyDescent="0.2">
      <c r="A25" s="93"/>
      <c r="B25" s="93"/>
      <c r="C25" s="94"/>
      <c r="D25" s="91"/>
      <c r="E25" s="91"/>
      <c r="G25" s="91"/>
    </row>
    <row r="26" spans="1:7" x14ac:dyDescent="0.2">
      <c r="A26" s="93"/>
      <c r="B26" s="94"/>
      <c r="C26" s="91"/>
      <c r="G26" s="91"/>
    </row>
    <row r="27" spans="1:7" x14ac:dyDescent="0.2">
      <c r="A27" s="93"/>
      <c r="B27" s="94"/>
      <c r="C27" s="91"/>
      <c r="D27" s="91"/>
      <c r="E27" s="91"/>
      <c r="F27" s="91"/>
      <c r="G27" s="91"/>
    </row>
    <row r="28" spans="1:7" x14ac:dyDescent="0.2">
      <c r="C28" s="91"/>
      <c r="F28" s="91"/>
      <c r="G28" s="91"/>
    </row>
    <row r="29" spans="1:7" x14ac:dyDescent="0.2">
      <c r="G29" s="91"/>
    </row>
    <row r="30" spans="1:7" x14ac:dyDescent="0.2">
      <c r="A30" s="93"/>
      <c r="B30" s="94"/>
      <c r="C30" s="91"/>
      <c r="D30" s="91"/>
      <c r="E30" s="91"/>
      <c r="F30" s="91"/>
      <c r="G30" s="91"/>
    </row>
    <row r="31" spans="1:7" x14ac:dyDescent="0.2">
      <c r="C31" s="91"/>
      <c r="F31" s="91"/>
      <c r="G31" s="91"/>
    </row>
    <row r="32" spans="1:7" x14ac:dyDescent="0.2">
      <c r="A32" s="91"/>
      <c r="B32" s="91"/>
      <c r="C32" s="91"/>
      <c r="D32" s="91"/>
      <c r="E32" s="91"/>
      <c r="G32" s="91"/>
    </row>
    <row r="33" spans="1:7" ht="13.5" thickBot="1" x14ac:dyDescent="0.25">
      <c r="A33" s="91"/>
      <c r="B33" s="91"/>
      <c r="C33" s="91"/>
      <c r="D33" s="91"/>
      <c r="E33" s="91"/>
      <c r="F33" s="107">
        <f>SUM(F18:F32)</f>
        <v>2000</v>
      </c>
      <c r="G33" s="91"/>
    </row>
    <row r="34" spans="1:7" ht="13.5" thickTop="1" x14ac:dyDescent="0.2">
      <c r="A34" s="91"/>
      <c r="B34" s="91"/>
      <c r="C34" s="91"/>
      <c r="D34" s="91"/>
      <c r="E34" s="91"/>
      <c r="F34" s="91"/>
      <c r="G34" s="91"/>
    </row>
    <row r="35" spans="1:7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97"/>
      <c r="D35" s="97"/>
      <c r="E35" s="97"/>
      <c r="F35" s="97"/>
      <c r="G35" s="91"/>
    </row>
    <row r="36" spans="1:7" x14ac:dyDescent="0.2">
      <c r="A36" s="94" t="s">
        <v>11</v>
      </c>
      <c r="B36" s="91"/>
      <c r="C36" s="91"/>
      <c r="D36" s="91"/>
      <c r="E36" s="91"/>
      <c r="F36" s="91"/>
    </row>
    <row r="37" spans="1:7" ht="25.5" x14ac:dyDescent="0.2">
      <c r="A37" s="91" t="s">
        <v>10</v>
      </c>
      <c r="B37" s="91"/>
      <c r="C37" s="91"/>
      <c r="D37" s="218" t="s">
        <v>3975</v>
      </c>
      <c r="E37" s="219"/>
      <c r="F37" s="220"/>
    </row>
    <row r="38" spans="1:7" x14ac:dyDescent="0.2">
      <c r="A38" s="91"/>
      <c r="B38" s="91"/>
      <c r="C38" s="91"/>
      <c r="D38" s="91"/>
      <c r="E38" s="91"/>
      <c r="F38" s="91"/>
    </row>
    <row r="39" spans="1:7" x14ac:dyDescent="0.2">
      <c r="A39" s="61"/>
      <c r="B39" s="91"/>
      <c r="C39" s="91"/>
    </row>
    <row r="40" spans="1:7" x14ac:dyDescent="0.2">
      <c r="A40" s="91"/>
      <c r="B40" s="91"/>
      <c r="C40" s="99"/>
      <c r="D40" s="91"/>
      <c r="E40" s="91"/>
      <c r="F40" s="91"/>
    </row>
    <row r="41" spans="1:7" x14ac:dyDescent="0.2">
      <c r="A41" s="101"/>
      <c r="B41" s="101"/>
      <c r="C41" s="91"/>
      <c r="D41" s="91"/>
      <c r="E41" s="91"/>
      <c r="F41" s="91"/>
    </row>
    <row r="42" spans="1:7" x14ac:dyDescent="0.2">
      <c r="B42" s="91"/>
      <c r="C42" s="91"/>
      <c r="D42" s="91"/>
      <c r="E42" s="91"/>
      <c r="F42" s="91"/>
    </row>
    <row r="43" spans="1:7" x14ac:dyDescent="0.2">
      <c r="A43" s="98" t="s">
        <v>8</v>
      </c>
      <c r="C43" s="91"/>
      <c r="D43" s="98" t="s">
        <v>7</v>
      </c>
      <c r="E43" s="91"/>
      <c r="F43" s="102"/>
    </row>
    <row r="44" spans="1:7" x14ac:dyDescent="0.2">
      <c r="A44" s="91"/>
      <c r="B44" s="91"/>
      <c r="C44" s="91"/>
      <c r="D44" s="91"/>
      <c r="E44" s="91"/>
      <c r="F44" s="91"/>
    </row>
    <row r="45" spans="1:7" x14ac:dyDescent="0.2">
      <c r="A45" s="91"/>
      <c r="B45" s="91"/>
      <c r="C45" s="91"/>
      <c r="D45" s="91"/>
      <c r="E45" s="91"/>
      <c r="F45" s="91"/>
    </row>
    <row r="46" spans="1:7" x14ac:dyDescent="0.2">
      <c r="A46" s="91"/>
      <c r="B46" s="91"/>
      <c r="C46" s="91"/>
      <c r="D46" s="91"/>
      <c r="E46" s="91"/>
      <c r="F46" s="91"/>
    </row>
    <row r="47" spans="1:7" x14ac:dyDescent="0.2">
      <c r="A47" s="101"/>
      <c r="B47" s="101"/>
      <c r="C47" s="91"/>
      <c r="D47" s="101"/>
      <c r="E47" s="101"/>
      <c r="F47" s="101"/>
    </row>
    <row r="48" spans="1:7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1:6" x14ac:dyDescent="0.2">
      <c r="A49" s="91"/>
      <c r="B49" s="91"/>
      <c r="C49" s="91"/>
      <c r="D49" s="91" t="s">
        <v>2</v>
      </c>
      <c r="E49" s="91"/>
      <c r="F49" s="91"/>
    </row>
    <row r="50" spans="1:6" x14ac:dyDescent="0.2">
      <c r="A50" s="103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1-000000000000}">
  <sheetPr codeName="Sheet340">
    <pageSetUpPr fitToPage="1"/>
  </sheetPr>
  <dimension ref="A1:F52"/>
  <sheetViews>
    <sheetView topLeftCell="A16" workbookViewId="0">
      <selection activeCell="F34" sqref="F34"/>
    </sheetView>
  </sheetViews>
  <sheetFormatPr defaultRowHeight="12.75" x14ac:dyDescent="0.2"/>
  <cols>
    <col min="1" max="1" width="15.85546875" style="153" customWidth="1"/>
    <col min="2" max="2" width="14.42578125" style="153" customWidth="1"/>
    <col min="3" max="3" width="21" style="153" customWidth="1"/>
    <col min="4" max="4" width="16.42578125" style="153" customWidth="1"/>
    <col min="5" max="5" width="8.42578125" style="153" customWidth="1"/>
    <col min="6" max="6" width="13.2851562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3319</v>
      </c>
    </row>
    <row r="10" spans="1:6" x14ac:dyDescent="0.2">
      <c r="A10" s="153" t="s">
        <v>3329</v>
      </c>
      <c r="D10" s="155" t="s">
        <v>1329</v>
      </c>
      <c r="E10" s="155" t="s">
        <v>3318</v>
      </c>
    </row>
    <row r="11" spans="1:6" x14ac:dyDescent="0.2">
      <c r="A11" s="153" t="s">
        <v>3330</v>
      </c>
      <c r="D11" s="155" t="s">
        <v>1376</v>
      </c>
      <c r="E11" s="155" t="s">
        <v>1220</v>
      </c>
    </row>
    <row r="12" spans="1:6" x14ac:dyDescent="0.2">
      <c r="A12" s="153" t="s">
        <v>3331</v>
      </c>
      <c r="D12" s="155" t="s">
        <v>1316</v>
      </c>
      <c r="E12" s="155" t="s">
        <v>770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3332</v>
      </c>
    </row>
    <row r="19" spans="1:6" x14ac:dyDescent="0.2">
      <c r="A19" s="180"/>
      <c r="C19" s="163" t="s">
        <v>3333</v>
      </c>
    </row>
    <row r="21" spans="1:6" x14ac:dyDescent="0.2">
      <c r="A21" s="187" t="s">
        <v>3334</v>
      </c>
      <c r="B21" s="168" t="s">
        <v>3335</v>
      </c>
      <c r="C21" s="153" t="s">
        <v>3336</v>
      </c>
      <c r="F21" s="110">
        <v>20000</v>
      </c>
    </row>
    <row r="22" spans="1:6" x14ac:dyDescent="0.2">
      <c r="A22" s="187"/>
      <c r="B22" s="169"/>
      <c r="F22" s="110"/>
    </row>
    <row r="23" spans="1:6" x14ac:dyDescent="0.2">
      <c r="C23" s="153" t="s">
        <v>52</v>
      </c>
      <c r="F23" s="110">
        <v>30</v>
      </c>
    </row>
    <row r="24" spans="1:6" x14ac:dyDescent="0.2">
      <c r="A24" s="179"/>
      <c r="F24" s="110"/>
    </row>
    <row r="25" spans="1:6" x14ac:dyDescent="0.2">
      <c r="A25" s="180"/>
      <c r="B25" s="169"/>
      <c r="C25" s="163"/>
      <c r="F25" s="110"/>
    </row>
    <row r="26" spans="1:6" x14ac:dyDescent="0.2">
      <c r="A26" s="179"/>
      <c r="B26" s="169"/>
      <c r="F26" s="110"/>
    </row>
    <row r="27" spans="1:6" x14ac:dyDescent="0.2">
      <c r="A27" s="179"/>
    </row>
    <row r="28" spans="1:6" x14ac:dyDescent="0.2">
      <c r="A28" s="179"/>
    </row>
    <row r="32" spans="1:6" ht="13.5" thickBot="1" x14ac:dyDescent="0.25">
      <c r="F32" s="182">
        <f>SUM(F18:F31)</f>
        <v>20030</v>
      </c>
    </row>
    <row r="33" spans="1:6" ht="13.5" thickTop="1" x14ac:dyDescent="0.2"/>
    <row r="34" spans="1:6" ht="13.5" thickBot="1" x14ac:dyDescent="0.25">
      <c r="F34" s="170"/>
    </row>
    <row r="35" spans="1:6" ht="20.100000000000001" customHeight="1" thickTop="1" x14ac:dyDescent="0.2">
      <c r="A35" s="171" t="s">
        <v>336</v>
      </c>
      <c r="B35" s="171" t="s">
        <v>3337</v>
      </c>
      <c r="C35" s="172"/>
      <c r="D35" s="172"/>
      <c r="E35" s="172"/>
      <c r="F35" s="172"/>
    </row>
    <row r="36" spans="1:6" ht="25.5" x14ac:dyDescent="0.2">
      <c r="A36" s="169" t="s">
        <v>11</v>
      </c>
      <c r="D36" s="218" t="s">
        <v>3975</v>
      </c>
      <c r="E36" s="219"/>
      <c r="F36" s="220"/>
    </row>
    <row r="37" spans="1:6" x14ac:dyDescent="0.2">
      <c r="A37" s="153" t="s">
        <v>10</v>
      </c>
    </row>
    <row r="39" spans="1:6" x14ac:dyDescent="0.2">
      <c r="D39" s="227"/>
      <c r="E39" s="227"/>
      <c r="F39" s="227"/>
    </row>
    <row r="40" spans="1:6" x14ac:dyDescent="0.2">
      <c r="A40" s="153" t="s">
        <v>121</v>
      </c>
      <c r="C40" s="173"/>
      <c r="D40" s="228"/>
      <c r="E40" s="229"/>
      <c r="F40" s="229"/>
    </row>
    <row r="43" spans="1:6" x14ac:dyDescent="0.2">
      <c r="A43" s="175" t="s">
        <v>8</v>
      </c>
      <c r="D43" s="175" t="s">
        <v>7</v>
      </c>
      <c r="F43" s="176"/>
    </row>
    <row r="47" spans="1:6" x14ac:dyDescent="0.2">
      <c r="A47" s="174" t="s">
        <v>3972</v>
      </c>
      <c r="B47" s="174"/>
      <c r="D47" s="174"/>
      <c r="E47" s="174"/>
      <c r="F47" s="174"/>
    </row>
    <row r="48" spans="1:6" s="156" customFormat="1" ht="17.100000000000001" customHeight="1" x14ac:dyDescent="0.2">
      <c r="A48" s="177" t="s">
        <v>35</v>
      </c>
      <c r="B48" s="177"/>
      <c r="D48" s="156" t="s">
        <v>3</v>
      </c>
    </row>
    <row r="49" spans="1:4" x14ac:dyDescent="0.2">
      <c r="A49" s="153" t="s">
        <v>4066</v>
      </c>
      <c r="D49" s="153" t="s">
        <v>2</v>
      </c>
    </row>
    <row r="51" spans="1:4" x14ac:dyDescent="0.2">
      <c r="D51" s="163" t="s">
        <v>1</v>
      </c>
    </row>
    <row r="52" spans="1:4" x14ac:dyDescent="0.2">
      <c r="D52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1-000000000000}">
  <sheetPr codeName="Sheet555"/>
  <dimension ref="A1:H53"/>
  <sheetViews>
    <sheetView topLeftCell="A34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71093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5412</v>
      </c>
      <c r="F9" s="92" t="s">
        <v>1317</v>
      </c>
      <c r="G9" s="91" t="s">
        <v>5395</v>
      </c>
    </row>
    <row r="10" spans="1:8" x14ac:dyDescent="0.2">
      <c r="A10" s="91" t="s">
        <v>5413</v>
      </c>
      <c r="F10" s="92" t="s">
        <v>1329</v>
      </c>
      <c r="G10" s="91" t="s">
        <v>5379</v>
      </c>
    </row>
    <row r="11" spans="1:8" x14ac:dyDescent="0.2">
      <c r="A11" s="91" t="s">
        <v>5414</v>
      </c>
      <c r="F11" s="92" t="s">
        <v>1330</v>
      </c>
      <c r="G11" s="91" t="s">
        <v>1220</v>
      </c>
    </row>
    <row r="12" spans="1:8" x14ac:dyDescent="0.2">
      <c r="A12" s="91" t="s">
        <v>5415</v>
      </c>
      <c r="F12" s="92" t="s">
        <v>1331</v>
      </c>
      <c r="G12" s="94" t="s">
        <v>770</v>
      </c>
    </row>
    <row r="13" spans="1:8" x14ac:dyDescent="0.2">
      <c r="A13" s="91" t="s">
        <v>5416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5417</v>
      </c>
      <c r="E18" s="2"/>
    </row>
    <row r="19" spans="1:8" x14ac:dyDescent="0.2">
      <c r="A19" s="106"/>
      <c r="D19" s="2"/>
      <c r="E19" s="2"/>
    </row>
    <row r="20" spans="1:8" x14ac:dyDescent="0.2">
      <c r="A20" s="93"/>
      <c r="B20" s="93"/>
      <c r="C20" s="93"/>
      <c r="D20" s="91" t="s">
        <v>5418</v>
      </c>
      <c r="H20" s="91">
        <v>26000</v>
      </c>
    </row>
    <row r="21" spans="1:8" x14ac:dyDescent="0.2">
      <c r="A21" s="93"/>
      <c r="B21" s="93"/>
      <c r="C21" s="94"/>
    </row>
    <row r="22" spans="1:8" x14ac:dyDescent="0.2">
      <c r="A22" s="93"/>
      <c r="B22" s="99"/>
      <c r="C22" s="99"/>
      <c r="D22" s="91" t="s">
        <v>52</v>
      </c>
      <c r="H22" s="91">
        <v>30</v>
      </c>
    </row>
    <row r="24" spans="1:8" x14ac:dyDescent="0.2">
      <c r="D24" s="91" t="s">
        <v>2147</v>
      </c>
      <c r="H24" s="91">
        <v>1.8</v>
      </c>
    </row>
    <row r="25" spans="1:8" x14ac:dyDescent="0.2">
      <c r="A25" s="137"/>
      <c r="B25" s="99"/>
      <c r="C25" s="99"/>
    </row>
    <row r="28" spans="1:8" x14ac:dyDescent="0.2">
      <c r="D28" s="2"/>
      <c r="E28" s="2"/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</row>
    <row r="31" spans="1:8" x14ac:dyDescent="0.2">
      <c r="A31" s="99"/>
    </row>
    <row r="32" spans="1:8" x14ac:dyDescent="0.2">
      <c r="A32" s="137"/>
      <c r="B32" s="94"/>
      <c r="C32" s="94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26031.8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Twenty-Six Thousand Thirty-One and 80/100 -----------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A39" s="1"/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  <c r="B41" s="1"/>
      <c r="C41" s="1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7" spans="1:8" x14ac:dyDescent="0.2">
      <c r="A47" s="1"/>
      <c r="D47" s="1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1-000000000000}">
  <sheetPr codeName="Sheet549">
    <pageSetUpPr fitToPage="1"/>
  </sheetPr>
  <dimension ref="A1:H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A9" s="91" t="s">
        <v>5331</v>
      </c>
      <c r="F9" s="92" t="s">
        <v>1705</v>
      </c>
      <c r="G9" s="91" t="s">
        <v>5329</v>
      </c>
    </row>
    <row r="10" spans="1:8" s="91" customFormat="1" x14ac:dyDescent="0.2">
      <c r="A10" s="91" t="s">
        <v>5332</v>
      </c>
      <c r="F10" s="92" t="s">
        <v>1706</v>
      </c>
      <c r="G10" s="92" t="s">
        <v>5323</v>
      </c>
    </row>
    <row r="11" spans="1:8" s="91" customFormat="1" x14ac:dyDescent="0.2">
      <c r="A11" s="91" t="s">
        <v>1561</v>
      </c>
      <c r="F11" s="92" t="s">
        <v>1707</v>
      </c>
      <c r="G11" s="92" t="s">
        <v>1220</v>
      </c>
    </row>
    <row r="12" spans="1:8" s="91" customFormat="1" x14ac:dyDescent="0.2">
      <c r="A12" s="91" t="s">
        <v>5333</v>
      </c>
      <c r="F12" s="92" t="s">
        <v>1355</v>
      </c>
      <c r="G12" s="94" t="s">
        <v>5330</v>
      </c>
    </row>
    <row r="13" spans="1:8" s="91" customFormat="1" x14ac:dyDescent="0.2"/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3"/>
      <c r="C18" s="93"/>
      <c r="D18" s="2" t="s">
        <v>5334</v>
      </c>
    </row>
    <row r="19" spans="1:8" s="91" customFormat="1" x14ac:dyDescent="0.2">
      <c r="A19" s="93"/>
      <c r="B19" s="93"/>
      <c r="C19" s="93"/>
    </row>
    <row r="20" spans="1:8" s="91" customFormat="1" x14ac:dyDescent="0.2">
      <c r="A20" s="93" t="s">
        <v>5335</v>
      </c>
      <c r="B20" s="93" t="s">
        <v>5336</v>
      </c>
      <c r="C20" s="93"/>
      <c r="D20" s="91" t="s">
        <v>5337</v>
      </c>
      <c r="H20" s="91">
        <v>1540</v>
      </c>
    </row>
    <row r="21" spans="1:8" s="91" customFormat="1" x14ac:dyDescent="0.2">
      <c r="D21" s="91" t="s">
        <v>2147</v>
      </c>
      <c r="H21" s="91">
        <f>H20*6%</f>
        <v>92.399999999999991</v>
      </c>
    </row>
    <row r="22" spans="1:8" s="91" customFormat="1" x14ac:dyDescent="0.2">
      <c r="A22" s="93"/>
      <c r="B22" s="93"/>
      <c r="C22" s="93"/>
    </row>
    <row r="23" spans="1:8" s="91" customFormat="1" x14ac:dyDescent="0.2">
      <c r="D23" s="2"/>
      <c r="E23" s="2"/>
    </row>
    <row r="24" spans="1:8" s="91" customFormat="1" x14ac:dyDescent="0.2">
      <c r="A24" s="93"/>
      <c r="B24" s="93"/>
      <c r="C24" s="93"/>
    </row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  <c r="D26" s="2"/>
      <c r="E26" s="2"/>
    </row>
    <row r="27" spans="1:8" s="91" customFormat="1" x14ac:dyDescent="0.2"/>
    <row r="28" spans="1:8" s="91" customFormat="1" x14ac:dyDescent="0.2">
      <c r="A28" s="93"/>
      <c r="B28" s="93"/>
      <c r="C28" s="93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SUM(H18:H33)</f>
        <v>1632.4</v>
      </c>
    </row>
    <row r="35" spans="1:8" s="91" customFormat="1" ht="13.5" thickTop="1" x14ac:dyDescent="0.2"/>
    <row r="36" spans="1:8" s="91" customFormat="1" ht="21.75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Six Hundred Thirty-Two and 40/100 -----------</v>
      </c>
      <c r="C36" s="185"/>
      <c r="D36" s="97"/>
      <c r="E36" s="97"/>
      <c r="F36" s="237"/>
      <c r="G36" s="237"/>
      <c r="H36" s="237"/>
    </row>
    <row r="37" spans="1:8" s="91" customFormat="1" ht="15.75" customHeight="1" x14ac:dyDescent="0.2">
      <c r="A37" s="113"/>
      <c r="B37" s="103"/>
      <c r="C37" s="103"/>
      <c r="D37" s="61"/>
      <c r="E37" s="61"/>
      <c r="F37" s="227"/>
      <c r="G37" s="227"/>
      <c r="H37" s="227"/>
    </row>
    <row r="38" spans="1:8" s="91" customFormat="1" ht="24" customHeight="1" x14ac:dyDescent="0.2">
      <c r="A38" s="61" t="s">
        <v>10</v>
      </c>
      <c r="B38" s="103"/>
      <c r="C38" s="103"/>
      <c r="D38" s="61"/>
      <c r="E38" s="61"/>
      <c r="F38" s="218" t="s">
        <v>3975</v>
      </c>
      <c r="G38" s="219"/>
      <c r="H38" s="220"/>
    </row>
    <row r="39" spans="1:8" s="91" customFormat="1" x14ac:dyDescent="0.2">
      <c r="F39" s="228"/>
      <c r="G39" s="229"/>
      <c r="H39" s="229"/>
    </row>
    <row r="40" spans="1:8" s="91" customFormat="1" x14ac:dyDescent="0.2"/>
    <row r="41" spans="1:8" s="91" customFormat="1" x14ac:dyDescent="0.2"/>
    <row r="42" spans="1:8" s="91" customFormat="1" x14ac:dyDescent="0.2"/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/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F49" s="101"/>
      <c r="G49" s="101"/>
      <c r="H49" s="101"/>
    </row>
    <row r="50" spans="1:8" s="61" customFormat="1" ht="17.100000000000001" customHeight="1" x14ac:dyDescent="0.2">
      <c r="A50" s="209" t="s">
        <v>4066</v>
      </c>
      <c r="B50" s="104"/>
      <c r="C50" s="104"/>
      <c r="D50" s="91"/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1-000000000000}">
  <sheetPr codeName="Sheet430">
    <tabColor rgb="FFFFFF00"/>
    <pageSetUpPr fitToPage="1"/>
  </sheetPr>
  <dimension ref="A1:H53"/>
  <sheetViews>
    <sheetView workbookViewId="0">
      <selection activeCell="G12" sqref="G12"/>
    </sheetView>
  </sheetViews>
  <sheetFormatPr defaultRowHeight="12.75" x14ac:dyDescent="0.2"/>
  <cols>
    <col min="1" max="1" width="16" style="91" customWidth="1"/>
    <col min="2" max="2" width="12.85546875" style="91" customWidth="1"/>
    <col min="3" max="3" width="1.42578125" style="91" customWidth="1"/>
    <col min="4" max="4" width="21" style="91" customWidth="1"/>
    <col min="5" max="5" width="1.42578125" style="91" customWidth="1"/>
    <col min="6" max="6" width="16.42578125" style="91" customWidth="1"/>
    <col min="7" max="7" width="9.710937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4123</v>
      </c>
      <c r="F9" s="92" t="s">
        <v>1317</v>
      </c>
      <c r="G9" s="91" t="s">
        <v>7441</v>
      </c>
    </row>
    <row r="10" spans="1:8" x14ac:dyDescent="0.2">
      <c r="A10" s="91" t="s">
        <v>4089</v>
      </c>
      <c r="F10" s="92" t="s">
        <v>1329</v>
      </c>
      <c r="G10" s="92" t="s">
        <v>7435</v>
      </c>
    </row>
    <row r="11" spans="1:8" x14ac:dyDescent="0.2">
      <c r="A11" s="91" t="s">
        <v>4090</v>
      </c>
      <c r="F11" s="92" t="s">
        <v>1330</v>
      </c>
      <c r="G11" s="92" t="s">
        <v>1220</v>
      </c>
    </row>
    <row r="12" spans="1:8" x14ac:dyDescent="0.2">
      <c r="A12" s="94" t="s">
        <v>4091</v>
      </c>
      <c r="F12" s="92" t="s">
        <v>1331</v>
      </c>
      <c r="G12" s="94" t="s">
        <v>7445</v>
      </c>
    </row>
    <row r="13" spans="1:8" x14ac:dyDescent="0.2">
      <c r="A13" s="91" t="s">
        <v>1362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A18" s="93"/>
      <c r="B18" s="93"/>
      <c r="C18" s="93"/>
      <c r="D18" s="2" t="s">
        <v>7442</v>
      </c>
      <c r="E18" s="2"/>
    </row>
    <row r="20" spans="1:8" x14ac:dyDescent="0.2">
      <c r="A20" s="93" t="s">
        <v>7434</v>
      </c>
      <c r="B20" s="93" t="s">
        <v>7443</v>
      </c>
      <c r="C20" s="93"/>
      <c r="D20" s="91" t="s">
        <v>7444</v>
      </c>
      <c r="H20" s="91">
        <v>55760.82</v>
      </c>
    </row>
    <row r="21" spans="1:8" x14ac:dyDescent="0.2">
      <c r="A21" s="93"/>
      <c r="B21" s="93"/>
      <c r="C21" s="93"/>
    </row>
    <row r="22" spans="1:8" x14ac:dyDescent="0.2">
      <c r="A22" s="93"/>
      <c r="B22" s="93"/>
      <c r="C22" s="93"/>
    </row>
    <row r="23" spans="1:8" x14ac:dyDescent="0.2">
      <c r="A23" s="93"/>
      <c r="B23" s="93"/>
      <c r="C23" s="93"/>
    </row>
    <row r="24" spans="1:8" x14ac:dyDescent="0.2">
      <c r="A24" s="93"/>
      <c r="B24" s="93"/>
      <c r="C24" s="93"/>
    </row>
    <row r="25" spans="1:8" x14ac:dyDescent="0.2">
      <c r="B25" s="99"/>
      <c r="C25" s="99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SUM(H18:H31)</f>
        <v>55760.82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Fifty-Five Thousand Seven Hundred Sixty and 82/100 -----------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E40" s="99"/>
      <c r="F40" s="228"/>
      <c r="G40" s="229"/>
      <c r="H40" s="229"/>
    </row>
    <row r="41" spans="1:8" x14ac:dyDescent="0.2">
      <c r="A41" s="23"/>
      <c r="B41" s="101"/>
    </row>
    <row r="42" spans="1:8" x14ac:dyDescent="0.2">
      <c r="A42" s="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8" s="3" customFormat="1" ht="17.100000000000001" customHeight="1" x14ac:dyDescent="0.2">
      <c r="A49" s="209" t="s">
        <v>4047</v>
      </c>
      <c r="B49" s="104"/>
      <c r="C49" s="104"/>
      <c r="D49" s="209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 topLeftCell="A16">
      <selection activeCell="D15" sqref="D15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1-000000000000}">
  <sheetPr codeName="Sheet43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4014</v>
      </c>
      <c r="D9" s="92" t="s">
        <v>1317</v>
      </c>
      <c r="E9" s="61" t="s">
        <v>4026</v>
      </c>
    </row>
    <row r="10" spans="1:6" x14ac:dyDescent="0.2">
      <c r="A10" s="91" t="s">
        <v>4015</v>
      </c>
      <c r="D10" s="92" t="s">
        <v>1329</v>
      </c>
      <c r="E10" s="113" t="s">
        <v>4004</v>
      </c>
    </row>
    <row r="11" spans="1:6" x14ac:dyDescent="0.2">
      <c r="A11" s="91" t="s">
        <v>4016</v>
      </c>
      <c r="D11" s="92" t="s">
        <v>1330</v>
      </c>
      <c r="E11" s="113" t="s">
        <v>1220</v>
      </c>
    </row>
    <row r="12" spans="1:6" x14ac:dyDescent="0.2">
      <c r="A12" s="91" t="s">
        <v>4017</v>
      </c>
      <c r="D12" s="92" t="s">
        <v>1331</v>
      </c>
      <c r="E12" s="113" t="s">
        <v>4041</v>
      </c>
    </row>
    <row r="13" spans="1:6" x14ac:dyDescent="0.2">
      <c r="A13" s="91" t="s">
        <v>4018</v>
      </c>
    </row>
    <row r="14" spans="1:6" x14ac:dyDescent="0.2">
      <c r="A14" s="91" t="s">
        <v>4019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4020</v>
      </c>
      <c r="B18" s="93" t="s">
        <v>4021</v>
      </c>
      <c r="C18" s="91" t="s">
        <v>4022</v>
      </c>
    </row>
    <row r="19" spans="1:6" x14ac:dyDescent="0.2">
      <c r="C19" s="91" t="s">
        <v>4023</v>
      </c>
      <c r="F19" s="91">
        <f>880*2</f>
        <v>1760</v>
      </c>
    </row>
    <row r="20" spans="1:6" x14ac:dyDescent="0.2">
      <c r="A20" s="93"/>
      <c r="B20" s="93"/>
      <c r="C20" s="91" t="s">
        <v>4024</v>
      </c>
      <c r="F20" s="91">
        <f>880*4</f>
        <v>3520</v>
      </c>
    </row>
    <row r="21" spans="1:6" x14ac:dyDescent="0.2">
      <c r="A21" s="93"/>
      <c r="B21" s="93"/>
      <c r="C21" s="91" t="s">
        <v>4025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B25" s="99"/>
    </row>
    <row r="30" spans="1:6" x14ac:dyDescent="0.2">
      <c r="A30" s="1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SUM(F18:F31)</f>
        <v>5280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Two Hundred Eighty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209" t="s">
        <v>3972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1-000000000000}">
  <sheetPr codeName="Sheet342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3523</v>
      </c>
    </row>
    <row r="10" spans="1:6" x14ac:dyDescent="0.2">
      <c r="A10" s="91" t="s">
        <v>3529</v>
      </c>
      <c r="D10" s="92" t="s">
        <v>1444</v>
      </c>
      <c r="E10" s="113" t="s">
        <v>3514</v>
      </c>
    </row>
    <row r="11" spans="1:6" x14ac:dyDescent="0.2">
      <c r="A11" s="91" t="s">
        <v>3530</v>
      </c>
      <c r="D11" s="92" t="s">
        <v>1431</v>
      </c>
      <c r="E11" s="113" t="s">
        <v>1220</v>
      </c>
    </row>
    <row r="12" spans="1:6" x14ac:dyDescent="0.2">
      <c r="A12" s="91" t="s">
        <v>1245</v>
      </c>
      <c r="D12" s="92" t="s">
        <v>1268</v>
      </c>
      <c r="E12" s="113" t="s">
        <v>3524</v>
      </c>
    </row>
    <row r="13" spans="1:6" x14ac:dyDescent="0.2">
      <c r="A13" s="91" t="s">
        <v>3531</v>
      </c>
    </row>
    <row r="14" spans="1:6" x14ac:dyDescent="0.2">
      <c r="A14" s="91" t="s">
        <v>3532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3527</v>
      </c>
    </row>
    <row r="19" spans="1:6" x14ac:dyDescent="0.2">
      <c r="C19" s="2"/>
    </row>
    <row r="20" spans="1:6" x14ac:dyDescent="0.2">
      <c r="A20" s="111" t="s">
        <v>3525</v>
      </c>
      <c r="B20" s="93" t="s">
        <v>3526</v>
      </c>
      <c r="C20" s="91" t="s">
        <v>3528</v>
      </c>
      <c r="F20" s="110">
        <v>700</v>
      </c>
    </row>
    <row r="21" spans="1:6" x14ac:dyDescent="0.2">
      <c r="A21" s="111"/>
      <c r="B21" s="93"/>
      <c r="F21" s="110"/>
    </row>
    <row r="23" spans="1:6" x14ac:dyDescent="0.2">
      <c r="C23" s="2"/>
    </row>
    <row r="24" spans="1:6" x14ac:dyDescent="0.2">
      <c r="A24" s="93"/>
      <c r="B24" s="99"/>
      <c r="F24" s="110"/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700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3467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1-000000000000}">
  <sheetPr codeName="Sheet259">
    <pageSetUpPr fitToPage="1"/>
  </sheetPr>
  <dimension ref="A1:G54"/>
  <sheetViews>
    <sheetView topLeftCell="A7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4981</v>
      </c>
      <c r="G9" s="61"/>
    </row>
    <row r="10" spans="1:7" x14ac:dyDescent="0.2">
      <c r="A10" s="91" t="s">
        <v>2789</v>
      </c>
      <c r="D10" s="92" t="s">
        <v>1335</v>
      </c>
      <c r="E10" s="92" t="s">
        <v>4963</v>
      </c>
      <c r="G10" s="113"/>
    </row>
    <row r="11" spans="1:7" x14ac:dyDescent="0.2">
      <c r="A11" s="91" t="s">
        <v>2790</v>
      </c>
      <c r="D11" s="92" t="s">
        <v>1333</v>
      </c>
      <c r="E11" s="92" t="s">
        <v>1220</v>
      </c>
      <c r="G11" s="113"/>
    </row>
    <row r="12" spans="1:7" x14ac:dyDescent="0.2">
      <c r="A12" s="91" t="s">
        <v>1561</v>
      </c>
      <c r="D12" s="92" t="s">
        <v>1331</v>
      </c>
      <c r="E12" s="92" t="s">
        <v>4982</v>
      </c>
      <c r="G12" s="113"/>
    </row>
    <row r="13" spans="1:7" x14ac:dyDescent="0.2">
      <c r="A13" s="91" t="s">
        <v>2791</v>
      </c>
    </row>
    <row r="14" spans="1:7" x14ac:dyDescent="0.2">
      <c r="A14" s="91" t="s">
        <v>2792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4971</v>
      </c>
    </row>
    <row r="19" spans="1:6" x14ac:dyDescent="0.2">
      <c r="C19" s="2"/>
    </row>
    <row r="20" spans="1:6" x14ac:dyDescent="0.2">
      <c r="A20" s="93" t="s">
        <v>4983</v>
      </c>
      <c r="B20" s="93" t="s">
        <v>4984</v>
      </c>
      <c r="C20" s="91" t="s">
        <v>4985</v>
      </c>
      <c r="F20" s="91">
        <f>13*1</f>
        <v>13</v>
      </c>
    </row>
    <row r="21" spans="1:6" x14ac:dyDescent="0.2">
      <c r="A21" s="93"/>
      <c r="B21" s="111"/>
    </row>
    <row r="23" spans="1:6" x14ac:dyDescent="0.2">
      <c r="C23" s="2"/>
    </row>
    <row r="25" spans="1:6" x14ac:dyDescent="0.2">
      <c r="A25" s="93"/>
      <c r="B25" s="93"/>
    </row>
    <row r="29" spans="1:6" x14ac:dyDescent="0.2">
      <c r="A29" s="93"/>
      <c r="B29" s="93"/>
    </row>
    <row r="30" spans="1:6" x14ac:dyDescent="0.2">
      <c r="A30" s="111"/>
      <c r="B30" s="99"/>
    </row>
    <row r="31" spans="1:6" x14ac:dyDescent="0.2">
      <c r="A31" s="111"/>
      <c r="B31" s="93"/>
      <c r="C31" s="2"/>
      <c r="F31" s="110"/>
    </row>
    <row r="32" spans="1:6" x14ac:dyDescent="0.2">
      <c r="A32" s="111"/>
      <c r="B32" s="93"/>
      <c r="C32" s="2"/>
      <c r="F32" s="110"/>
    </row>
    <row r="35" spans="1:6" ht="13.5" thickBot="1" x14ac:dyDescent="0.25">
      <c r="F35" s="95">
        <f>SUM(F18:F33)</f>
        <v>13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Thirteen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209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1-000000000000}">
  <sheetPr codeName="Sheet289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2991</v>
      </c>
    </row>
    <row r="10" spans="1:6" x14ac:dyDescent="0.2">
      <c r="A10" s="91" t="s">
        <v>2993</v>
      </c>
      <c r="D10" s="92" t="s">
        <v>1329</v>
      </c>
      <c r="E10" s="92" t="s">
        <v>2974</v>
      </c>
    </row>
    <row r="11" spans="1:6" x14ac:dyDescent="0.2">
      <c r="A11" s="91" t="s">
        <v>2994</v>
      </c>
      <c r="D11" s="92" t="s">
        <v>1330</v>
      </c>
      <c r="E11" s="92" t="s">
        <v>1220</v>
      </c>
    </row>
    <row r="12" spans="1:6" x14ac:dyDescent="0.2">
      <c r="A12" s="91" t="s">
        <v>1245</v>
      </c>
      <c r="D12" s="92" t="s">
        <v>1331</v>
      </c>
      <c r="E12" s="92" t="s">
        <v>2992</v>
      </c>
    </row>
    <row r="13" spans="1:6" x14ac:dyDescent="0.2">
      <c r="A13" s="91" t="s">
        <v>2995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137" t="s">
        <v>2990</v>
      </c>
      <c r="B18" s="93" t="s">
        <v>2996</v>
      </c>
      <c r="C18" s="91" t="s">
        <v>2997</v>
      </c>
      <c r="F18" s="91">
        <f>1330*1.35</f>
        <v>1795.5000000000002</v>
      </c>
    </row>
    <row r="19" spans="1:6" x14ac:dyDescent="0.2">
      <c r="C19" s="91" t="s">
        <v>2998</v>
      </c>
    </row>
    <row r="20" spans="1:6" x14ac:dyDescent="0.2">
      <c r="A20" s="93"/>
      <c r="B20" s="93"/>
    </row>
    <row r="21" spans="1:6" x14ac:dyDescent="0.2">
      <c r="A21" s="93"/>
      <c r="B21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B25" s="99"/>
    </row>
    <row r="28" spans="1:6" x14ac:dyDescent="0.2">
      <c r="A28" s="1"/>
      <c r="B28" s="1"/>
    </row>
    <row r="29" spans="1:6" ht="13.5" thickBot="1" x14ac:dyDescent="0.25">
      <c r="A29" s="106"/>
      <c r="F29" s="107">
        <f>SUM(F18:F28)</f>
        <v>1795.5000000000002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2999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1-000000000000}">
  <sheetPr codeName="Sheet233"/>
  <dimension ref="A1:F53"/>
  <sheetViews>
    <sheetView zoomScaleNormal="100" workbookViewId="0">
      <selection activeCell="F34" sqref="F34"/>
    </sheetView>
  </sheetViews>
  <sheetFormatPr defaultRowHeight="12.75" x14ac:dyDescent="0.2"/>
  <cols>
    <col min="1" max="1" width="16.28515625" style="153" customWidth="1"/>
    <col min="2" max="2" width="15.28515625" style="153" customWidth="1"/>
    <col min="3" max="3" width="20.28515625" style="153" customWidth="1"/>
    <col min="4" max="4" width="16.42578125" style="153" customWidth="1"/>
    <col min="5" max="5" width="10.140625" style="153" customWidth="1"/>
    <col min="6" max="6" width="11.8554687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2224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1517</v>
      </c>
      <c r="E9" s="91" t="s">
        <v>4125</v>
      </c>
    </row>
    <row r="10" spans="1:6" x14ac:dyDescent="0.2">
      <c r="A10" s="153" t="s">
        <v>2534</v>
      </c>
      <c r="D10" s="155" t="s">
        <v>1357</v>
      </c>
      <c r="E10" s="98" t="s">
        <v>4122</v>
      </c>
    </row>
    <row r="11" spans="1:6" x14ac:dyDescent="0.2">
      <c r="A11" s="153" t="s">
        <v>2552</v>
      </c>
      <c r="D11" s="155" t="s">
        <v>1330</v>
      </c>
      <c r="E11" s="92" t="s">
        <v>1220</v>
      </c>
    </row>
    <row r="12" spans="1:6" x14ac:dyDescent="0.2">
      <c r="A12" s="153" t="s">
        <v>2553</v>
      </c>
      <c r="D12" s="155" t="s">
        <v>1377</v>
      </c>
      <c r="E12" s="94" t="s">
        <v>4124</v>
      </c>
    </row>
    <row r="13" spans="1:6" x14ac:dyDescent="0.2">
      <c r="A13" s="153" t="s">
        <v>2554</v>
      </c>
    </row>
    <row r="14" spans="1:6" x14ac:dyDescent="0.2">
      <c r="A14" s="153" t="s">
        <v>2555</v>
      </c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4126</v>
      </c>
    </row>
    <row r="20" spans="1:6" x14ac:dyDescent="0.2">
      <c r="A20" s="187" t="s">
        <v>4127</v>
      </c>
      <c r="B20" s="173" t="s">
        <v>4128</v>
      </c>
      <c r="C20" s="153" t="s">
        <v>4129</v>
      </c>
      <c r="F20" s="110">
        <v>20000</v>
      </c>
    </row>
    <row r="21" spans="1:6" x14ac:dyDescent="0.2">
      <c r="A21" s="180"/>
    </row>
    <row r="23" spans="1:6" x14ac:dyDescent="0.2">
      <c r="A23" s="187"/>
      <c r="B23" s="173"/>
      <c r="F23" s="110"/>
    </row>
    <row r="24" spans="1:6" x14ac:dyDescent="0.2">
      <c r="A24" s="180"/>
    </row>
    <row r="25" spans="1:6" x14ac:dyDescent="0.2">
      <c r="A25" s="180"/>
    </row>
    <row r="26" spans="1:6" x14ac:dyDescent="0.2">
      <c r="A26" s="180"/>
    </row>
    <row r="27" spans="1:6" x14ac:dyDescent="0.2">
      <c r="A27" s="180"/>
    </row>
    <row r="28" spans="1:6" x14ac:dyDescent="0.2">
      <c r="A28" s="179"/>
    </row>
    <row r="30" spans="1:6" x14ac:dyDescent="0.2">
      <c r="A30" s="180"/>
      <c r="F30" s="110"/>
    </row>
    <row r="33" spans="1:6" x14ac:dyDescent="0.2">
      <c r="F33" s="152"/>
    </row>
    <row r="34" spans="1:6" ht="13.5" thickBot="1" x14ac:dyDescent="0.25">
      <c r="F34" s="182">
        <f>SUM(F18:F32)</f>
        <v>20000</v>
      </c>
    </row>
    <row r="35" spans="1:6" ht="13.5" thickTop="1" x14ac:dyDescent="0.2"/>
    <row r="36" spans="1:6" ht="20.100000000000001" customHeight="1" x14ac:dyDescent="0.2">
      <c r="A36" s="171" t="s">
        <v>122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Twenty Thousand and NO/100 -----------</v>
      </c>
      <c r="C36" s="172"/>
      <c r="D36" s="236"/>
      <c r="E36" s="232"/>
      <c r="F36" s="232"/>
    </row>
    <row r="37" spans="1:6" x14ac:dyDescent="0.2">
      <c r="A37" s="169" t="s">
        <v>11</v>
      </c>
      <c r="F37" s="211"/>
    </row>
    <row r="38" spans="1:6" ht="25.5" x14ac:dyDescent="0.2">
      <c r="A38" s="169"/>
      <c r="D38" s="218" t="s">
        <v>3975</v>
      </c>
      <c r="E38" s="219"/>
      <c r="F38" s="220"/>
    </row>
    <row r="39" spans="1:6" x14ac:dyDescent="0.2">
      <c r="A39" s="153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2" spans="1:6" x14ac:dyDescent="0.2">
      <c r="A42" s="174"/>
      <c r="B42" s="174"/>
    </row>
    <row r="44" spans="1:6" x14ac:dyDescent="0.2">
      <c r="A44" s="175" t="s">
        <v>8</v>
      </c>
      <c r="D44" s="175" t="s">
        <v>7</v>
      </c>
      <c r="F44" s="176"/>
    </row>
    <row r="48" spans="1:6" x14ac:dyDescent="0.2">
      <c r="A48" s="174" t="s">
        <v>120</v>
      </c>
      <c r="B48" s="174"/>
      <c r="D48" s="174"/>
      <c r="E48" s="174"/>
      <c r="F48" s="174"/>
    </row>
    <row r="49" spans="1:6" s="178" customFormat="1" ht="17.100000000000001" customHeight="1" x14ac:dyDescent="0.2">
      <c r="A49" s="225" t="s">
        <v>4066</v>
      </c>
      <c r="B49" s="177"/>
      <c r="C49" s="156"/>
      <c r="D49" s="156" t="s">
        <v>3</v>
      </c>
      <c r="E49" s="156"/>
      <c r="F49" s="156"/>
    </row>
    <row r="50" spans="1:6" x14ac:dyDescent="0.2">
      <c r="D50" s="153" t="s">
        <v>2</v>
      </c>
    </row>
    <row r="52" spans="1:6" x14ac:dyDescent="0.2">
      <c r="D52" s="163" t="s">
        <v>1</v>
      </c>
    </row>
    <row r="53" spans="1:6" x14ac:dyDescent="0.2">
      <c r="D53" s="163" t="s">
        <v>0</v>
      </c>
    </row>
  </sheetData>
  <customSheetViews>
    <customSheetView guid="{6428A7A0-B31B-40C1-A13E-AD0DCC619E51}">
      <selection activeCell="E9" sqref="E9"/>
      <pageMargins left="0.74803149606299213" right="0.74803149606299213" top="0.98425196850393704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89">
    <pageSetUpPr fitToPage="1"/>
  </sheetPr>
  <dimension ref="A1:H56"/>
  <sheetViews>
    <sheetView workbookViewId="0">
      <selection activeCell="G9" sqref="G9:G13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85546875" style="1" customWidth="1"/>
    <col min="4" max="4" width="23" style="1" customWidth="1"/>
    <col min="5" max="5" width="1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8728</v>
      </c>
      <c r="H9" s="91"/>
    </row>
    <row r="10" spans="1:8" x14ac:dyDescent="0.2">
      <c r="A10" s="91" t="s">
        <v>8336</v>
      </c>
      <c r="B10" s="91"/>
      <c r="C10" s="91"/>
      <c r="D10" s="91"/>
      <c r="E10" s="91"/>
      <c r="F10" s="92" t="s">
        <v>1357</v>
      </c>
      <c r="G10" s="98" t="s">
        <v>8686</v>
      </c>
      <c r="H10" s="91"/>
    </row>
    <row r="11" spans="1:8" x14ac:dyDescent="0.2">
      <c r="A11" s="91" t="s">
        <v>7781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8337</v>
      </c>
      <c r="B12" s="91"/>
      <c r="C12" s="91"/>
      <c r="D12" s="91"/>
      <c r="E12" s="91"/>
      <c r="F12" s="92" t="s">
        <v>1224</v>
      </c>
      <c r="G12" s="94" t="s">
        <v>8729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45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1230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 t="s">
        <v>8339</v>
      </c>
      <c r="E19" s="2"/>
      <c r="F19" s="91"/>
      <c r="G19" s="91"/>
      <c r="H19" s="91"/>
    </row>
    <row r="20" spans="1:8" x14ac:dyDescent="0.2">
      <c r="A20" s="106"/>
      <c r="B20" s="91"/>
      <c r="C20" s="91"/>
      <c r="F20" s="91"/>
      <c r="G20" s="91"/>
      <c r="H20" s="91"/>
    </row>
    <row r="21" spans="1:8" x14ac:dyDescent="0.2">
      <c r="A21" s="105" t="s">
        <v>8338</v>
      </c>
      <c r="B21" s="91"/>
      <c r="C21" s="91"/>
      <c r="D21" s="91" t="s">
        <v>1967</v>
      </c>
      <c r="E21" s="91"/>
      <c r="F21" s="91"/>
      <c r="G21" s="91"/>
      <c r="H21" s="91"/>
    </row>
    <row r="22" spans="1:8" x14ac:dyDescent="0.2">
      <c r="A22" s="137"/>
      <c r="B22" s="91"/>
      <c r="C22" s="91"/>
      <c r="D22" s="91" t="s">
        <v>8727</v>
      </c>
      <c r="E22" s="91"/>
      <c r="F22" s="91"/>
      <c r="G22" s="91"/>
      <c r="H22" s="91">
        <v>350</v>
      </c>
    </row>
    <row r="23" spans="1:8" x14ac:dyDescent="0.2">
      <c r="A23" s="106"/>
      <c r="B23" s="91"/>
      <c r="C23" s="91"/>
      <c r="D23" s="91"/>
      <c r="E23" s="91"/>
      <c r="F23" s="91"/>
      <c r="G23" s="91"/>
      <c r="H23" s="91"/>
    </row>
    <row r="25" spans="1:8" x14ac:dyDescent="0.2">
      <c r="A25" s="137"/>
      <c r="B25" s="91"/>
      <c r="C25" s="91"/>
      <c r="D25" s="91"/>
      <c r="E25" s="91"/>
      <c r="F25" s="91"/>
      <c r="G25" s="91"/>
      <c r="H25" s="91"/>
    </row>
    <row r="26" spans="1:8" x14ac:dyDescent="0.2">
      <c r="A26" s="106"/>
      <c r="B26" s="91"/>
      <c r="C26" s="91"/>
      <c r="D26" s="143"/>
      <c r="E26" s="143"/>
      <c r="F26" s="91"/>
      <c r="G26" s="91"/>
      <c r="H26" s="91"/>
    </row>
    <row r="27" spans="1:8" x14ac:dyDescent="0.2">
      <c r="A27" s="91"/>
      <c r="B27" s="91"/>
      <c r="C27" s="91"/>
      <c r="D27" s="91"/>
      <c r="E27" s="91"/>
      <c r="F27" s="91"/>
      <c r="G27" s="91"/>
      <c r="H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350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Fifty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99"/>
      <c r="E42" s="446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92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4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4805</v>
      </c>
    </row>
    <row r="10" spans="1:6" x14ac:dyDescent="0.2">
      <c r="A10" s="91" t="s">
        <v>4807</v>
      </c>
      <c r="D10" s="92" t="s">
        <v>1329</v>
      </c>
      <c r="E10" s="91" t="s">
        <v>4792</v>
      </c>
    </row>
    <row r="11" spans="1:6" x14ac:dyDescent="0.2">
      <c r="A11" s="91" t="s">
        <v>4808</v>
      </c>
      <c r="D11" s="92" t="s">
        <v>1330</v>
      </c>
      <c r="E11" s="91" t="s">
        <v>1220</v>
      </c>
    </row>
    <row r="12" spans="1:6" x14ac:dyDescent="0.2">
      <c r="A12" s="91" t="s">
        <v>4809</v>
      </c>
      <c r="D12" s="92" t="s">
        <v>1331</v>
      </c>
      <c r="E12" s="91" t="s">
        <v>4806</v>
      </c>
    </row>
    <row r="13" spans="1:6" x14ac:dyDescent="0.2">
      <c r="A13" s="91" t="s">
        <v>1561</v>
      </c>
    </row>
    <row r="14" spans="1:6" x14ac:dyDescent="0.2">
      <c r="A14" s="91" t="s">
        <v>4810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4694</v>
      </c>
    </row>
    <row r="19" spans="1:6" x14ac:dyDescent="0.2">
      <c r="A19" s="106"/>
      <c r="C19" s="2"/>
    </row>
    <row r="20" spans="1:6" x14ac:dyDescent="0.2">
      <c r="A20" s="93"/>
      <c r="B20" s="93" t="s">
        <v>4811</v>
      </c>
      <c r="C20" s="91" t="s">
        <v>4812</v>
      </c>
      <c r="F20" s="91">
        <v>650</v>
      </c>
    </row>
    <row r="21" spans="1:6" x14ac:dyDescent="0.2">
      <c r="A21" s="93"/>
      <c r="B21" s="94"/>
      <c r="C21" s="91" t="s">
        <v>2147</v>
      </c>
      <c r="F21" s="91">
        <f>F20*6%</f>
        <v>39</v>
      </c>
    </row>
    <row r="22" spans="1:6" x14ac:dyDescent="0.2">
      <c r="A22" s="93"/>
      <c r="B22" s="99"/>
      <c r="C22" s="91" t="s">
        <v>3153</v>
      </c>
      <c r="F22" s="91">
        <v>10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699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Hundred Ninety-Nine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1-000000000000}">
  <sheetPr codeName="Sheet23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3076</v>
      </c>
    </row>
    <row r="10" spans="1:6" x14ac:dyDescent="0.2">
      <c r="A10" s="91" t="s">
        <v>2317</v>
      </c>
      <c r="D10" s="92" t="s">
        <v>1444</v>
      </c>
      <c r="E10" s="92" t="s">
        <v>3075</v>
      </c>
    </row>
    <row r="11" spans="1:6" x14ac:dyDescent="0.2">
      <c r="A11" s="91" t="s">
        <v>2318</v>
      </c>
      <c r="D11" s="92" t="s">
        <v>1431</v>
      </c>
      <c r="E11" s="92" t="s">
        <v>1220</v>
      </c>
    </row>
    <row r="12" spans="1:6" x14ac:dyDescent="0.2">
      <c r="A12" s="91" t="s">
        <v>2319</v>
      </c>
      <c r="D12" s="92" t="s">
        <v>1268</v>
      </c>
      <c r="E12" s="92" t="s">
        <v>3077</v>
      </c>
    </row>
    <row r="13" spans="1:6" x14ac:dyDescent="0.2">
      <c r="A13" s="91" t="s">
        <v>1943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 t="s">
        <v>3078</v>
      </c>
      <c r="B18" s="93" t="s">
        <v>3079</v>
      </c>
      <c r="C18" s="91" t="s">
        <v>3080</v>
      </c>
      <c r="F18" s="91">
        <v>3000</v>
      </c>
    </row>
    <row r="19" spans="1:6" x14ac:dyDescent="0.2">
      <c r="C19" s="91" t="s">
        <v>3081</v>
      </c>
    </row>
    <row r="20" spans="1:6" x14ac:dyDescent="0.2">
      <c r="A20" s="111"/>
      <c r="B20" s="93"/>
      <c r="F20" s="110"/>
    </row>
    <row r="21" spans="1:6" x14ac:dyDescent="0.2">
      <c r="A21" s="111"/>
      <c r="B21" s="93"/>
      <c r="C21" s="91" t="s">
        <v>3082</v>
      </c>
      <c r="F21" s="91">
        <v>3000</v>
      </c>
    </row>
    <row r="22" spans="1:6" x14ac:dyDescent="0.2">
      <c r="C22" s="91" t="s">
        <v>3083</v>
      </c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6000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3084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1-000000000000}">
  <sheetPr codeName="Sheet196">
    <pageSetUpPr fitToPage="1"/>
  </sheetPr>
  <dimension ref="A1:G55"/>
  <sheetViews>
    <sheetView zoomScaleSheetLayoutView="100" workbookViewId="0">
      <selection activeCell="F34" sqref="F34"/>
    </sheetView>
  </sheetViews>
  <sheetFormatPr defaultRowHeight="16.5" x14ac:dyDescent="0.3"/>
  <cols>
    <col min="1" max="1" width="15.85546875" style="120" customWidth="1"/>
    <col min="2" max="2" width="15.42578125" style="120" customWidth="1"/>
    <col min="3" max="3" width="21" style="120" customWidth="1"/>
    <col min="4" max="4" width="16.42578125" style="120" customWidth="1"/>
    <col min="5" max="5" width="10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/>
      <c r="B9" s="61"/>
      <c r="C9" s="61"/>
      <c r="D9" s="113" t="s">
        <v>1353</v>
      </c>
      <c r="E9" s="91" t="s">
        <v>2283</v>
      </c>
      <c r="F9" s="91"/>
    </row>
    <row r="10" spans="1:7" s="38" customFormat="1" ht="12.75" customHeight="1" x14ac:dyDescent="0.2">
      <c r="A10" s="61" t="s">
        <v>2148</v>
      </c>
      <c r="B10" s="61"/>
      <c r="C10" s="61"/>
      <c r="D10" s="113" t="s">
        <v>1335</v>
      </c>
      <c r="E10" s="92" t="s">
        <v>2282</v>
      </c>
      <c r="F10" s="91"/>
    </row>
    <row r="11" spans="1:7" s="38" customFormat="1" ht="12.75" customHeight="1" x14ac:dyDescent="0.2">
      <c r="A11" s="61" t="s">
        <v>2149</v>
      </c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 t="s">
        <v>2150</v>
      </c>
      <c r="B12" s="61"/>
      <c r="C12" s="61"/>
      <c r="D12" s="113" t="s">
        <v>1355</v>
      </c>
      <c r="E12" s="92" t="s">
        <v>2284</v>
      </c>
      <c r="F12" s="91"/>
    </row>
    <row r="13" spans="1:7" s="38" customFormat="1" ht="12.75" customHeight="1" x14ac:dyDescent="0.2">
      <c r="A13" s="61"/>
      <c r="B13" s="61"/>
      <c r="C13" s="61"/>
      <c r="D13" s="61"/>
      <c r="E13" s="91"/>
      <c r="F13" s="61"/>
    </row>
    <row r="14" spans="1:7" s="38" customFormat="1" ht="12.75" customHeight="1" x14ac:dyDescent="0.2">
      <c r="A14" s="61"/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 t="s">
        <v>2285</v>
      </c>
      <c r="D18" s="61"/>
      <c r="E18" s="61"/>
      <c r="F18" s="61"/>
      <c r="G18" s="55"/>
    </row>
    <row r="19" spans="1:7" s="38" customFormat="1" ht="12.75" customHeight="1" x14ac:dyDescent="0.2">
      <c r="C19" s="14" t="s">
        <v>2286</v>
      </c>
      <c r="D19" s="61"/>
      <c r="E19" s="61"/>
      <c r="F19" s="61"/>
      <c r="G19" s="55"/>
    </row>
    <row r="20" spans="1:7" s="38" customFormat="1" ht="12.75" customHeight="1" x14ac:dyDescent="0.2">
      <c r="G20" s="55"/>
    </row>
    <row r="21" spans="1:7" s="38" customFormat="1" ht="12.75" customHeight="1" x14ac:dyDescent="0.2">
      <c r="A21" s="129" t="s">
        <v>2151</v>
      </c>
      <c r="B21" s="142"/>
      <c r="C21" s="61" t="s">
        <v>2288</v>
      </c>
      <c r="D21" s="61"/>
      <c r="E21" s="61"/>
      <c r="F21" s="61">
        <v>30.6</v>
      </c>
      <c r="G21" s="126"/>
    </row>
    <row r="22" spans="1:7" s="126" customFormat="1" ht="12.75" customHeight="1" x14ac:dyDescent="0.2">
      <c r="A22" s="61" t="s">
        <v>2287</v>
      </c>
      <c r="C22" s="61" t="s">
        <v>2289</v>
      </c>
      <c r="D22" s="61"/>
      <c r="E22" s="61"/>
      <c r="F22" s="61">
        <v>33.299999999999997</v>
      </c>
    </row>
    <row r="23" spans="1:7" s="126" customFormat="1" ht="12.75" customHeight="1" x14ac:dyDescent="0.2">
      <c r="A23" s="118"/>
      <c r="B23" s="103"/>
      <c r="C23" s="61" t="s">
        <v>2290</v>
      </c>
      <c r="D23" s="61"/>
      <c r="E23" s="61"/>
      <c r="F23" s="61">
        <f>50+56</f>
        <v>106</v>
      </c>
    </row>
    <row r="24" spans="1:7" s="126" customFormat="1" ht="12.75" customHeight="1" x14ac:dyDescent="0.2">
      <c r="C24" s="61" t="s">
        <v>2291</v>
      </c>
      <c r="F24" s="61">
        <v>32.4</v>
      </c>
    </row>
    <row r="25" spans="1:7" s="126" customFormat="1" ht="12.75" customHeight="1" x14ac:dyDescent="0.2">
      <c r="A25" s="140"/>
      <c r="B25" s="142"/>
      <c r="C25" s="61" t="s">
        <v>2292</v>
      </c>
      <c r="F25" s="61">
        <v>12</v>
      </c>
    </row>
    <row r="26" spans="1:7" s="120" customFormat="1" ht="12.75" customHeight="1" x14ac:dyDescent="0.2">
      <c r="A26" s="118"/>
      <c r="B26" s="103"/>
      <c r="C26" s="61"/>
      <c r="D26" s="91"/>
      <c r="E26" s="91"/>
      <c r="F26" s="91"/>
    </row>
    <row r="27" spans="1:7" s="120" customFormat="1" ht="12.75" customHeight="1" x14ac:dyDescent="0.3">
      <c r="A27" s="91"/>
      <c r="B27" s="91"/>
      <c r="C27" s="61"/>
      <c r="D27" s="91"/>
      <c r="E27" s="91"/>
      <c r="F27" s="91"/>
      <c r="G27" s="37"/>
    </row>
    <row r="28" spans="1:7" ht="12.75" customHeight="1" x14ac:dyDescent="0.3">
      <c r="A28" s="91"/>
      <c r="B28" s="91"/>
      <c r="C28" s="61"/>
      <c r="D28" s="91"/>
      <c r="E28" s="91"/>
      <c r="F28" s="91"/>
    </row>
    <row r="29" spans="1:7" s="38" customFormat="1" ht="12.75" customHeight="1" x14ac:dyDescent="0.2">
      <c r="A29" s="52"/>
      <c r="B29" s="52"/>
      <c r="C29" s="52"/>
      <c r="D29" s="52"/>
      <c r="E29" s="52"/>
      <c r="F29" s="52"/>
      <c r="G29" s="55"/>
    </row>
    <row r="30" spans="1:7" s="38" customFormat="1" ht="12.75" customHeight="1" x14ac:dyDescent="0.2">
      <c r="A30" s="118"/>
      <c r="B30" s="103"/>
      <c r="C30" s="61"/>
      <c r="D30" s="61"/>
      <c r="E30" s="61"/>
      <c r="F30" s="61"/>
      <c r="G30" s="55"/>
    </row>
    <row r="31" spans="1:7" s="38" customFormat="1" ht="12.75" customHeight="1" x14ac:dyDescent="0.2">
      <c r="A31" s="118"/>
      <c r="B31" s="103"/>
      <c r="C31" s="61"/>
      <c r="D31" s="61"/>
      <c r="E31" s="61"/>
      <c r="F31" s="61"/>
      <c r="G31" s="55"/>
    </row>
    <row r="32" spans="1:7" s="38" customFormat="1" ht="15.75" customHeight="1" thickBot="1" x14ac:dyDescent="0.25">
      <c r="A32" s="131"/>
      <c r="B32" s="126"/>
      <c r="C32" s="126"/>
      <c r="D32" s="126"/>
      <c r="E32" s="126"/>
      <c r="F32" s="132">
        <f>SUM(F18:F31)</f>
        <v>214.3</v>
      </c>
      <c r="G32" s="55"/>
    </row>
    <row r="33" spans="1:7" s="38" customFormat="1" ht="12.75" customHeight="1" thickTop="1" x14ac:dyDescent="0.2">
      <c r="A33" s="131"/>
      <c r="B33" s="126"/>
      <c r="C33" s="126"/>
      <c r="D33" s="126"/>
      <c r="E33" s="126"/>
      <c r="F33" s="126"/>
      <c r="G33" s="55"/>
    </row>
    <row r="34" spans="1:7" ht="20.100000000000001" customHeight="1" thickBot="1" x14ac:dyDescent="0.35">
      <c r="A34" s="96" t="s">
        <v>122</v>
      </c>
      <c r="B34" s="96" t="s">
        <v>2293</v>
      </c>
      <c r="C34" s="121"/>
      <c r="D34" s="121"/>
      <c r="E34" s="121"/>
      <c r="F34" s="203"/>
    </row>
    <row r="35" spans="1:7" ht="12.75" customHeight="1" thickTop="1" x14ac:dyDescent="0.3">
      <c r="A35" s="122"/>
    </row>
    <row r="36" spans="1:7" ht="12.75" customHeight="1" x14ac:dyDescent="0.3">
      <c r="D36" s="218" t="s">
        <v>3975</v>
      </c>
      <c r="E36" s="219"/>
      <c r="F36" s="220"/>
    </row>
    <row r="37" spans="1:7" ht="12.75" customHeight="1" x14ac:dyDescent="0.3"/>
    <row r="38" spans="1:7" ht="12.75" customHeight="1" x14ac:dyDescent="0.3"/>
    <row r="39" spans="1:7" x14ac:dyDescent="0.3">
      <c r="A39" s="120" t="s">
        <v>10</v>
      </c>
      <c r="D39" s="227"/>
      <c r="E39" s="227"/>
      <c r="F39" s="227"/>
    </row>
    <row r="40" spans="1:7" x14ac:dyDescent="0.3">
      <c r="A40" s="119"/>
      <c r="D40" s="228"/>
      <c r="E40" s="229"/>
      <c r="F40" s="229"/>
    </row>
    <row r="41" spans="1:7" ht="12.75" customHeight="1" x14ac:dyDescent="0.3">
      <c r="A41" s="37"/>
      <c r="B41" s="124"/>
      <c r="F41" s="125"/>
    </row>
    <row r="42" spans="1:7" ht="12.75" customHeight="1" x14ac:dyDescent="0.3">
      <c r="A42" s="123"/>
      <c r="F42" s="125"/>
    </row>
    <row r="43" spans="1:7" ht="12.75" customHeight="1" x14ac:dyDescent="0.3">
      <c r="A43" s="119"/>
    </row>
    <row r="44" spans="1:7" ht="12.75" customHeight="1" x14ac:dyDescent="0.3">
      <c r="A44" s="119" t="s">
        <v>8</v>
      </c>
      <c r="D44" s="119" t="s">
        <v>7</v>
      </c>
    </row>
    <row r="45" spans="1:7" ht="12.75" customHeight="1" x14ac:dyDescent="0.3">
      <c r="A45" s="119"/>
    </row>
    <row r="46" spans="1:7" ht="12.75" customHeight="1" x14ac:dyDescent="0.3">
      <c r="A46" s="119"/>
    </row>
    <row r="47" spans="1:7" s="38" customFormat="1" ht="12.75" customHeight="1" x14ac:dyDescent="0.2">
      <c r="A47" s="119" t="s">
        <v>3972</v>
      </c>
      <c r="B47" s="120"/>
      <c r="C47" s="120"/>
      <c r="D47" s="120"/>
      <c r="E47" s="126"/>
      <c r="F47" s="126"/>
    </row>
    <row r="48" spans="1:7" ht="12.75" customHeight="1" x14ac:dyDescent="0.3">
      <c r="A48" s="123"/>
      <c r="B48" s="124"/>
      <c r="D48" s="124"/>
      <c r="E48" s="124"/>
      <c r="F48" s="124"/>
    </row>
    <row r="49" spans="1:4" ht="12.75" customHeight="1" x14ac:dyDescent="0.3">
      <c r="A49" s="127" t="s">
        <v>4066</v>
      </c>
      <c r="B49" s="128"/>
      <c r="C49" s="126"/>
      <c r="D49" s="126" t="s">
        <v>3</v>
      </c>
    </row>
    <row r="50" spans="1:4" ht="12.75" customHeight="1" x14ac:dyDescent="0.3">
      <c r="A50" s="119"/>
      <c r="D50" s="120" t="s">
        <v>2</v>
      </c>
    </row>
    <row r="51" spans="1:4" ht="12.75" customHeight="1" x14ac:dyDescent="0.3"/>
    <row r="52" spans="1:4" ht="12.75" customHeight="1" x14ac:dyDescent="0.3">
      <c r="D52" s="89" t="s">
        <v>1</v>
      </c>
    </row>
    <row r="53" spans="1:4" ht="12.75" customHeight="1" x14ac:dyDescent="0.3">
      <c r="D53" s="89" t="s">
        <v>0</v>
      </c>
    </row>
    <row r="54" spans="1:4" ht="12.75" customHeight="1" x14ac:dyDescent="0.3"/>
    <row r="55" spans="1:4" ht="12.75" customHeight="1" x14ac:dyDescent="0.3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1-000000000000}">
  <sheetPr codeName="Sheet180">
    <pageSetUpPr fitToPage="1"/>
  </sheetPr>
  <dimension ref="A1:F50"/>
  <sheetViews>
    <sheetView topLeftCell="A1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61" t="s">
        <v>2119</v>
      </c>
    </row>
    <row r="10" spans="1:6" x14ac:dyDescent="0.2">
      <c r="A10" s="91" t="s">
        <v>2121</v>
      </c>
      <c r="D10" s="92" t="s">
        <v>1357</v>
      </c>
      <c r="E10" s="113" t="s">
        <v>2114</v>
      </c>
    </row>
    <row r="11" spans="1:6" x14ac:dyDescent="0.2">
      <c r="D11" s="92" t="s">
        <v>1330</v>
      </c>
      <c r="E11" s="113" t="s">
        <v>1220</v>
      </c>
    </row>
    <row r="12" spans="1:6" x14ac:dyDescent="0.2">
      <c r="D12" s="92" t="s">
        <v>1224</v>
      </c>
      <c r="E12" s="113" t="s">
        <v>2120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/>
    </row>
    <row r="19" spans="1:6" x14ac:dyDescent="0.2">
      <c r="A19" s="93"/>
      <c r="B19" s="93"/>
      <c r="C19" s="91" t="s">
        <v>2122</v>
      </c>
    </row>
    <row r="21" spans="1:6" x14ac:dyDescent="0.2">
      <c r="C21" s="91" t="s">
        <v>2123</v>
      </c>
      <c r="F21" s="91">
        <f>300*5</f>
        <v>1500</v>
      </c>
    </row>
    <row r="22" spans="1:6" x14ac:dyDescent="0.2">
      <c r="C22" s="91" t="s">
        <v>2124</v>
      </c>
    </row>
    <row r="23" spans="1:6" x14ac:dyDescent="0.2">
      <c r="C23" s="91" t="s">
        <v>2125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1500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1877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1-000000000000}">
  <sheetPr codeName="Sheet24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579</v>
      </c>
    </row>
    <row r="10" spans="1:6" x14ac:dyDescent="0.2">
      <c r="A10" s="1" t="s">
        <v>578</v>
      </c>
      <c r="D10" s="20" t="s">
        <v>27</v>
      </c>
      <c r="E10" s="20" t="s">
        <v>577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576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2:6" x14ac:dyDescent="0.2">
      <c r="C18" s="13" t="s">
        <v>575</v>
      </c>
    </row>
    <row r="19" spans="2:6" x14ac:dyDescent="0.2">
      <c r="C19" s="21"/>
    </row>
    <row r="21" spans="2:6" x14ac:dyDescent="0.2">
      <c r="C21" s="13"/>
    </row>
    <row r="22" spans="2:6" x14ac:dyDescent="0.2">
      <c r="B22" s="8"/>
    </row>
    <row r="23" spans="2:6" x14ac:dyDescent="0.2">
      <c r="C23" s="36" t="s">
        <v>574</v>
      </c>
    </row>
    <row r="24" spans="2:6" x14ac:dyDescent="0.2">
      <c r="B24" s="8"/>
      <c r="C24" s="21" t="s">
        <v>573</v>
      </c>
      <c r="F24" s="1">
        <v>16585.29</v>
      </c>
    </row>
    <row r="25" spans="2:6" x14ac:dyDescent="0.2">
      <c r="B25" s="8"/>
    </row>
    <row r="26" spans="2:6" x14ac:dyDescent="0.2">
      <c r="C26" s="8"/>
    </row>
    <row r="27" spans="2:6" x14ac:dyDescent="0.2">
      <c r="B27" s="8"/>
    </row>
    <row r="28" spans="2:6" x14ac:dyDescent="0.2">
      <c r="B28" s="8"/>
    </row>
    <row r="32" spans="2:6" ht="13.5" thickBot="1" x14ac:dyDescent="0.25">
      <c r="F32" s="11">
        <f>SUM(F18:F31)</f>
        <v>16585.29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572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1-000000000000}">
  <sheetPr codeName="Sheet25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517</v>
      </c>
    </row>
    <row r="10" spans="1:6" x14ac:dyDescent="0.2">
      <c r="A10" s="1" t="s">
        <v>516</v>
      </c>
      <c r="D10" s="20" t="s">
        <v>27</v>
      </c>
      <c r="E10" s="20" t="s">
        <v>201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515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3:6" x14ac:dyDescent="0.2">
      <c r="C19" s="13" t="s">
        <v>153</v>
      </c>
    </row>
    <row r="20" spans="3:6" x14ac:dyDescent="0.2">
      <c r="C20" s="13" t="s">
        <v>514</v>
      </c>
    </row>
    <row r="23" spans="3:6" x14ac:dyDescent="0.2">
      <c r="C23" s="1" t="s">
        <v>513</v>
      </c>
      <c r="F23" s="1">
        <v>250</v>
      </c>
    </row>
    <row r="32" spans="3:6" ht="13.5" thickBot="1" x14ac:dyDescent="0.25">
      <c r="F32" s="11">
        <f>SUM(F18:F31)</f>
        <v>250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159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1-000000000000}">
  <sheetPr codeName="Sheet26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119</v>
      </c>
    </row>
    <row r="10" spans="1:6" x14ac:dyDescent="0.2">
      <c r="A10" s="1" t="s">
        <v>101</v>
      </c>
      <c r="D10" s="20" t="s">
        <v>27</v>
      </c>
      <c r="E10" s="20" t="s">
        <v>118</v>
      </c>
    </row>
    <row r="11" spans="1:6" x14ac:dyDescent="0.2">
      <c r="A11" s="1" t="s">
        <v>99</v>
      </c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117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116</v>
      </c>
    </row>
    <row r="21" spans="2:6" x14ac:dyDescent="0.2">
      <c r="C21" s="13" t="s">
        <v>115</v>
      </c>
    </row>
    <row r="22" spans="2:6" x14ac:dyDescent="0.2">
      <c r="C22" s="13" t="s">
        <v>114</v>
      </c>
    </row>
    <row r="24" spans="2:6" x14ac:dyDescent="0.2">
      <c r="C24" s="21" t="s">
        <v>113</v>
      </c>
    </row>
    <row r="26" spans="2:6" x14ac:dyDescent="0.2">
      <c r="B26" s="8" t="s">
        <v>14</v>
      </c>
      <c r="C26" s="1" t="s">
        <v>112</v>
      </c>
      <c r="F26" s="1">
        <v>860</v>
      </c>
    </row>
    <row r="27" spans="2:6" x14ac:dyDescent="0.2">
      <c r="B27" s="8" t="s">
        <v>111</v>
      </c>
      <c r="C27" s="1" t="s">
        <v>110</v>
      </c>
      <c r="F27" s="1">
        <v>139.44999999999999</v>
      </c>
    </row>
    <row r="28" spans="2:6" x14ac:dyDescent="0.2">
      <c r="B28" s="8" t="s">
        <v>109</v>
      </c>
      <c r="C28" s="1" t="s">
        <v>108</v>
      </c>
      <c r="F28" s="1">
        <v>348.33</v>
      </c>
    </row>
    <row r="29" spans="2:6" x14ac:dyDescent="0.2">
      <c r="B29" s="8" t="s">
        <v>107</v>
      </c>
      <c r="C29" s="1" t="s">
        <v>106</v>
      </c>
      <c r="F29" s="1">
        <v>65.599999999999994</v>
      </c>
    </row>
    <row r="30" spans="2:6" x14ac:dyDescent="0.2">
      <c r="B30" s="8" t="s">
        <v>105</v>
      </c>
      <c r="C30" s="1" t="s">
        <v>104</v>
      </c>
      <c r="F30" s="1">
        <v>41</v>
      </c>
    </row>
    <row r="32" spans="2:6" ht="13.5" thickBot="1" x14ac:dyDescent="0.25">
      <c r="F32" s="11">
        <f>SUM(F18:F31)</f>
        <v>1454.3799999999999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103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1-000000000000}">
  <sheetPr codeName="Sheet27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7" style="91" customWidth="1"/>
    <col min="2" max="2" width="14.42578125" style="91" customWidth="1"/>
    <col min="3" max="3" width="21" style="91" customWidth="1"/>
    <col min="4" max="4" width="16.42578125" style="91" customWidth="1"/>
    <col min="5" max="5" width="15" style="91" customWidth="1"/>
    <col min="6" max="6" width="13.28515625" style="91" customWidth="1"/>
    <col min="7" max="16384" width="9.140625" style="91"/>
  </cols>
  <sheetData>
    <row r="1" spans="1:5" ht="15" x14ac:dyDescent="0.25">
      <c r="A1" s="521" t="s">
        <v>34</v>
      </c>
      <c r="B1" s="521"/>
      <c r="C1" s="521"/>
      <c r="D1" s="521"/>
      <c r="E1" s="521"/>
    </row>
    <row r="2" spans="1:5" x14ac:dyDescent="0.2">
      <c r="A2" s="522" t="s">
        <v>33</v>
      </c>
      <c r="B2" s="522"/>
      <c r="C2" s="522"/>
      <c r="D2" s="522"/>
      <c r="E2" s="522"/>
    </row>
    <row r="3" spans="1:5" x14ac:dyDescent="0.2">
      <c r="A3" s="522" t="s">
        <v>1829</v>
      </c>
      <c r="B3" s="522"/>
      <c r="C3" s="522"/>
      <c r="D3" s="522"/>
      <c r="E3" s="522"/>
    </row>
    <row r="4" spans="1:5" x14ac:dyDescent="0.2">
      <c r="A4" s="522" t="s">
        <v>1828</v>
      </c>
      <c r="B4" s="522"/>
      <c r="C4" s="522"/>
      <c r="D4" s="522"/>
      <c r="E4" s="522"/>
    </row>
    <row r="8" spans="1:5" x14ac:dyDescent="0.2">
      <c r="A8" s="91" t="s">
        <v>32</v>
      </c>
      <c r="D8" s="22" t="s">
        <v>31</v>
      </c>
    </row>
    <row r="9" spans="1:5" x14ac:dyDescent="0.2">
      <c r="A9" s="91" t="s">
        <v>3034</v>
      </c>
      <c r="D9" s="92" t="s">
        <v>1378</v>
      </c>
      <c r="E9" s="91" t="s">
        <v>4589</v>
      </c>
    </row>
    <row r="10" spans="1:5" x14ac:dyDescent="0.2">
      <c r="A10" s="91" t="s">
        <v>126</v>
      </c>
      <c r="D10" s="92" t="s">
        <v>1335</v>
      </c>
      <c r="E10" s="105" t="s">
        <v>1738</v>
      </c>
    </row>
    <row r="11" spans="1:5" x14ac:dyDescent="0.2">
      <c r="A11" s="91" t="s">
        <v>125</v>
      </c>
      <c r="D11" s="92" t="s">
        <v>1354</v>
      </c>
      <c r="E11" s="92" t="s">
        <v>1220</v>
      </c>
    </row>
    <row r="12" spans="1:5" x14ac:dyDescent="0.2">
      <c r="A12" s="91" t="s">
        <v>124</v>
      </c>
      <c r="D12" s="92" t="s">
        <v>1377</v>
      </c>
      <c r="E12" s="92" t="s">
        <v>1757</v>
      </c>
    </row>
    <row r="13" spans="1:5" x14ac:dyDescent="0.2">
      <c r="A13" s="91" t="s">
        <v>123</v>
      </c>
    </row>
    <row r="16" spans="1:5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5" t="s">
        <v>18</v>
      </c>
    </row>
    <row r="18" spans="1:5" x14ac:dyDescent="0.2">
      <c r="A18" s="108"/>
      <c r="C18" s="2" t="s">
        <v>1758</v>
      </c>
    </row>
    <row r="19" spans="1:5" x14ac:dyDescent="0.2">
      <c r="A19" s="111"/>
      <c r="B19" s="99"/>
      <c r="E19" s="110"/>
    </row>
    <row r="20" spans="1:5" x14ac:dyDescent="0.2">
      <c r="A20" s="111" t="s">
        <v>1759</v>
      </c>
      <c r="B20" s="99" t="s">
        <v>1760</v>
      </c>
      <c r="C20" s="91" t="s">
        <v>1717</v>
      </c>
      <c r="E20" s="110">
        <v>100</v>
      </c>
    </row>
    <row r="22" spans="1:5" x14ac:dyDescent="0.2">
      <c r="A22" s="108"/>
      <c r="B22" s="93"/>
      <c r="E22" s="110"/>
    </row>
    <row r="23" spans="1:5" x14ac:dyDescent="0.2">
      <c r="A23" s="111"/>
      <c r="B23" s="93"/>
      <c r="C23" s="2"/>
      <c r="E23" s="110"/>
    </row>
    <row r="24" spans="1:5" x14ac:dyDescent="0.2">
      <c r="A24" s="108"/>
      <c r="B24" s="93"/>
    </row>
    <row r="25" spans="1:5" x14ac:dyDescent="0.2">
      <c r="A25" s="108"/>
      <c r="B25" s="99"/>
    </row>
    <row r="26" spans="1:5" x14ac:dyDescent="0.2">
      <c r="B26" s="99"/>
    </row>
    <row r="27" spans="1:5" x14ac:dyDescent="0.2">
      <c r="A27" s="111"/>
      <c r="B27" s="93"/>
      <c r="C27" s="2"/>
      <c r="E27" s="110"/>
    </row>
    <row r="28" spans="1:5" x14ac:dyDescent="0.2">
      <c r="A28" s="108"/>
      <c r="B28" s="93"/>
    </row>
    <row r="29" spans="1:5" x14ac:dyDescent="0.2">
      <c r="A29" s="108"/>
      <c r="B29" s="99"/>
    </row>
    <row r="30" spans="1:5" x14ac:dyDescent="0.2">
      <c r="B30" s="99"/>
    </row>
    <row r="31" spans="1:5" x14ac:dyDescent="0.2">
      <c r="B31" s="99"/>
    </row>
    <row r="32" spans="1:5" ht="13.5" thickBot="1" x14ac:dyDescent="0.25">
      <c r="E32" s="95">
        <f>SUM(E18:E31)</f>
        <v>100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1761</v>
      </c>
      <c r="C35" s="97"/>
      <c r="D35" s="97"/>
      <c r="E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E43" s="102"/>
    </row>
    <row r="47" spans="1:6" x14ac:dyDescent="0.2">
      <c r="A47" s="101" t="s">
        <v>3972</v>
      </c>
      <c r="B47" s="101"/>
      <c r="D47" s="101"/>
      <c r="E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1-000000000000}">
  <sheetPr codeName="Sheet28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102</v>
      </c>
    </row>
    <row r="10" spans="1:6" x14ac:dyDescent="0.2">
      <c r="A10" s="1" t="s">
        <v>101</v>
      </c>
      <c r="D10" s="20" t="s">
        <v>27</v>
      </c>
      <c r="E10" s="20" t="s">
        <v>100</v>
      </c>
    </row>
    <row r="11" spans="1:6" x14ac:dyDescent="0.2">
      <c r="A11" s="1" t="s">
        <v>99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98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97</v>
      </c>
    </row>
    <row r="21" spans="2:6" x14ac:dyDescent="0.2">
      <c r="C21" s="13" t="s">
        <v>96</v>
      </c>
    </row>
    <row r="22" spans="2:6" x14ac:dyDescent="0.2">
      <c r="C22" s="12"/>
    </row>
    <row r="24" spans="2:6" x14ac:dyDescent="0.2">
      <c r="C24" s="1" t="s">
        <v>15</v>
      </c>
    </row>
    <row r="26" spans="2:6" x14ac:dyDescent="0.2">
      <c r="B26" s="8" t="s">
        <v>43</v>
      </c>
      <c r="C26" s="1" t="s">
        <v>95</v>
      </c>
      <c r="F26" s="1">
        <v>2150</v>
      </c>
    </row>
    <row r="27" spans="2:6" x14ac:dyDescent="0.2">
      <c r="B27" s="8" t="s">
        <v>41</v>
      </c>
      <c r="C27" s="1" t="s">
        <v>94</v>
      </c>
      <c r="F27" s="1">
        <v>1000</v>
      </c>
    </row>
    <row r="28" spans="2:6" x14ac:dyDescent="0.2">
      <c r="B28" s="8" t="s">
        <v>39</v>
      </c>
      <c r="C28" s="1" t="s">
        <v>93</v>
      </c>
      <c r="F28" s="1">
        <v>1000</v>
      </c>
    </row>
    <row r="32" spans="2:6" ht="13.5" thickBot="1" x14ac:dyDescent="0.25">
      <c r="F32" s="11">
        <f>SUM(F18:F31)</f>
        <v>4150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92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1-000000000000}">
  <sheetPr codeName="Sheet4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1084</v>
      </c>
    </row>
    <row r="10" spans="1:6" x14ac:dyDescent="0.2">
      <c r="A10" s="1" t="s">
        <v>1083</v>
      </c>
      <c r="D10" s="20" t="s">
        <v>27</v>
      </c>
      <c r="E10" s="20" t="s">
        <v>1082</v>
      </c>
    </row>
    <row r="11" spans="1:6" x14ac:dyDescent="0.2">
      <c r="A11" s="1" t="s">
        <v>1081</v>
      </c>
      <c r="D11" s="20" t="s">
        <v>24</v>
      </c>
      <c r="E11" s="20" t="s">
        <v>23</v>
      </c>
    </row>
    <row r="12" spans="1:6" x14ac:dyDescent="0.2">
      <c r="A12" s="1" t="s">
        <v>366</v>
      </c>
      <c r="D12" s="20" t="s">
        <v>22</v>
      </c>
      <c r="E12" s="19" t="s">
        <v>1080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1079</v>
      </c>
    </row>
    <row r="21" spans="1:6" x14ac:dyDescent="0.2">
      <c r="C21" s="13" t="s">
        <v>1078</v>
      </c>
    </row>
    <row r="22" spans="1:6" x14ac:dyDescent="0.2">
      <c r="C22" s="21"/>
    </row>
    <row r="23" spans="1:6" x14ac:dyDescent="0.2">
      <c r="A23" s="8"/>
      <c r="C23" s="21"/>
    </row>
    <row r="24" spans="1:6" x14ac:dyDescent="0.2">
      <c r="C24" s="1" t="s">
        <v>1077</v>
      </c>
      <c r="F24" s="1">
        <v>29071</v>
      </c>
    </row>
    <row r="27" spans="1:6" x14ac:dyDescent="0.2">
      <c r="A27" s="8"/>
      <c r="C27" s="21"/>
    </row>
    <row r="28" spans="1:6" x14ac:dyDescent="0.2"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29071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1076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1-000000000000}">
  <sheetPr codeName="Sheet4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1093</v>
      </c>
    </row>
    <row r="10" spans="1:6" x14ac:dyDescent="0.2">
      <c r="A10" s="1" t="s">
        <v>1092</v>
      </c>
      <c r="D10" s="20" t="s">
        <v>27</v>
      </c>
      <c r="E10" s="20" t="s">
        <v>589</v>
      </c>
    </row>
    <row r="11" spans="1:6" x14ac:dyDescent="0.2">
      <c r="A11" s="1" t="s">
        <v>1091</v>
      </c>
      <c r="D11" s="20" t="s">
        <v>24</v>
      </c>
      <c r="E11" s="20" t="s">
        <v>23</v>
      </c>
    </row>
    <row r="12" spans="1:6" x14ac:dyDescent="0.2">
      <c r="A12" s="1" t="s">
        <v>1090</v>
      </c>
      <c r="D12" s="20" t="s">
        <v>22</v>
      </c>
      <c r="E12" s="20" t="s">
        <v>1089</v>
      </c>
    </row>
    <row r="13" spans="1:6" x14ac:dyDescent="0.2">
      <c r="A13" s="1" t="s">
        <v>1088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21"/>
    </row>
    <row r="21" spans="1:6" x14ac:dyDescent="0.2">
      <c r="C21" s="21"/>
    </row>
    <row r="22" spans="1:6" x14ac:dyDescent="0.2">
      <c r="C22" s="21"/>
    </row>
    <row r="23" spans="1:6" x14ac:dyDescent="0.2">
      <c r="A23" s="8"/>
      <c r="C23" s="21"/>
    </row>
    <row r="24" spans="1:6" x14ac:dyDescent="0.2">
      <c r="C24" s="1" t="s">
        <v>1087</v>
      </c>
      <c r="F24" s="1">
        <v>280</v>
      </c>
    </row>
    <row r="25" spans="1:6" x14ac:dyDescent="0.2">
      <c r="C25" s="1" t="s">
        <v>1086</v>
      </c>
    </row>
    <row r="27" spans="1:6" x14ac:dyDescent="0.2">
      <c r="A27" s="8"/>
      <c r="C27" s="21"/>
    </row>
    <row r="28" spans="1:6" x14ac:dyDescent="0.2">
      <c r="C28" s="21"/>
      <c r="F28" s="13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280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1085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95"/>
  <dimension ref="A1:N56"/>
  <sheetViews>
    <sheetView view="pageBreakPreview" topLeftCell="A19" zoomScale="115" zoomScaleNormal="100" zoomScaleSheetLayoutView="115" workbookViewId="0">
      <selection activeCell="A24" sqref="A24:H27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J4" s="1" t="s">
        <v>7987</v>
      </c>
      <c r="K4" s="1">
        <v>43770</v>
      </c>
      <c r="M4" s="1" t="s">
        <v>7984</v>
      </c>
    </row>
    <row r="5" spans="1:14" x14ac:dyDescent="0.2">
      <c r="J5" s="1" t="s">
        <v>8491</v>
      </c>
      <c r="K5" s="1">
        <v>43845</v>
      </c>
      <c r="L5" s="1" t="s">
        <v>8492</v>
      </c>
    </row>
    <row r="7" spans="1:14" x14ac:dyDescent="0.2">
      <c r="J7" s="1" t="s">
        <v>8614</v>
      </c>
      <c r="K7" s="1">
        <v>44176</v>
      </c>
      <c r="L7" s="1" t="s">
        <v>8615</v>
      </c>
    </row>
    <row r="8" spans="1:14" x14ac:dyDescent="0.2">
      <c r="A8" s="91" t="s">
        <v>32</v>
      </c>
      <c r="F8" s="22" t="s">
        <v>31</v>
      </c>
      <c r="J8" s="1" t="s">
        <v>7879</v>
      </c>
      <c r="K8" s="1">
        <v>43739</v>
      </c>
      <c r="M8" s="1" t="s">
        <v>7896</v>
      </c>
    </row>
    <row r="9" spans="1:14" x14ac:dyDescent="0.2">
      <c r="F9" s="92" t="s">
        <v>1317</v>
      </c>
      <c r="G9" s="91" t="s">
        <v>8794</v>
      </c>
    </row>
    <row r="10" spans="1:14" x14ac:dyDescent="0.2">
      <c r="A10" s="91" t="s">
        <v>1572</v>
      </c>
      <c r="F10" s="92" t="s">
        <v>1329</v>
      </c>
      <c r="G10" s="155" t="s">
        <v>8796</v>
      </c>
      <c r="K10" s="1" t="s">
        <v>7708</v>
      </c>
      <c r="L10" s="1">
        <v>43678</v>
      </c>
      <c r="N10" s="1" t="s">
        <v>7709</v>
      </c>
    </row>
    <row r="11" spans="1:14" x14ac:dyDescent="0.2">
      <c r="A11" s="91" t="s">
        <v>1573</v>
      </c>
      <c r="F11" s="92" t="s">
        <v>1330</v>
      </c>
      <c r="G11" s="155" t="s">
        <v>1220</v>
      </c>
    </row>
    <row r="12" spans="1:14" x14ac:dyDescent="0.2">
      <c r="F12" s="92" t="s">
        <v>1331</v>
      </c>
      <c r="G12" s="91" t="s">
        <v>8795</v>
      </c>
      <c r="J12" s="1" t="s">
        <v>7788</v>
      </c>
      <c r="K12" s="1">
        <v>43712</v>
      </c>
      <c r="M12" s="1" t="s">
        <v>7789</v>
      </c>
    </row>
    <row r="13" spans="1:14" x14ac:dyDescent="0.2">
      <c r="G13" s="91" t="s">
        <v>7762</v>
      </c>
    </row>
    <row r="14" spans="1:14" x14ac:dyDescent="0.2">
      <c r="J14" s="1" t="s">
        <v>8045</v>
      </c>
      <c r="K14" s="1">
        <v>43788</v>
      </c>
      <c r="L14" s="1" t="s">
        <v>8046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411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106"/>
    </row>
    <row r="18" spans="1:12" x14ac:dyDescent="0.2">
      <c r="D18" s="2" t="s">
        <v>8494</v>
      </c>
      <c r="E18" s="2"/>
      <c r="J18" s="1" t="s">
        <v>8082</v>
      </c>
      <c r="K18" s="1">
        <v>43795</v>
      </c>
      <c r="L18" s="1" t="s">
        <v>8083</v>
      </c>
    </row>
    <row r="19" spans="1:12" x14ac:dyDescent="0.2">
      <c r="A19" s="106"/>
      <c r="E19" s="2"/>
    </row>
    <row r="20" spans="1:12" x14ac:dyDescent="0.2">
      <c r="A20" s="92" t="s">
        <v>4249</v>
      </c>
      <c r="B20" s="99"/>
      <c r="C20" s="412"/>
      <c r="D20" s="2" t="s">
        <v>8798</v>
      </c>
    </row>
    <row r="21" spans="1:12" x14ac:dyDescent="0.2">
      <c r="A21" s="91" t="s">
        <v>8797</v>
      </c>
      <c r="B21" s="94"/>
      <c r="C21" s="94"/>
      <c r="J21" s="1" t="s">
        <v>8794</v>
      </c>
      <c r="K21" s="1">
        <v>43896</v>
      </c>
      <c r="L21" s="1" t="s">
        <v>8795</v>
      </c>
    </row>
    <row r="22" spans="1:12" x14ac:dyDescent="0.2">
      <c r="B22" s="99"/>
      <c r="C22" s="412"/>
      <c r="D22" s="91" t="s">
        <v>8799</v>
      </c>
      <c r="H22" s="91">
        <f>837+125.55</f>
        <v>962.55</v>
      </c>
    </row>
    <row r="24" spans="1:12" x14ac:dyDescent="0.2">
      <c r="D24" s="2"/>
    </row>
    <row r="25" spans="1:12" x14ac:dyDescent="0.2">
      <c r="D25" s="2"/>
    </row>
    <row r="26" spans="1:12" x14ac:dyDescent="0.2">
      <c r="A26" s="92"/>
    </row>
    <row r="27" spans="1:12" x14ac:dyDescent="0.2">
      <c r="A27" s="92"/>
    </row>
    <row r="28" spans="1:12" x14ac:dyDescent="0.2">
      <c r="A28" s="92"/>
    </row>
    <row r="29" spans="1:12" x14ac:dyDescent="0.2">
      <c r="A29" s="92"/>
    </row>
    <row r="30" spans="1:12" x14ac:dyDescent="0.2">
      <c r="A30" s="92"/>
    </row>
    <row r="31" spans="1:12" x14ac:dyDescent="0.2">
      <c r="A31" s="92"/>
    </row>
    <row r="33" spans="1:8" x14ac:dyDescent="0.2">
      <c r="A33" s="93"/>
      <c r="B33" s="99"/>
      <c r="C33" s="412"/>
    </row>
    <row r="34" spans="1:8" x14ac:dyDescent="0.2">
      <c r="A34" s="99"/>
    </row>
    <row r="35" spans="1:8" x14ac:dyDescent="0.2">
      <c r="A35" s="137"/>
      <c r="B35" s="94"/>
      <c r="C35" s="94"/>
    </row>
    <row r="36" spans="1:8" x14ac:dyDescent="0.2">
      <c r="A36" s="7"/>
      <c r="B36" s="1"/>
      <c r="C36" s="1"/>
      <c r="D36" s="1"/>
      <c r="E36" s="1"/>
      <c r="F36" s="1"/>
      <c r="G36" s="1"/>
      <c r="H36" s="1"/>
    </row>
    <row r="37" spans="1:8" ht="13.5" thickBot="1" x14ac:dyDescent="0.25">
      <c r="A37" s="106"/>
      <c r="H37" s="107">
        <f>SUM(H19:H36)</f>
        <v>962.55</v>
      </c>
    </row>
    <row r="38" spans="1:8" ht="13.5" thickTop="1" x14ac:dyDescent="0.2">
      <c r="A38" s="106"/>
    </row>
    <row r="39" spans="1:8" ht="20.100000000000001" customHeight="1" x14ac:dyDescent="0.2">
      <c r="A39" s="96" t="s">
        <v>1248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Nine Hundred Sixty-Two and 55/100 -----------</v>
      </c>
      <c r="C39" s="185"/>
      <c r="D39" s="97"/>
      <c r="E39" s="97"/>
      <c r="F39" s="206"/>
      <c r="G39" s="206"/>
      <c r="H39" s="206"/>
    </row>
    <row r="40" spans="1:8" x14ac:dyDescent="0.2">
      <c r="A40" s="94"/>
    </row>
    <row r="41" spans="1:8" ht="25.5" x14ac:dyDescent="0.2">
      <c r="A41" s="91" t="s">
        <v>10</v>
      </c>
      <c r="F41" s="218" t="s">
        <v>3975</v>
      </c>
      <c r="G41" s="219"/>
      <c r="H41" s="220"/>
    </row>
    <row r="42" spans="1:8" x14ac:dyDescent="0.2">
      <c r="F42" s="227"/>
      <c r="G42" s="227"/>
      <c r="H42" s="227"/>
    </row>
    <row r="43" spans="1:8" x14ac:dyDescent="0.2">
      <c r="F43" s="228"/>
      <c r="G43" s="229"/>
      <c r="H43" s="229"/>
    </row>
    <row r="44" spans="1:8" x14ac:dyDescent="0.2">
      <c r="A44" s="1"/>
    </row>
    <row r="45" spans="1:8" x14ac:dyDescent="0.2">
      <c r="A45" s="101"/>
      <c r="B45" s="101"/>
      <c r="C45" s="386"/>
    </row>
    <row r="47" spans="1:8" x14ac:dyDescent="0.2">
      <c r="A47" s="91" t="s">
        <v>8</v>
      </c>
      <c r="D47" s="91" t="s">
        <v>8</v>
      </c>
      <c r="F47" s="98" t="s">
        <v>7</v>
      </c>
      <c r="H47" s="102"/>
    </row>
    <row r="51" spans="1:8" x14ac:dyDescent="0.2">
      <c r="A51" s="101" t="s">
        <v>120</v>
      </c>
      <c r="B51" s="101"/>
      <c r="C51" s="386"/>
      <c r="D51" s="101"/>
      <c r="F51" s="101"/>
      <c r="G51" s="101"/>
      <c r="H51" s="101"/>
    </row>
    <row r="52" spans="1:8" s="3" customFormat="1" ht="17.100000000000001" customHeight="1" x14ac:dyDescent="0.2">
      <c r="A52" s="61" t="s">
        <v>4066</v>
      </c>
      <c r="B52" s="104"/>
      <c r="C52" s="104"/>
      <c r="D52" s="61" t="s">
        <v>50</v>
      </c>
      <c r="E52" s="61"/>
      <c r="F52" s="61" t="s">
        <v>3</v>
      </c>
      <c r="G52" s="61"/>
      <c r="H52" s="61"/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1-000000000000}">
  <sheetPr codeName="Sheet128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14.7109375" style="1" customWidth="1"/>
    <col min="2" max="2" width="15.85546875" style="1" customWidth="1"/>
    <col min="3" max="3" width="21" style="1" customWidth="1"/>
    <col min="4" max="4" width="16.42578125" style="1" customWidth="1"/>
    <col min="5" max="5" width="12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1221</v>
      </c>
      <c r="E9" s="21" t="s">
        <v>1237</v>
      </c>
    </row>
    <row r="10" spans="1:6" x14ac:dyDescent="0.2">
      <c r="A10" s="80" t="s">
        <v>1227</v>
      </c>
      <c r="D10" s="20" t="s">
        <v>1222</v>
      </c>
      <c r="E10" s="79">
        <v>40617</v>
      </c>
    </row>
    <row r="11" spans="1:6" x14ac:dyDescent="0.2">
      <c r="A11" s="21" t="s">
        <v>1228</v>
      </c>
      <c r="D11" s="20" t="s">
        <v>1223</v>
      </c>
      <c r="E11" s="20" t="s">
        <v>1220</v>
      </c>
    </row>
    <row r="12" spans="1:6" x14ac:dyDescent="0.2">
      <c r="A12" s="21" t="s">
        <v>1229</v>
      </c>
      <c r="D12" s="20" t="s">
        <v>1224</v>
      </c>
      <c r="E12" s="19" t="s">
        <v>1238</v>
      </c>
    </row>
    <row r="16" spans="1:6" s="14" customFormat="1" ht="20.100000000000001" customHeight="1" x14ac:dyDescent="0.2">
      <c r="A16" s="17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B18" s="75"/>
    </row>
    <row r="19" spans="1:6" x14ac:dyDescent="0.2">
      <c r="B19" s="77"/>
      <c r="C19" s="21" t="s">
        <v>1230</v>
      </c>
    </row>
    <row r="20" spans="1:6" x14ac:dyDescent="0.2">
      <c r="B20" s="77"/>
      <c r="C20" s="21" t="s">
        <v>1231</v>
      </c>
    </row>
    <row r="21" spans="1:6" x14ac:dyDescent="0.2">
      <c r="B21" s="77"/>
      <c r="C21" s="21" t="s">
        <v>1232</v>
      </c>
    </row>
    <row r="22" spans="1:6" x14ac:dyDescent="0.2">
      <c r="B22" s="77"/>
    </row>
    <row r="23" spans="1:6" x14ac:dyDescent="0.2">
      <c r="A23" s="21" t="s">
        <v>1233</v>
      </c>
      <c r="B23" s="77"/>
      <c r="C23" s="21" t="s">
        <v>1234</v>
      </c>
      <c r="F23" s="1">
        <v>300</v>
      </c>
    </row>
    <row r="24" spans="1:6" x14ac:dyDescent="0.2">
      <c r="B24" s="77"/>
      <c r="C24" s="21" t="s">
        <v>1235</v>
      </c>
    </row>
    <row r="25" spans="1:6" x14ac:dyDescent="0.2">
      <c r="B25" s="77"/>
    </row>
    <row r="26" spans="1:6" x14ac:dyDescent="0.2">
      <c r="B26" s="78"/>
    </row>
    <row r="27" spans="1:6" x14ac:dyDescent="0.2">
      <c r="B27" s="78"/>
    </row>
    <row r="28" spans="1:6" x14ac:dyDescent="0.2">
      <c r="B28" s="78"/>
    </row>
    <row r="29" spans="1:6" x14ac:dyDescent="0.2">
      <c r="B29" s="78"/>
    </row>
    <row r="30" spans="1:6" x14ac:dyDescent="0.2">
      <c r="B30" s="77"/>
    </row>
    <row r="31" spans="1:6" x14ac:dyDescent="0.2">
      <c r="B31" s="77"/>
    </row>
    <row r="32" spans="1:6" ht="13.5" thickBot="1" x14ac:dyDescent="0.25">
      <c r="B32" s="77"/>
      <c r="F32" s="11">
        <f>SUM(F20:F31)</f>
        <v>300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1225</v>
      </c>
      <c r="B35" s="24" t="s">
        <v>1236</v>
      </c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23" t="s">
        <v>3972</v>
      </c>
      <c r="B47" s="23"/>
      <c r="D47" s="23"/>
      <c r="E47" s="23"/>
      <c r="F47" s="23"/>
    </row>
    <row r="48" spans="1:6" s="3" customFormat="1" ht="17.100000000000001" customHeight="1" x14ac:dyDescent="0.2">
      <c r="A48" s="72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1-000000000000}">
  <sheetPr codeName="Sheet46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1" width="15.5703125" style="1" customWidth="1"/>
    <col min="2" max="2" width="17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30</v>
      </c>
      <c r="E9" s="91" t="s">
        <v>5176</v>
      </c>
      <c r="F9" s="91"/>
    </row>
    <row r="10" spans="1:6" x14ac:dyDescent="0.2">
      <c r="A10" s="91" t="s">
        <v>2469</v>
      </c>
      <c r="B10" s="91"/>
      <c r="C10" s="91"/>
      <c r="D10" s="92" t="s">
        <v>27</v>
      </c>
      <c r="E10" s="92" t="s">
        <v>5174</v>
      </c>
      <c r="F10" s="91"/>
    </row>
    <row r="11" spans="1:6" x14ac:dyDescent="0.2">
      <c r="A11" s="91" t="s">
        <v>2470</v>
      </c>
      <c r="B11" s="91"/>
      <c r="C11" s="91"/>
      <c r="D11" s="92" t="s">
        <v>24</v>
      </c>
      <c r="E11" s="92" t="s">
        <v>1220</v>
      </c>
      <c r="F11" s="91"/>
    </row>
    <row r="12" spans="1:6" x14ac:dyDescent="0.2">
      <c r="A12" s="91" t="s">
        <v>1973</v>
      </c>
      <c r="B12" s="91"/>
      <c r="C12" s="91"/>
      <c r="D12" s="92" t="s">
        <v>22</v>
      </c>
      <c r="E12" s="94" t="s">
        <v>5177</v>
      </c>
      <c r="F12" s="91"/>
    </row>
    <row r="13" spans="1:6" x14ac:dyDescent="0.2">
      <c r="A13" s="91"/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67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137"/>
      <c r="B18" s="192"/>
      <c r="C18" s="2" t="s">
        <v>5178</v>
      </c>
      <c r="D18" s="91"/>
      <c r="E18" s="91"/>
      <c r="F18" s="91"/>
    </row>
    <row r="19" spans="1:6" x14ac:dyDescent="0.2">
      <c r="A19" s="91"/>
      <c r="B19" s="91"/>
      <c r="C19" s="2" t="s">
        <v>5179</v>
      </c>
      <c r="D19" s="91"/>
      <c r="E19" s="91"/>
      <c r="F19" s="91"/>
    </row>
    <row r="20" spans="1:6" x14ac:dyDescent="0.2">
      <c r="A20" s="93"/>
      <c r="B20" s="93"/>
      <c r="C20" s="92"/>
      <c r="D20" s="91"/>
      <c r="E20" s="91"/>
      <c r="F20" s="91"/>
    </row>
    <row r="21" spans="1:6" x14ac:dyDescent="0.2">
      <c r="A21" s="93" t="s">
        <v>5180</v>
      </c>
      <c r="B21" s="195" t="s">
        <v>2032</v>
      </c>
      <c r="C21" s="91" t="s">
        <v>5181</v>
      </c>
      <c r="D21" s="91"/>
      <c r="E21" s="91"/>
      <c r="F21" s="91">
        <f>438*4</f>
        <v>1752</v>
      </c>
    </row>
    <row r="22" spans="1:6" x14ac:dyDescent="0.2">
      <c r="A22" s="91"/>
      <c r="B22" s="98"/>
      <c r="C22" s="91"/>
      <c r="D22" s="91"/>
      <c r="E22" s="91"/>
      <c r="F22" s="91"/>
    </row>
    <row r="24" spans="1:6" x14ac:dyDescent="0.2">
      <c r="A24" s="93"/>
      <c r="B24" s="93"/>
      <c r="C24" s="92"/>
      <c r="F24" s="91"/>
    </row>
    <row r="25" spans="1:6" x14ac:dyDescent="0.2">
      <c r="B25" s="6"/>
      <c r="C25" s="91"/>
      <c r="F25" s="91"/>
    </row>
    <row r="26" spans="1:6" x14ac:dyDescent="0.2">
      <c r="A26" s="93"/>
      <c r="B26" s="263"/>
      <c r="C26" s="91"/>
      <c r="D26" s="91"/>
      <c r="E26" s="91"/>
      <c r="F26" s="91"/>
    </row>
    <row r="27" spans="1:6" x14ac:dyDescent="0.2">
      <c r="A27" s="91"/>
      <c r="B27" s="98"/>
      <c r="C27" s="91"/>
      <c r="D27" s="91"/>
      <c r="E27" s="91"/>
      <c r="F27" s="91"/>
    </row>
    <row r="28" spans="1:6" x14ac:dyDescent="0.2">
      <c r="A28" s="91"/>
      <c r="B28" s="98"/>
      <c r="C28" s="91"/>
      <c r="F28" s="91"/>
    </row>
    <row r="29" spans="1:6" x14ac:dyDescent="0.2">
      <c r="A29" s="91"/>
      <c r="B29" s="94"/>
      <c r="C29" s="91"/>
      <c r="D29" s="91"/>
      <c r="E29" s="91"/>
      <c r="F29" s="91"/>
    </row>
    <row r="30" spans="1:6" x14ac:dyDescent="0.2">
      <c r="A30" s="91"/>
      <c r="B30" s="94"/>
      <c r="C30" s="91"/>
      <c r="D30" s="91"/>
      <c r="E30" s="91"/>
      <c r="F30" s="91"/>
    </row>
    <row r="31" spans="1:6" x14ac:dyDescent="0.2">
      <c r="A31" s="91"/>
      <c r="B31" s="94"/>
      <c r="C31" s="91"/>
      <c r="D31" s="91"/>
      <c r="E31" s="91"/>
      <c r="F31" s="91"/>
    </row>
    <row r="32" spans="1:6" x14ac:dyDescent="0.2">
      <c r="A32" s="91"/>
      <c r="B32" s="94"/>
      <c r="C32" s="91"/>
      <c r="D32" s="91"/>
      <c r="E32" s="91"/>
      <c r="F32" s="91"/>
    </row>
    <row r="33" spans="1:6" x14ac:dyDescent="0.2">
      <c r="A33" s="91"/>
      <c r="B33" s="91"/>
      <c r="C33" s="91"/>
      <c r="D33" s="91"/>
      <c r="E33" s="91"/>
      <c r="F33" s="91"/>
    </row>
    <row r="34" spans="1:6" ht="13.5" thickBot="1" x14ac:dyDescent="0.25">
      <c r="A34" s="91"/>
      <c r="B34" s="91"/>
      <c r="C34" s="91"/>
      <c r="D34" s="91"/>
      <c r="E34" s="91"/>
      <c r="F34" s="95">
        <f>SUM(F18:F33)</f>
        <v>1752</v>
      </c>
    </row>
    <row r="35" spans="1:6" ht="13.5" thickTop="1" x14ac:dyDescent="0.2">
      <c r="A35" s="91"/>
      <c r="B35" s="91"/>
      <c r="C35" s="91"/>
      <c r="D35" s="91"/>
      <c r="E35" s="91"/>
      <c r="F35" s="91"/>
    </row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Seven Hundred Fifty-Two and NO/100 -----------</v>
      </c>
      <c r="C36" s="97"/>
      <c r="D36" s="262"/>
      <c r="E36" s="262"/>
      <c r="F36" s="262"/>
    </row>
    <row r="37" spans="1:6" x14ac:dyDescent="0.2">
      <c r="A37" s="94"/>
      <c r="B37" s="91"/>
      <c r="C37" s="91"/>
      <c r="D37" s="91"/>
      <c r="E37" s="91"/>
      <c r="F37" s="91"/>
    </row>
    <row r="38" spans="1:6" ht="25.5" x14ac:dyDescent="0.2">
      <c r="A38" s="94"/>
      <c r="B38" s="91"/>
      <c r="C38" s="91"/>
      <c r="D38" s="218" t="s">
        <v>3975</v>
      </c>
      <c r="E38" s="219"/>
      <c r="F38" s="220"/>
    </row>
    <row r="39" spans="1:6" x14ac:dyDescent="0.2">
      <c r="A39" s="91" t="s">
        <v>10</v>
      </c>
      <c r="B39" s="91"/>
      <c r="C39" s="91"/>
      <c r="D39" s="227"/>
      <c r="E39" s="227"/>
      <c r="F39" s="227"/>
    </row>
    <row r="40" spans="1:6" x14ac:dyDescent="0.2">
      <c r="A40" s="91"/>
      <c r="B40" s="91"/>
      <c r="C40" s="91"/>
      <c r="D40" s="228"/>
      <c r="E40" s="229"/>
      <c r="F40" s="229"/>
    </row>
    <row r="41" spans="1:6" x14ac:dyDescent="0.2">
      <c r="C41" s="91"/>
      <c r="D41" s="91"/>
      <c r="E41" s="91"/>
      <c r="F41" s="91"/>
    </row>
    <row r="42" spans="1:6" x14ac:dyDescent="0.2">
      <c r="A42" s="101"/>
      <c r="B42" s="101"/>
      <c r="C42" s="91"/>
      <c r="D42" s="91"/>
      <c r="E42" s="91"/>
      <c r="F42" s="91"/>
    </row>
    <row r="43" spans="1:6" x14ac:dyDescent="0.2">
      <c r="A43" s="91"/>
      <c r="B43" s="91"/>
      <c r="C43" s="91"/>
      <c r="D43" s="91"/>
      <c r="E43" s="91"/>
      <c r="F43" s="91"/>
    </row>
    <row r="44" spans="1:6" x14ac:dyDescent="0.2">
      <c r="A44" s="98" t="s">
        <v>8</v>
      </c>
      <c r="B44" s="91"/>
      <c r="C44" s="91"/>
      <c r="D44" s="98" t="s">
        <v>7</v>
      </c>
      <c r="E44" s="91"/>
      <c r="F44" s="102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91"/>
      <c r="B47" s="91"/>
      <c r="C47" s="91"/>
      <c r="D47" s="91"/>
      <c r="E47" s="91"/>
      <c r="F47" s="91"/>
    </row>
    <row r="48" spans="1:6" x14ac:dyDescent="0.2">
      <c r="A48" s="101"/>
      <c r="B48" s="101"/>
      <c r="C48" s="91"/>
      <c r="D48" s="101"/>
      <c r="E48" s="101"/>
      <c r="F48" s="101"/>
    </row>
    <row r="49" spans="1:6" s="3" customFormat="1" ht="17.100000000000001" customHeight="1" x14ac:dyDescent="0.2">
      <c r="A49" s="103" t="s">
        <v>4066</v>
      </c>
      <c r="B49" s="104"/>
      <c r="C49" s="61"/>
      <c r="D49" s="61" t="s">
        <v>3</v>
      </c>
      <c r="E49" s="61"/>
      <c r="F49" s="61"/>
    </row>
    <row r="50" spans="1:6" x14ac:dyDescent="0.2">
      <c r="A50" s="91"/>
      <c r="B50" s="91"/>
      <c r="C50" s="91"/>
      <c r="D50" s="91" t="s">
        <v>2</v>
      </c>
      <c r="E50" s="91"/>
      <c r="F50" s="91"/>
    </row>
    <row r="51" spans="1:6" x14ac:dyDescent="0.2">
      <c r="A51" s="91"/>
      <c r="B51" s="91"/>
      <c r="C51" s="91"/>
      <c r="D51" s="91"/>
      <c r="E51" s="91"/>
      <c r="F51" s="91"/>
    </row>
    <row r="52" spans="1:6" x14ac:dyDescent="0.2">
      <c r="A52" s="91"/>
      <c r="B52" s="91"/>
      <c r="C52" s="91"/>
      <c r="D52" s="2" t="s">
        <v>1</v>
      </c>
      <c r="E52" s="91"/>
      <c r="F52" s="91"/>
    </row>
    <row r="53" spans="1:6" x14ac:dyDescent="0.2">
      <c r="A53" s="91"/>
      <c r="B53" s="91"/>
      <c r="C53" s="91"/>
      <c r="D53" s="2" t="s">
        <v>0</v>
      </c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  <row r="56" spans="1:6" x14ac:dyDescent="0.2">
      <c r="A56" s="91"/>
      <c r="B56" s="91"/>
      <c r="C56" s="91"/>
      <c r="D56" s="91"/>
      <c r="E56" s="91"/>
      <c r="F56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1-000000000000}">
  <sheetPr codeName="Sheet29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79</v>
      </c>
    </row>
    <row r="10" spans="1:6" x14ac:dyDescent="0.2">
      <c r="A10" s="1" t="s">
        <v>78</v>
      </c>
      <c r="D10" s="20" t="s">
        <v>27</v>
      </c>
      <c r="E10" s="20" t="s">
        <v>48</v>
      </c>
    </row>
    <row r="11" spans="1:6" x14ac:dyDescent="0.2">
      <c r="A11" s="1" t="s">
        <v>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76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21"/>
    </row>
    <row r="20" spans="2:6" x14ac:dyDescent="0.2">
      <c r="C20" s="21"/>
    </row>
    <row r="22" spans="2:6" x14ac:dyDescent="0.2">
      <c r="C22" s="1" t="s">
        <v>45</v>
      </c>
      <c r="F22" s="1">
        <v>2035.75</v>
      </c>
    </row>
    <row r="24" spans="2:6" x14ac:dyDescent="0.2">
      <c r="C24" s="1" t="s">
        <v>44</v>
      </c>
    </row>
    <row r="26" spans="2:6" x14ac:dyDescent="0.2">
      <c r="B26" s="8" t="s">
        <v>43</v>
      </c>
      <c r="C26" s="1" t="s">
        <v>75</v>
      </c>
      <c r="F26" s="1">
        <v>433</v>
      </c>
    </row>
    <row r="27" spans="2:6" x14ac:dyDescent="0.2">
      <c r="B27" s="8" t="s">
        <v>41</v>
      </c>
      <c r="C27" s="1" t="s">
        <v>74</v>
      </c>
      <c r="F27" s="1">
        <v>28</v>
      </c>
    </row>
    <row r="28" spans="2:6" x14ac:dyDescent="0.2">
      <c r="B28" s="8" t="s">
        <v>39</v>
      </c>
      <c r="C28" s="1" t="s">
        <v>73</v>
      </c>
      <c r="F28" s="1">
        <v>130.30000000000001</v>
      </c>
    </row>
    <row r="29" spans="2:6" x14ac:dyDescent="0.2">
      <c r="B29" s="8" t="s">
        <v>72</v>
      </c>
      <c r="C29" s="1" t="s">
        <v>71</v>
      </c>
      <c r="F29" s="1">
        <v>15</v>
      </c>
    </row>
    <row r="32" spans="2:6" ht="13.5" thickBot="1" x14ac:dyDescent="0.25">
      <c r="F32" s="11">
        <f>SUM(F20:F31)</f>
        <v>2642.05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765A-0D38-4E46-A703-BC776A3A8C81}">
  <sheetPr codeName="Sheet773">
    <pageSetUpPr fitToPage="1"/>
  </sheetPr>
  <dimension ref="A1:L56"/>
  <sheetViews>
    <sheetView workbookViewId="0">
      <selection activeCell="G9" sqref="G9:G11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1" width="9.140625" style="1"/>
    <col min="12" max="12" width="16.28515625" style="1" bestFit="1" customWidth="1"/>
    <col min="13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61" t="s">
        <v>8418</v>
      </c>
      <c r="H9" s="91"/>
    </row>
    <row r="10" spans="1:8" x14ac:dyDescent="0.2">
      <c r="A10" s="91" t="s">
        <v>8417</v>
      </c>
      <c r="B10" s="91"/>
      <c r="C10" s="91"/>
      <c r="D10" s="91"/>
      <c r="E10" s="91"/>
      <c r="F10" s="92" t="s">
        <v>1357</v>
      </c>
      <c r="G10" s="113" t="s">
        <v>8183</v>
      </c>
      <c r="H10" s="91"/>
    </row>
    <row r="11" spans="1:8" x14ac:dyDescent="0.2">
      <c r="A11" s="91" t="s">
        <v>8416</v>
      </c>
      <c r="B11" s="91"/>
      <c r="C11" s="91"/>
      <c r="D11" s="91"/>
      <c r="E11" s="91"/>
      <c r="F11" s="92" t="s">
        <v>1330</v>
      </c>
      <c r="G11" s="113" t="s">
        <v>1220</v>
      </c>
      <c r="H11" s="91"/>
    </row>
    <row r="12" spans="1:8" x14ac:dyDescent="0.2">
      <c r="A12" s="91" t="s">
        <v>8415</v>
      </c>
      <c r="B12" s="91"/>
      <c r="C12" s="91"/>
      <c r="D12" s="91"/>
      <c r="E12" s="91"/>
      <c r="F12" s="92" t="s">
        <v>1377</v>
      </c>
      <c r="G12" s="113" t="s">
        <v>770</v>
      </c>
      <c r="H12" s="91"/>
    </row>
    <row r="13" spans="1:8" x14ac:dyDescent="0.2">
      <c r="A13" s="91" t="s">
        <v>8414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489" t="s">
        <v>128</v>
      </c>
      <c r="C16" s="489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91"/>
      <c r="B17" s="91"/>
      <c r="C17" s="91"/>
      <c r="D17" s="91"/>
      <c r="E17" s="91"/>
      <c r="F17" s="91"/>
      <c r="G17" s="91"/>
      <c r="H17" s="91"/>
    </row>
    <row r="18" spans="1:12" x14ac:dyDescent="0.2">
      <c r="A18" s="93"/>
      <c r="B18" s="93"/>
      <c r="C18" s="93"/>
      <c r="D18" s="146" t="s">
        <v>8413</v>
      </c>
      <c r="E18" s="94"/>
      <c r="F18" s="91"/>
      <c r="G18" s="91"/>
      <c r="H18" s="91"/>
    </row>
    <row r="19" spans="1:12" x14ac:dyDescent="0.2">
      <c r="A19" s="93"/>
      <c r="B19" s="93"/>
      <c r="C19" s="93"/>
      <c r="D19" s="91"/>
      <c r="E19" s="91"/>
      <c r="F19" s="91"/>
      <c r="G19" s="91"/>
      <c r="H19" s="91"/>
      <c r="I19" s="91"/>
    </row>
    <row r="20" spans="1:12" x14ac:dyDescent="0.2">
      <c r="A20" s="93" t="s">
        <v>8039</v>
      </c>
      <c r="B20" s="94" t="s">
        <v>8412</v>
      </c>
      <c r="C20" s="94"/>
      <c r="D20" s="91" t="s">
        <v>8411</v>
      </c>
      <c r="E20" s="91"/>
      <c r="H20" s="110">
        <f>800*5.4501</f>
        <v>4360.08</v>
      </c>
      <c r="I20" s="91"/>
      <c r="L20" s="493"/>
    </row>
    <row r="21" spans="1:12" x14ac:dyDescent="0.2">
      <c r="A21" s="93"/>
      <c r="B21" s="93"/>
      <c r="C21" s="93"/>
      <c r="D21" s="94" t="s">
        <v>8410</v>
      </c>
      <c r="E21" s="94"/>
      <c r="F21" s="91"/>
      <c r="G21" s="91"/>
      <c r="H21" s="91"/>
      <c r="I21" s="91"/>
    </row>
    <row r="22" spans="1:12" x14ac:dyDescent="0.2">
      <c r="A22" s="93"/>
      <c r="B22" s="93"/>
      <c r="C22" s="93"/>
      <c r="D22" s="94"/>
      <c r="E22" s="94"/>
      <c r="F22" s="91"/>
      <c r="G22" s="91"/>
      <c r="H22" s="91"/>
      <c r="I22" s="91"/>
    </row>
    <row r="23" spans="1:12" x14ac:dyDescent="0.2">
      <c r="A23" s="93"/>
      <c r="B23" s="93"/>
      <c r="C23" s="93"/>
      <c r="D23" s="91" t="s">
        <v>52</v>
      </c>
      <c r="E23" s="91"/>
      <c r="F23" s="91"/>
      <c r="G23" s="91"/>
      <c r="H23" s="91">
        <v>30</v>
      </c>
      <c r="I23" s="91"/>
    </row>
    <row r="24" spans="1:12" x14ac:dyDescent="0.2">
      <c r="A24" s="93"/>
      <c r="B24" s="93"/>
      <c r="C24" s="93"/>
      <c r="D24" s="94"/>
      <c r="E24" s="94"/>
      <c r="F24" s="91"/>
      <c r="G24" s="91"/>
      <c r="H24" s="91"/>
      <c r="I24" s="91"/>
    </row>
    <row r="25" spans="1:12" x14ac:dyDescent="0.2">
      <c r="A25" s="93"/>
      <c r="B25" s="93"/>
      <c r="C25" s="93"/>
      <c r="I25" s="91"/>
    </row>
    <row r="26" spans="1:12" x14ac:dyDescent="0.2">
      <c r="A26" s="93"/>
      <c r="B26" s="94"/>
      <c r="C26" s="94"/>
      <c r="D26" s="91"/>
      <c r="E26" s="91"/>
      <c r="H26" s="91"/>
      <c r="I26" s="91"/>
    </row>
    <row r="27" spans="1:12" x14ac:dyDescent="0.2">
      <c r="A27" s="93"/>
      <c r="B27" s="93"/>
      <c r="C27" s="93"/>
      <c r="I27" s="91"/>
    </row>
    <row r="28" spans="1:12" x14ac:dyDescent="0.2">
      <c r="A28" s="93"/>
      <c r="B28" s="93"/>
      <c r="C28" s="93"/>
      <c r="D28" s="94"/>
      <c r="E28" s="94"/>
      <c r="F28" s="91"/>
      <c r="G28" s="91"/>
      <c r="H28" s="91"/>
      <c r="I28" s="91"/>
    </row>
    <row r="29" spans="1:12" x14ac:dyDescent="0.2">
      <c r="A29" s="93"/>
      <c r="B29" s="94"/>
      <c r="C29" s="94"/>
      <c r="D29" s="91"/>
      <c r="E29" s="91"/>
      <c r="F29" s="91"/>
      <c r="G29" s="91"/>
      <c r="H29" s="91"/>
      <c r="I29" s="91"/>
    </row>
    <row r="30" spans="1:12" x14ac:dyDescent="0.2">
      <c r="A30" s="93"/>
      <c r="B30" s="94"/>
      <c r="C30" s="94"/>
      <c r="D30" s="91"/>
      <c r="E30" s="91"/>
      <c r="F30" s="91"/>
      <c r="G30" s="91"/>
      <c r="H30" s="91"/>
      <c r="I30" s="91"/>
    </row>
    <row r="31" spans="1:12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2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x14ac:dyDescent="0.2">
      <c r="A34" s="91"/>
      <c r="B34" s="91"/>
      <c r="C34" s="91"/>
      <c r="D34" s="91"/>
      <c r="E34" s="91"/>
      <c r="F34" s="91"/>
      <c r="G34" s="91"/>
      <c r="I34" s="91"/>
    </row>
    <row r="35" spans="1:9" ht="13.5" thickBot="1" x14ac:dyDescent="0.25">
      <c r="A35" s="91"/>
      <c r="B35" s="91"/>
      <c r="C35" s="91"/>
      <c r="D35" s="91"/>
      <c r="E35" s="91"/>
      <c r="F35" s="91"/>
      <c r="G35" s="91"/>
      <c r="H35" s="107">
        <f>SUM(H18:H34)</f>
        <v>4390.08</v>
      </c>
      <c r="I35" s="91"/>
    </row>
    <row r="36" spans="1:9" ht="13.5" thickTop="1" x14ac:dyDescent="0.2">
      <c r="A36" s="91"/>
      <c r="B36" s="91"/>
      <c r="C36" s="91"/>
      <c r="D36" s="91"/>
      <c r="E36" s="91"/>
      <c r="F36" s="91"/>
      <c r="G36" s="91"/>
      <c r="H36" s="91"/>
      <c r="I36" s="91"/>
    </row>
    <row r="37" spans="1:9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Thousand Three Hundred Ninety and 8/100 -----------</v>
      </c>
      <c r="C37" s="185"/>
      <c r="D37" s="97"/>
      <c r="E37" s="97"/>
      <c r="F37" s="97"/>
      <c r="G37" s="97"/>
      <c r="H37" s="97"/>
      <c r="I37" s="91"/>
    </row>
    <row r="38" spans="1:9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9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9" x14ac:dyDescent="0.2">
      <c r="A40" s="91"/>
      <c r="B40" s="91"/>
      <c r="C40" s="91"/>
      <c r="D40" s="91"/>
      <c r="E40" s="91"/>
      <c r="F40" s="91"/>
      <c r="G40" s="91"/>
      <c r="H40" s="91"/>
    </row>
    <row r="41" spans="1:9" x14ac:dyDescent="0.2">
      <c r="A41" s="61"/>
      <c r="B41" s="91"/>
      <c r="C41" s="91"/>
      <c r="D41" s="91"/>
      <c r="E41" s="91"/>
    </row>
    <row r="42" spans="1:9" x14ac:dyDescent="0.2">
      <c r="A42" s="91"/>
      <c r="B42" s="91"/>
      <c r="C42" s="91"/>
      <c r="D42" s="490"/>
      <c r="E42" s="490"/>
      <c r="F42" s="91"/>
      <c r="G42" s="91"/>
      <c r="H42" s="91"/>
    </row>
    <row r="43" spans="1:9" x14ac:dyDescent="0.2">
      <c r="A43" s="101"/>
      <c r="B43" s="101"/>
      <c r="C43" s="91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0B38-2E04-40A4-89A8-818F4EB0A7C4}">
  <sheetPr codeName="Sheet658">
    <pageSetUpPr fitToPage="1"/>
  </sheetPr>
  <dimension ref="A1:H54"/>
  <sheetViews>
    <sheetView workbookViewId="0">
      <selection activeCell="G9" sqref="G9:G12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1.85546875" style="91" customWidth="1"/>
    <col min="4" max="4" width="22.42578125" style="91" customWidth="1"/>
    <col min="5" max="5" width="1.42578125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6523</v>
      </c>
      <c r="F9" s="92" t="s">
        <v>1434</v>
      </c>
      <c r="G9" s="91" t="s">
        <v>7589</v>
      </c>
    </row>
    <row r="10" spans="1:8" x14ac:dyDescent="0.2">
      <c r="A10" s="91" t="s">
        <v>6524</v>
      </c>
      <c r="F10" s="92" t="s">
        <v>1433</v>
      </c>
      <c r="G10" s="98" t="s">
        <v>7588</v>
      </c>
    </row>
    <row r="11" spans="1:8" x14ac:dyDescent="0.2">
      <c r="A11" s="91" t="s">
        <v>6525</v>
      </c>
      <c r="F11" s="92" t="s">
        <v>1431</v>
      </c>
      <c r="G11" s="92" t="s">
        <v>1220</v>
      </c>
    </row>
    <row r="12" spans="1:8" x14ac:dyDescent="0.2">
      <c r="A12" s="91" t="s">
        <v>6526</v>
      </c>
      <c r="F12" s="92" t="s">
        <v>1268</v>
      </c>
      <c r="G12" s="94" t="s">
        <v>770</v>
      </c>
    </row>
    <row r="16" spans="1:8" s="14" customFormat="1" ht="20.100000000000001" customHeight="1" x14ac:dyDescent="0.2">
      <c r="A16" s="17" t="s">
        <v>1429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9"/>
      <c r="C18" s="99"/>
      <c r="D18" s="2" t="s">
        <v>7590</v>
      </c>
      <c r="E18" s="2"/>
    </row>
    <row r="20" spans="1:8" x14ac:dyDescent="0.2">
      <c r="A20" s="93"/>
      <c r="B20" s="195"/>
      <c r="C20" s="195"/>
      <c r="D20" s="91" t="s">
        <v>7591</v>
      </c>
      <c r="H20" s="91">
        <f>5586.59*4.2067</f>
        <v>23501.108152999997</v>
      </c>
    </row>
    <row r="21" spans="1:8" x14ac:dyDescent="0.2">
      <c r="D21" s="91" t="s">
        <v>7592</v>
      </c>
    </row>
    <row r="22" spans="1:8" x14ac:dyDescent="0.2">
      <c r="A22" s="93"/>
      <c r="B22" s="195"/>
      <c r="C22" s="195"/>
    </row>
    <row r="23" spans="1:8" x14ac:dyDescent="0.2">
      <c r="A23" s="108"/>
      <c r="D23" s="91" t="s">
        <v>52</v>
      </c>
      <c r="H23" s="91">
        <v>30</v>
      </c>
    </row>
    <row r="24" spans="1:8" x14ac:dyDescent="0.2">
      <c r="A24" s="93"/>
      <c r="B24" s="99"/>
      <c r="C24" s="99"/>
    </row>
    <row r="27" spans="1:8" x14ac:dyDescent="0.2">
      <c r="A27" s="94"/>
    </row>
    <row r="29" spans="1:8" x14ac:dyDescent="0.2">
      <c r="A29" s="108"/>
      <c r="B29" s="99"/>
      <c r="C29" s="99"/>
    </row>
    <row r="34" spans="1:8" x14ac:dyDescent="0.2">
      <c r="H34" s="101"/>
    </row>
    <row r="35" spans="1:8" ht="13.5" thickBot="1" x14ac:dyDescent="0.25">
      <c r="H35" s="95">
        <f>SUM(H18:H33)</f>
        <v>23531.108152999997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Twenty-Three Thousand Five Hundred Thirty-One and 11/100 -----------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</row>
    <row r="39" spans="1:8" ht="25.5" x14ac:dyDescent="0.2">
      <c r="A39" s="61" t="s">
        <v>10</v>
      </c>
      <c r="F39" s="218" t="s">
        <v>3975</v>
      </c>
      <c r="G39" s="219"/>
      <c r="H39" s="220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F413-C2DB-4A55-B0F7-BE41BD80E604}">
  <sheetPr codeName="Sheet697"/>
  <dimension ref="A1:N56"/>
  <sheetViews>
    <sheetView view="pageBreakPreview" topLeftCell="A28" zoomScaleNormal="100" zoomScaleSheetLayoutView="100"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7" spans="1:14" x14ac:dyDescent="0.2">
      <c r="J7" s="1" t="s">
        <v>7015</v>
      </c>
      <c r="K7" s="1">
        <v>43405</v>
      </c>
      <c r="M7" s="1" t="s">
        <v>770</v>
      </c>
    </row>
    <row r="8" spans="1:14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4" x14ac:dyDescent="0.2">
      <c r="A9" s="91"/>
      <c r="B9" s="91"/>
      <c r="C9" s="91"/>
      <c r="D9" s="91"/>
      <c r="E9" s="91"/>
      <c r="F9" s="92" t="s">
        <v>1517</v>
      </c>
      <c r="G9" s="91" t="s">
        <v>7015</v>
      </c>
      <c r="H9" s="91"/>
    </row>
    <row r="10" spans="1:14" x14ac:dyDescent="0.2">
      <c r="A10" s="91" t="s">
        <v>7016</v>
      </c>
      <c r="B10" s="91"/>
      <c r="C10" s="91"/>
      <c r="D10" s="91"/>
      <c r="E10" s="91"/>
      <c r="F10" s="92" t="s">
        <v>1357</v>
      </c>
      <c r="G10" s="92" t="s">
        <v>6977</v>
      </c>
      <c r="H10" s="91"/>
      <c r="K10" s="1" t="s">
        <v>7017</v>
      </c>
      <c r="L10" s="1">
        <v>43161</v>
      </c>
      <c r="N10" s="1" t="s">
        <v>7018</v>
      </c>
    </row>
    <row r="11" spans="1:14" x14ac:dyDescent="0.2">
      <c r="A11" s="91" t="s">
        <v>7019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14" x14ac:dyDescent="0.2">
      <c r="A12" s="91" t="s">
        <v>7020</v>
      </c>
      <c r="B12" s="91"/>
      <c r="C12" s="91"/>
      <c r="D12" s="91"/>
      <c r="E12" s="91"/>
      <c r="F12" s="92" t="s">
        <v>1224</v>
      </c>
      <c r="G12" s="92" t="s">
        <v>770</v>
      </c>
      <c r="H12" s="91"/>
    </row>
    <row r="13" spans="1:14" x14ac:dyDescent="0.2">
      <c r="A13" s="91" t="s">
        <v>7021</v>
      </c>
      <c r="B13" s="91"/>
      <c r="C13" s="91"/>
      <c r="D13" s="91"/>
      <c r="E13" s="91"/>
      <c r="F13" s="91"/>
      <c r="G13" s="91"/>
      <c r="H13" s="91"/>
      <c r="K13" s="2" t="s">
        <v>7022</v>
      </c>
      <c r="L13" s="91"/>
      <c r="M13" s="91"/>
      <c r="N13" s="91"/>
    </row>
    <row r="14" spans="1:14" x14ac:dyDescent="0.2">
      <c r="A14" s="91"/>
      <c r="B14" s="91"/>
      <c r="C14" s="91"/>
      <c r="D14" s="91"/>
      <c r="E14" s="91"/>
      <c r="F14" s="91"/>
      <c r="G14" s="91"/>
      <c r="H14" s="91"/>
      <c r="K14" s="2"/>
      <c r="L14" s="91"/>
      <c r="M14" s="91"/>
      <c r="N14" s="91"/>
    </row>
    <row r="15" spans="1:14" x14ac:dyDescent="0.2">
      <c r="A15" s="91"/>
      <c r="B15" s="91"/>
      <c r="C15" s="91"/>
      <c r="D15" s="91"/>
      <c r="E15" s="91"/>
      <c r="F15" s="91"/>
      <c r="G15" s="91"/>
      <c r="H15" s="91"/>
      <c r="K15" s="91" t="s">
        <v>4732</v>
      </c>
      <c r="M15" s="91"/>
      <c r="N15" s="91">
        <f>1530</f>
        <v>1530</v>
      </c>
    </row>
    <row r="16" spans="1:14" s="14" customFormat="1" ht="20.100000000000001" customHeight="1" x14ac:dyDescent="0.2">
      <c r="A16" s="17" t="s">
        <v>129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91" t="s">
        <v>127</v>
      </c>
      <c r="L16" s="91"/>
      <c r="M16" s="91"/>
      <c r="N16" s="91">
        <v>500</v>
      </c>
    </row>
    <row r="17" spans="1:14" x14ac:dyDescent="0.2">
      <c r="A17" s="91"/>
      <c r="B17" s="91"/>
      <c r="C17" s="91"/>
      <c r="D17" s="91"/>
      <c r="E17" s="91"/>
      <c r="F17" s="91"/>
      <c r="G17" s="91"/>
      <c r="H17" s="91"/>
      <c r="K17" s="91" t="s">
        <v>3864</v>
      </c>
      <c r="L17" s="91"/>
      <c r="M17" s="91"/>
      <c r="N17" s="91">
        <v>150</v>
      </c>
    </row>
    <row r="18" spans="1:14" x14ac:dyDescent="0.2">
      <c r="D18" s="2" t="s">
        <v>7023</v>
      </c>
      <c r="E18" s="2"/>
      <c r="F18" s="91"/>
      <c r="G18" s="91"/>
      <c r="H18" s="91"/>
      <c r="I18" s="193"/>
      <c r="K18" s="91" t="s">
        <v>6499</v>
      </c>
      <c r="L18" s="91"/>
      <c r="M18" s="91"/>
      <c r="N18" s="91">
        <v>100</v>
      </c>
    </row>
    <row r="19" spans="1:14" x14ac:dyDescent="0.2">
      <c r="A19" s="93"/>
      <c r="B19" s="195"/>
      <c r="C19" s="195"/>
      <c r="D19" s="2"/>
      <c r="E19" s="2"/>
      <c r="F19" s="91"/>
      <c r="G19" s="91"/>
      <c r="H19" s="91"/>
      <c r="I19" s="91"/>
      <c r="K19" s="91"/>
      <c r="L19" s="91"/>
      <c r="M19" s="91"/>
      <c r="N19" s="91"/>
    </row>
    <row r="20" spans="1:14" x14ac:dyDescent="0.2">
      <c r="A20" s="93" t="s">
        <v>6912</v>
      </c>
      <c r="B20" s="195" t="s">
        <v>7024</v>
      </c>
      <c r="C20" s="195"/>
      <c r="D20" s="91" t="s">
        <v>7025</v>
      </c>
      <c r="E20" s="91"/>
      <c r="F20" s="91"/>
      <c r="G20" s="91"/>
      <c r="H20" s="91">
        <f>30000*3.0613</f>
        <v>91839</v>
      </c>
      <c r="I20" s="91"/>
    </row>
    <row r="21" spans="1:14" x14ac:dyDescent="0.2">
      <c r="A21" s="91"/>
      <c r="D21" s="91" t="s">
        <v>7026</v>
      </c>
      <c r="E21" s="91"/>
      <c r="G21" s="91"/>
      <c r="H21" s="91"/>
      <c r="I21" s="91"/>
    </row>
    <row r="22" spans="1:14" x14ac:dyDescent="0.2">
      <c r="A22" s="94"/>
      <c r="B22" s="240"/>
      <c r="C22" s="240"/>
      <c r="D22" s="91" t="s">
        <v>7027</v>
      </c>
      <c r="E22" s="91"/>
      <c r="F22" s="91"/>
      <c r="G22" s="91"/>
      <c r="H22" s="91"/>
      <c r="I22" s="91"/>
    </row>
    <row r="23" spans="1:14" x14ac:dyDescent="0.2">
      <c r="B23" s="195"/>
      <c r="C23" s="195"/>
      <c r="D23" s="91"/>
      <c r="E23" s="91"/>
      <c r="F23" s="91"/>
      <c r="G23" s="91"/>
      <c r="H23" s="91"/>
      <c r="I23" s="91"/>
    </row>
    <row r="24" spans="1:14" x14ac:dyDescent="0.2">
      <c r="A24" s="91"/>
      <c r="B24" s="91"/>
      <c r="C24" s="91"/>
      <c r="D24" s="91" t="s">
        <v>52</v>
      </c>
      <c r="E24" s="91"/>
      <c r="F24" s="91"/>
      <c r="G24" s="91"/>
      <c r="H24" s="91">
        <v>10</v>
      </c>
      <c r="I24" s="91"/>
    </row>
    <row r="25" spans="1:14" x14ac:dyDescent="0.2">
      <c r="A25" s="93"/>
      <c r="B25" s="195"/>
      <c r="C25" s="195"/>
      <c r="D25" s="91"/>
      <c r="E25" s="91"/>
      <c r="F25" s="91"/>
      <c r="G25" s="91"/>
      <c r="H25" s="91"/>
    </row>
    <row r="26" spans="1:14" x14ac:dyDescent="0.2">
      <c r="A26" s="91"/>
      <c r="B26" s="195"/>
      <c r="C26" s="195"/>
      <c r="D26" s="91"/>
      <c r="E26" s="91"/>
      <c r="F26" s="91"/>
      <c r="G26" s="91"/>
      <c r="H26" s="91"/>
    </row>
    <row r="27" spans="1:14" x14ac:dyDescent="0.2">
      <c r="A27" s="94"/>
      <c r="B27" s="191"/>
      <c r="C27" s="191"/>
      <c r="D27" s="2"/>
      <c r="E27" s="2"/>
      <c r="F27" s="91"/>
      <c r="G27" s="91"/>
      <c r="H27" s="91"/>
    </row>
    <row r="28" spans="1:14" x14ac:dyDescent="0.2">
      <c r="D28" s="91"/>
      <c r="E28" s="91"/>
      <c r="G28" s="91"/>
      <c r="H28" s="91"/>
    </row>
    <row r="29" spans="1:14" x14ac:dyDescent="0.2">
      <c r="A29" s="94"/>
      <c r="B29" s="240"/>
      <c r="C29" s="240"/>
      <c r="D29" s="91"/>
      <c r="E29" s="91"/>
      <c r="F29" s="91"/>
      <c r="G29" s="91"/>
      <c r="H29" s="91"/>
    </row>
    <row r="30" spans="1:14" x14ac:dyDescent="0.2">
      <c r="A30" s="94"/>
      <c r="B30" s="195"/>
      <c r="C30" s="195"/>
      <c r="D30" s="91"/>
      <c r="E30" s="91"/>
      <c r="F30" s="91"/>
      <c r="G30" s="91"/>
      <c r="H30" s="91"/>
    </row>
    <row r="31" spans="1:14" x14ac:dyDescent="0.2">
      <c r="A31" s="98"/>
      <c r="B31" s="91"/>
      <c r="C31" s="91"/>
      <c r="D31" s="91"/>
      <c r="E31" s="91"/>
      <c r="F31" s="91"/>
      <c r="G31" s="91"/>
      <c r="H31" s="91"/>
    </row>
    <row r="32" spans="1:14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8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SUM(H20:H34)</f>
        <v>91849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Ninety-One Thousand Eight Hundred Forty-Nine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8" ht="25.5" x14ac:dyDescent="0.2">
      <c r="A39" s="6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9"/>
      <c r="E42" s="99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550C-1112-4A54-8AF3-3DABA5E2F16D}">
  <sheetPr codeName="Sheet774">
    <pageSetUpPr fitToPage="1"/>
  </sheetPr>
  <dimension ref="A1:L56"/>
  <sheetViews>
    <sheetView workbookViewId="0">
      <selection activeCell="G9" sqref="G9:G12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1" width="9.140625" style="1"/>
    <col min="12" max="12" width="16.28515625" style="1" bestFit="1" customWidth="1"/>
    <col min="13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61" t="s">
        <v>8400</v>
      </c>
      <c r="H9" s="91"/>
    </row>
    <row r="10" spans="1:8" x14ac:dyDescent="0.2">
      <c r="A10" s="91" t="s">
        <v>8401</v>
      </c>
      <c r="B10" s="91"/>
      <c r="C10" s="91"/>
      <c r="D10" s="91"/>
      <c r="E10" s="91"/>
      <c r="F10" s="92" t="s">
        <v>1357</v>
      </c>
      <c r="G10" s="113" t="s">
        <v>8183</v>
      </c>
      <c r="H10" s="91"/>
    </row>
    <row r="11" spans="1:8" x14ac:dyDescent="0.2">
      <c r="A11" s="91" t="s">
        <v>8402</v>
      </c>
      <c r="B11" s="91"/>
      <c r="C11" s="91"/>
      <c r="D11" s="91"/>
      <c r="E11" s="91"/>
      <c r="F11" s="92" t="s">
        <v>1330</v>
      </c>
      <c r="G11" s="113" t="s">
        <v>1220</v>
      </c>
      <c r="H11" s="91"/>
    </row>
    <row r="12" spans="1:8" x14ac:dyDescent="0.2">
      <c r="A12" s="91" t="s">
        <v>8403</v>
      </c>
      <c r="B12" s="91"/>
      <c r="C12" s="91"/>
      <c r="D12" s="91"/>
      <c r="E12" s="91"/>
      <c r="F12" s="92" t="s">
        <v>1377</v>
      </c>
      <c r="G12" s="113" t="s">
        <v>770</v>
      </c>
      <c r="H12" s="91"/>
    </row>
    <row r="13" spans="1:8" x14ac:dyDescent="0.2">
      <c r="A13" s="91" t="s">
        <v>8404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489" t="s">
        <v>128</v>
      </c>
      <c r="C16" s="489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91"/>
      <c r="B17" s="91"/>
      <c r="C17" s="91"/>
      <c r="D17" s="91"/>
      <c r="E17" s="91"/>
      <c r="F17" s="91"/>
      <c r="G17" s="91"/>
      <c r="H17" s="91"/>
    </row>
    <row r="18" spans="1:12" x14ac:dyDescent="0.2">
      <c r="A18" s="93"/>
      <c r="B18" s="93"/>
      <c r="C18" s="93"/>
      <c r="D18" s="146" t="s">
        <v>8405</v>
      </c>
      <c r="E18" s="94"/>
      <c r="F18" s="91"/>
      <c r="G18" s="91"/>
      <c r="H18" s="91"/>
    </row>
    <row r="19" spans="1:12" x14ac:dyDescent="0.2">
      <c r="A19" s="93"/>
      <c r="B19" s="93"/>
      <c r="C19" s="93"/>
      <c r="D19" s="91"/>
      <c r="E19" s="91"/>
      <c r="F19" s="91"/>
      <c r="G19" s="91"/>
      <c r="H19" s="91"/>
      <c r="I19" s="91"/>
    </row>
    <row r="20" spans="1:12" x14ac:dyDescent="0.2">
      <c r="A20" s="93" t="s">
        <v>8195</v>
      </c>
      <c r="B20" s="94" t="s">
        <v>8406</v>
      </c>
      <c r="C20" s="94"/>
      <c r="D20" s="91" t="s">
        <v>8407</v>
      </c>
      <c r="E20" s="91"/>
      <c r="H20" s="110">
        <f>6420*3.0909</f>
        <v>19843.578000000001</v>
      </c>
      <c r="I20" s="91"/>
      <c r="L20" s="493"/>
    </row>
    <row r="21" spans="1:12" x14ac:dyDescent="0.2">
      <c r="A21" s="93"/>
      <c r="B21" s="93"/>
      <c r="C21" s="93"/>
      <c r="D21" s="94" t="s">
        <v>8408</v>
      </c>
      <c r="E21" s="94"/>
      <c r="F21" s="91"/>
      <c r="G21" s="91"/>
      <c r="H21" s="91"/>
      <c r="I21" s="91"/>
    </row>
    <row r="22" spans="1:12" x14ac:dyDescent="0.2">
      <c r="A22" s="93"/>
      <c r="B22" s="93"/>
      <c r="C22" s="93"/>
      <c r="D22" s="94"/>
      <c r="E22" s="94"/>
      <c r="F22" s="91"/>
      <c r="G22" s="91"/>
      <c r="H22" s="91"/>
      <c r="I22" s="91"/>
    </row>
    <row r="23" spans="1:12" x14ac:dyDescent="0.2">
      <c r="A23" s="93"/>
      <c r="B23" s="93"/>
      <c r="C23" s="93"/>
      <c r="D23" s="91" t="s">
        <v>8409</v>
      </c>
      <c r="E23" s="91"/>
      <c r="F23" s="91"/>
      <c r="G23" s="91"/>
      <c r="H23" s="91"/>
      <c r="I23" s="91"/>
    </row>
    <row r="24" spans="1:12" x14ac:dyDescent="0.2">
      <c r="A24" s="93"/>
      <c r="B24" s="93"/>
      <c r="C24" s="93"/>
      <c r="D24" s="94"/>
      <c r="E24" s="94"/>
      <c r="F24" s="91"/>
      <c r="G24" s="91"/>
      <c r="H24" s="91"/>
      <c r="I24" s="91"/>
    </row>
    <row r="25" spans="1:12" x14ac:dyDescent="0.2">
      <c r="A25" s="93"/>
      <c r="B25" s="93"/>
      <c r="C25" s="93"/>
      <c r="D25" s="91" t="s">
        <v>52</v>
      </c>
      <c r="E25" s="91"/>
      <c r="F25" s="91"/>
      <c r="G25" s="91"/>
      <c r="H25" s="91">
        <v>10</v>
      </c>
      <c r="I25" s="91"/>
    </row>
    <row r="26" spans="1:12" x14ac:dyDescent="0.2">
      <c r="A26" s="93"/>
      <c r="B26" s="94"/>
      <c r="C26" s="94"/>
      <c r="D26" s="91"/>
      <c r="E26" s="91"/>
      <c r="H26" s="91"/>
      <c r="I26" s="91"/>
    </row>
    <row r="27" spans="1:12" x14ac:dyDescent="0.2">
      <c r="A27" s="93"/>
      <c r="B27" s="93"/>
      <c r="C27" s="93"/>
      <c r="I27" s="91"/>
    </row>
    <row r="28" spans="1:12" x14ac:dyDescent="0.2">
      <c r="A28" s="93"/>
      <c r="B28" s="93"/>
      <c r="C28" s="93"/>
      <c r="D28" s="94"/>
      <c r="E28" s="94"/>
      <c r="F28" s="91"/>
      <c r="G28" s="91"/>
      <c r="H28" s="91"/>
      <c r="I28" s="91"/>
    </row>
    <row r="29" spans="1:12" x14ac:dyDescent="0.2">
      <c r="A29" s="93"/>
      <c r="B29" s="94"/>
      <c r="C29" s="94"/>
      <c r="D29" s="91"/>
      <c r="E29" s="91"/>
      <c r="F29" s="91"/>
      <c r="G29" s="91"/>
      <c r="H29" s="91"/>
      <c r="I29" s="91"/>
    </row>
    <row r="30" spans="1:12" x14ac:dyDescent="0.2">
      <c r="A30" s="93"/>
      <c r="B30" s="94"/>
      <c r="C30" s="94"/>
      <c r="D30" s="91"/>
      <c r="E30" s="91"/>
      <c r="F30" s="91"/>
      <c r="G30" s="91"/>
      <c r="H30" s="91"/>
      <c r="I30" s="91"/>
    </row>
    <row r="31" spans="1:12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2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x14ac:dyDescent="0.2">
      <c r="A34" s="91"/>
      <c r="B34" s="91"/>
      <c r="C34" s="91"/>
      <c r="D34" s="91"/>
      <c r="E34" s="91"/>
      <c r="F34" s="91"/>
      <c r="G34" s="91"/>
      <c r="I34" s="91"/>
    </row>
    <row r="35" spans="1:9" ht="13.5" thickBot="1" x14ac:dyDescent="0.25">
      <c r="A35" s="91"/>
      <c r="B35" s="91"/>
      <c r="C35" s="91"/>
      <c r="D35" s="91"/>
      <c r="E35" s="91"/>
      <c r="F35" s="91"/>
      <c r="G35" s="91"/>
      <c r="H35" s="107">
        <f>SUM(H18:H34)</f>
        <v>19853.578000000001</v>
      </c>
      <c r="I35" s="91"/>
    </row>
    <row r="36" spans="1:9" ht="13.5" thickTop="1" x14ac:dyDescent="0.2">
      <c r="A36" s="91"/>
      <c r="B36" s="91"/>
      <c r="C36" s="91"/>
      <c r="D36" s="91"/>
      <c r="E36" s="91"/>
      <c r="F36" s="91"/>
      <c r="G36" s="91"/>
      <c r="H36" s="91"/>
      <c r="I36" s="91"/>
    </row>
    <row r="37" spans="1:9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Nineteen Thousand Eight Hundred Fifty-Three and 58/100 -----------</v>
      </c>
      <c r="C37" s="185"/>
      <c r="D37" s="97"/>
      <c r="E37" s="97"/>
      <c r="F37" s="97"/>
      <c r="G37" s="97"/>
      <c r="H37" s="97"/>
      <c r="I37" s="91"/>
    </row>
    <row r="38" spans="1:9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9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9" x14ac:dyDescent="0.2">
      <c r="A40" s="91"/>
      <c r="B40" s="91"/>
      <c r="C40" s="91"/>
      <c r="D40" s="91"/>
      <c r="E40" s="91"/>
      <c r="F40" s="91"/>
      <c r="G40" s="91"/>
      <c r="H40" s="91"/>
    </row>
    <row r="41" spans="1:9" x14ac:dyDescent="0.2">
      <c r="A41" s="61"/>
      <c r="B41" s="91"/>
      <c r="C41" s="91"/>
      <c r="D41" s="91"/>
      <c r="E41" s="91"/>
    </row>
    <row r="42" spans="1:9" x14ac:dyDescent="0.2">
      <c r="A42" s="91"/>
      <c r="B42" s="91"/>
      <c r="C42" s="91"/>
      <c r="D42" s="490"/>
      <c r="E42" s="490"/>
      <c r="F42" s="91"/>
      <c r="G42" s="91"/>
      <c r="H42" s="91"/>
    </row>
    <row r="43" spans="1:9" x14ac:dyDescent="0.2">
      <c r="A43" s="101"/>
      <c r="B43" s="101"/>
      <c r="C43" s="91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DC0D-267E-49CE-AAD8-2317B999A5C2}">
  <sheetPr codeName="Sheet764">
    <pageSetUpPr fitToPage="1"/>
  </sheetPr>
  <dimension ref="A1:S57"/>
  <sheetViews>
    <sheetView topLeftCell="A4" zoomScaleNormal="100" workbookViewId="0">
      <selection activeCell="G9" sqref="G9:G12"/>
    </sheetView>
  </sheetViews>
  <sheetFormatPr defaultRowHeight="12.75" x14ac:dyDescent="0.2"/>
  <cols>
    <col min="1" max="1" width="17" style="1" customWidth="1"/>
    <col min="2" max="2" width="13.42578125" style="1" customWidth="1"/>
    <col min="3" max="3" width="0.7109375" style="1" customWidth="1"/>
    <col min="4" max="4" width="21" style="1" customWidth="1"/>
    <col min="5" max="5" width="0.5703125" style="1" customWidth="1"/>
    <col min="6" max="6" width="16.42578125" style="1" customWidth="1"/>
    <col min="7" max="7" width="10.140625" style="1" customWidth="1"/>
    <col min="8" max="8" width="13.28515625" style="1" customWidth="1"/>
    <col min="9" max="17" width="9.140625" style="1"/>
    <col min="18" max="18" width="11.85546875" style="1" bestFit="1" customWidth="1"/>
    <col min="19" max="16384" width="9.140625" style="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1" t="s">
        <v>32</v>
      </c>
      <c r="F8" s="22" t="s">
        <v>31</v>
      </c>
    </row>
    <row r="9" spans="1:19" s="91" customFormat="1" x14ac:dyDescent="0.2">
      <c r="F9" s="92" t="s">
        <v>30</v>
      </c>
      <c r="G9" s="155" t="s">
        <v>8145</v>
      </c>
    </row>
    <row r="10" spans="1:19" s="91" customFormat="1" x14ac:dyDescent="0.2">
      <c r="A10" s="91" t="s">
        <v>8147</v>
      </c>
      <c r="F10" s="92" t="s">
        <v>27</v>
      </c>
      <c r="G10" s="155" t="s">
        <v>8146</v>
      </c>
    </row>
    <row r="11" spans="1:19" s="91" customFormat="1" x14ac:dyDescent="0.2">
      <c r="A11" s="91" t="s">
        <v>8148</v>
      </c>
      <c r="F11" s="92" t="s">
        <v>24</v>
      </c>
      <c r="G11" s="155" t="s">
        <v>1220</v>
      </c>
    </row>
    <row r="12" spans="1:19" s="91" customFormat="1" x14ac:dyDescent="0.2">
      <c r="F12" s="92" t="s">
        <v>22</v>
      </c>
      <c r="G12" s="91" t="s">
        <v>770</v>
      </c>
    </row>
    <row r="13" spans="1:19" s="91" customFormat="1" x14ac:dyDescent="0.2"/>
    <row r="14" spans="1:19" s="91" customFormat="1" x14ac:dyDescent="0.2">
      <c r="N14" s="2"/>
      <c r="O14" s="2"/>
    </row>
    <row r="15" spans="1:19" s="91" customFormat="1" x14ac:dyDescent="0.2">
      <c r="K15" s="93" t="s">
        <v>5570</v>
      </c>
      <c r="L15" s="93" t="s">
        <v>5571</v>
      </c>
      <c r="M15" s="93"/>
      <c r="N15" s="91" t="s">
        <v>5572</v>
      </c>
      <c r="R15" s="91">
        <v>231274.53</v>
      </c>
    </row>
    <row r="16" spans="1:19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K16" s="93"/>
      <c r="L16" s="93"/>
      <c r="M16" s="93"/>
      <c r="N16" s="91" t="s">
        <v>5573</v>
      </c>
      <c r="O16" s="91"/>
      <c r="P16" s="91"/>
      <c r="Q16" s="91"/>
      <c r="R16" s="91">
        <v>127237.49</v>
      </c>
      <c r="S16" s="91"/>
    </row>
    <row r="17" spans="1:18" s="91" customFormat="1" x14ac:dyDescent="0.2">
      <c r="K17" s="479"/>
      <c r="L17" s="94"/>
      <c r="M17" s="94"/>
      <c r="N17" s="91" t="s">
        <v>2147</v>
      </c>
      <c r="R17" s="91">
        <v>21510.73</v>
      </c>
    </row>
    <row r="18" spans="1:18" s="91" customFormat="1" x14ac:dyDescent="0.2">
      <c r="C18" s="479"/>
      <c r="D18" s="2" t="s">
        <v>8149</v>
      </c>
      <c r="E18" s="2"/>
    </row>
    <row r="19" spans="1:18" s="91" customFormat="1" x14ac:dyDescent="0.2">
      <c r="D19" s="2" t="s">
        <v>8150</v>
      </c>
      <c r="E19" s="2"/>
      <c r="K19" s="93" t="s">
        <v>5570</v>
      </c>
      <c r="L19" s="93" t="s">
        <v>5574</v>
      </c>
      <c r="M19" s="93"/>
      <c r="N19" s="91" t="s">
        <v>5575</v>
      </c>
      <c r="R19" s="91">
        <v>53312.26</v>
      </c>
    </row>
    <row r="20" spans="1:18" s="91" customFormat="1" x14ac:dyDescent="0.2">
      <c r="A20" s="93"/>
      <c r="B20" s="93"/>
      <c r="C20" s="93"/>
      <c r="L20" s="479"/>
      <c r="M20" s="479"/>
      <c r="N20" s="91" t="s">
        <v>2147</v>
      </c>
      <c r="R20" s="110">
        <f>R19*6%</f>
        <v>3198.7356</v>
      </c>
    </row>
    <row r="21" spans="1:18" s="91" customFormat="1" x14ac:dyDescent="0.2">
      <c r="A21" s="94" t="s">
        <v>8151</v>
      </c>
      <c r="D21" s="91" t="s">
        <v>8152</v>
      </c>
      <c r="H21" s="91">
        <f>4.2435*4207.74</f>
        <v>17855.544689999999</v>
      </c>
    </row>
    <row r="22" spans="1:18" s="91" customFormat="1" x14ac:dyDescent="0.2">
      <c r="K22" s="93"/>
      <c r="L22" s="93"/>
      <c r="M22" s="93"/>
      <c r="N22" s="143" t="s">
        <v>5576</v>
      </c>
      <c r="O22" s="143"/>
    </row>
    <row r="23" spans="1:18" s="91" customFormat="1" x14ac:dyDescent="0.2">
      <c r="D23" s="91" t="s">
        <v>8153</v>
      </c>
      <c r="K23" s="479"/>
    </row>
    <row r="24" spans="1:18" s="91" customFormat="1" x14ac:dyDescent="0.2">
      <c r="D24" s="2"/>
      <c r="K24" s="479"/>
    </row>
    <row r="25" spans="1:18" s="91" customFormat="1" x14ac:dyDescent="0.2">
      <c r="A25" s="93"/>
      <c r="B25" s="93"/>
      <c r="D25" s="91" t="s">
        <v>52</v>
      </c>
      <c r="H25" s="91">
        <v>30</v>
      </c>
    </row>
    <row r="26" spans="1:18" s="91" customFormat="1" x14ac:dyDescent="0.2">
      <c r="A26" s="93"/>
      <c r="B26" s="93"/>
      <c r="C26" s="93"/>
    </row>
    <row r="27" spans="1:18" s="91" customFormat="1" x14ac:dyDescent="0.2">
      <c r="A27" s="479"/>
    </row>
    <row r="28" spans="1:18" s="91" customFormat="1" x14ac:dyDescent="0.2">
      <c r="D28" s="2"/>
    </row>
    <row r="29" spans="1:18" s="91" customFormat="1" x14ac:dyDescent="0.2">
      <c r="A29" s="479"/>
    </row>
    <row r="30" spans="1:18" s="91" customFormat="1" x14ac:dyDescent="0.2">
      <c r="A30" s="93"/>
      <c r="B30" s="93"/>
      <c r="E30" s="2"/>
    </row>
    <row r="31" spans="1:18" s="91" customFormat="1" x14ac:dyDescent="0.2">
      <c r="A31" s="479"/>
    </row>
    <row r="32" spans="1:18" s="91" customFormat="1" x14ac:dyDescent="0.2">
      <c r="A32" s="93"/>
      <c r="B32" s="479"/>
      <c r="C32" s="479"/>
    </row>
    <row r="33" spans="1:8" s="91" customFormat="1" x14ac:dyDescent="0.2">
      <c r="A33" s="479"/>
    </row>
    <row r="34" spans="1:8" s="91" customFormat="1" x14ac:dyDescent="0.2">
      <c r="H34" s="101"/>
    </row>
    <row r="35" spans="1:8" s="91" customFormat="1" ht="13.5" thickBot="1" x14ac:dyDescent="0.25">
      <c r="H35" s="270">
        <f>SUM(H19:H34)</f>
        <v>17885.544689999999</v>
      </c>
    </row>
    <row r="36" spans="1:8" s="91" customFormat="1" ht="13.5" thickTop="1" x14ac:dyDescent="0.2">
      <c r="H36" s="269"/>
    </row>
    <row r="37" spans="1:8" s="91" customFormat="1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"&amp;INDEX(teb,TRUNC(MOD(H35,100000)/10000,0)+1)&amp;IF(MOD(MOD(H35,100000),10000)&gt;=1000,"-"&amp;INDEX(numbers,TRUNC(MOD(MOD(H35,100000),10000)/1000,0)+1),""),IF(MOD(H35,100000)&gt;=1000,"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"&amp;INDEX(teb,TRUNC(MOD(H35,100)/10,0)+1)&amp;IF(MOD(MOD(H35,100),10)&gt;=1,"-"&amp;INDEX(numbers,TRUNC(MOD(MOD(H35,100),10),0)+1),""),IF(MOD(H35,100)&gt;=1,"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Seventeen Thousand Eight Hundred Eighty-Five and 54/100 -----------</v>
      </c>
      <c r="C37" s="185"/>
      <c r="D37" s="97"/>
      <c r="E37" s="97"/>
      <c r="F37" s="97"/>
      <c r="G37" s="97"/>
      <c r="H37" s="20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D39" s="98"/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E42" s="479"/>
      <c r="F42" s="228"/>
      <c r="G42" s="229"/>
      <c r="H42" s="229"/>
    </row>
    <row r="43" spans="1:8" s="91" customFormat="1" x14ac:dyDescent="0.2">
      <c r="A43" s="101"/>
      <c r="B43" s="101"/>
    </row>
    <row r="44" spans="1:8" s="91" customFormat="1" x14ac:dyDescent="0.2">
      <c r="D44" s="103"/>
    </row>
    <row r="45" spans="1:8" s="91" customFormat="1" x14ac:dyDescent="0.2">
      <c r="D45" s="103"/>
    </row>
    <row r="46" spans="1:8" s="91" customFormat="1" x14ac:dyDescent="0.2">
      <c r="A46" s="98" t="s">
        <v>8</v>
      </c>
      <c r="D46" s="98" t="s">
        <v>8</v>
      </c>
      <c r="F46" s="98" t="s">
        <v>7</v>
      </c>
      <c r="H46" s="102"/>
    </row>
    <row r="47" spans="1:8" s="91" customFormat="1" x14ac:dyDescent="0.2"/>
    <row r="48" spans="1:8" s="91" customFormat="1" x14ac:dyDescent="0.2"/>
    <row r="49" spans="1:8" s="91" customFormat="1" x14ac:dyDescent="0.2"/>
    <row r="50" spans="1:8" s="91" customFormat="1" x14ac:dyDescent="0.2">
      <c r="A50" s="101"/>
      <c r="B50" s="101"/>
      <c r="D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s="91" customFormat="1" x14ac:dyDescent="0.2">
      <c r="F52" s="91" t="s">
        <v>2</v>
      </c>
    </row>
    <row r="53" spans="1:8" s="91" customFormat="1" x14ac:dyDescent="0.2"/>
    <row r="54" spans="1:8" s="91" customFormat="1" x14ac:dyDescent="0.2">
      <c r="F54" s="2" t="s">
        <v>1</v>
      </c>
    </row>
    <row r="55" spans="1:8" s="91" customFormat="1" x14ac:dyDescent="0.2">
      <c r="F55" s="2" t="s">
        <v>0</v>
      </c>
    </row>
    <row r="56" spans="1:8" s="91" customFormat="1" x14ac:dyDescent="0.2"/>
    <row r="57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2BCC-C29F-4053-805F-BA064AAA2637}">
  <sheetPr codeName="Sheet758">
    <pageSetUpPr fitToPage="1"/>
  </sheetPr>
  <dimension ref="A1:P65"/>
  <sheetViews>
    <sheetView workbookViewId="0">
      <selection activeCell="G9" sqref="G9:G13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/>
      <c r="B9" s="91"/>
      <c r="C9" s="91"/>
      <c r="D9" s="91"/>
      <c r="E9" s="91"/>
      <c r="F9" s="92" t="s">
        <v>30</v>
      </c>
      <c r="G9" s="91" t="s">
        <v>8065</v>
      </c>
      <c r="H9" s="91"/>
    </row>
    <row r="10" spans="1:10" x14ac:dyDescent="0.2">
      <c r="A10" s="91" t="s">
        <v>8068</v>
      </c>
      <c r="B10" s="91"/>
      <c r="C10" s="91"/>
      <c r="D10" s="91"/>
      <c r="E10" s="91"/>
      <c r="F10" s="92" t="s">
        <v>27</v>
      </c>
      <c r="G10" s="92" t="s">
        <v>8067</v>
      </c>
      <c r="H10" s="91"/>
      <c r="J10" s="20"/>
    </row>
    <row r="11" spans="1:10" x14ac:dyDescent="0.2">
      <c r="A11" s="91" t="s">
        <v>8069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81"/>
    </row>
    <row r="12" spans="1:10" x14ac:dyDescent="0.2">
      <c r="A12" s="91" t="s">
        <v>8070</v>
      </c>
      <c r="B12" s="91"/>
      <c r="C12" s="91"/>
      <c r="D12" s="91"/>
      <c r="E12" s="91"/>
      <c r="F12" s="92" t="s">
        <v>22</v>
      </c>
      <c r="G12" s="92" t="s">
        <v>8066</v>
      </c>
      <c r="H12" s="91"/>
    </row>
    <row r="13" spans="1:10" x14ac:dyDescent="0.2">
      <c r="A13" s="91" t="s">
        <v>8071</v>
      </c>
      <c r="B13" s="91"/>
      <c r="C13" s="91"/>
      <c r="D13" s="91"/>
      <c r="E13" s="91"/>
      <c r="F13" s="91"/>
      <c r="G13" s="91" t="s">
        <v>7762</v>
      </c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472" t="s">
        <v>128</v>
      </c>
      <c r="C16" s="472"/>
      <c r="D16" s="18" t="s">
        <v>19</v>
      </c>
      <c r="E16" s="18"/>
      <c r="F16" s="17"/>
      <c r="G16" s="16"/>
      <c r="H16" s="15" t="s">
        <v>18</v>
      </c>
    </row>
    <row r="17" spans="1:16" x14ac:dyDescent="0.2">
      <c r="A17" s="91"/>
      <c r="B17" s="91"/>
      <c r="C17" s="91"/>
      <c r="D17" s="91"/>
      <c r="E17" s="91"/>
      <c r="F17" s="91"/>
      <c r="G17" s="91"/>
      <c r="H17" s="91"/>
    </row>
    <row r="18" spans="1:16" x14ac:dyDescent="0.2">
      <c r="A18" s="91"/>
      <c r="B18" s="91"/>
      <c r="C18" s="91"/>
      <c r="D18" s="2" t="s">
        <v>8072</v>
      </c>
      <c r="E18" s="2"/>
      <c r="F18" s="91"/>
      <c r="G18" s="91"/>
      <c r="H18" s="91"/>
      <c r="K18" s="247"/>
      <c r="L18" s="91"/>
      <c r="M18" s="91"/>
      <c r="N18" s="91"/>
      <c r="O18" s="91"/>
      <c r="P18" s="91"/>
    </row>
    <row r="19" spans="1:16" x14ac:dyDescent="0.2">
      <c r="A19" s="91"/>
      <c r="B19" s="91"/>
      <c r="C19" s="91"/>
      <c r="D19" s="2"/>
      <c r="E19" s="2"/>
      <c r="F19" s="91"/>
      <c r="G19" s="91"/>
      <c r="H19" s="91"/>
      <c r="L19" s="91"/>
      <c r="M19" s="91"/>
      <c r="N19" s="91"/>
      <c r="O19" s="91"/>
      <c r="P19" s="91"/>
    </row>
    <row r="20" spans="1:16" x14ac:dyDescent="0.2">
      <c r="A20" s="93" t="s">
        <v>7905</v>
      </c>
      <c r="B20" s="278" t="s">
        <v>8073</v>
      </c>
      <c r="C20" s="93"/>
      <c r="D20" s="91" t="s">
        <v>8074</v>
      </c>
      <c r="E20" s="91"/>
      <c r="F20" s="91"/>
      <c r="G20" s="91"/>
      <c r="H20" s="91">
        <v>2000</v>
      </c>
      <c r="L20" s="91"/>
      <c r="P20" s="91"/>
    </row>
    <row r="21" spans="1:16" x14ac:dyDescent="0.2">
      <c r="A21" s="91"/>
      <c r="B21" s="94"/>
      <c r="C21" s="94"/>
      <c r="D21" s="91" t="s">
        <v>8075</v>
      </c>
      <c r="E21" s="91"/>
      <c r="F21" s="91"/>
      <c r="G21" s="91"/>
      <c r="H21" s="91">
        <v>4500</v>
      </c>
      <c r="L21" s="91"/>
      <c r="N21" s="91"/>
      <c r="O21" s="91"/>
      <c r="P21" s="91"/>
    </row>
    <row r="22" spans="1:16" x14ac:dyDescent="0.2">
      <c r="A22" s="93"/>
      <c r="B22" s="278"/>
      <c r="C22" s="93"/>
      <c r="D22" s="91" t="s">
        <v>8076</v>
      </c>
      <c r="H22" s="91"/>
      <c r="L22" s="91"/>
      <c r="M22" s="91"/>
      <c r="N22" s="91"/>
      <c r="O22" s="91"/>
      <c r="P22" s="91"/>
    </row>
    <row r="23" spans="1:16" x14ac:dyDescent="0.2">
      <c r="A23" s="91"/>
      <c r="B23" s="94"/>
      <c r="C23" s="94"/>
      <c r="D23" s="91"/>
      <c r="F23" s="91"/>
      <c r="G23" s="91"/>
      <c r="H23" s="91"/>
      <c r="L23" s="91"/>
      <c r="M23" s="91"/>
      <c r="N23" s="91"/>
      <c r="O23" s="91"/>
      <c r="P23" s="91"/>
    </row>
    <row r="24" spans="1:16" x14ac:dyDescent="0.2">
      <c r="A24" s="93"/>
      <c r="B24" s="278"/>
      <c r="C24" s="93"/>
      <c r="D24" s="91"/>
      <c r="E24" s="91"/>
      <c r="F24" s="91"/>
      <c r="G24" s="91"/>
      <c r="H24" s="91"/>
      <c r="L24" s="91"/>
      <c r="M24" s="91"/>
      <c r="P24" s="91"/>
    </row>
    <row r="25" spans="1:16" x14ac:dyDescent="0.2">
      <c r="A25" s="93"/>
      <c r="B25" s="261"/>
      <c r="C25" s="91"/>
      <c r="D25" s="91"/>
      <c r="E25" s="91"/>
      <c r="F25" s="91"/>
      <c r="G25" s="91"/>
      <c r="H25" s="91"/>
    </row>
    <row r="26" spans="1:16" x14ac:dyDescent="0.2">
      <c r="A26" s="91"/>
      <c r="B26" s="94"/>
      <c r="C26" s="94"/>
      <c r="D26" s="91"/>
      <c r="E26" s="91"/>
      <c r="H26" s="91"/>
      <c r="L26" s="91"/>
      <c r="M26" s="91"/>
      <c r="N26" s="91"/>
      <c r="O26" s="91"/>
      <c r="P26" s="91"/>
    </row>
    <row r="27" spans="1:16" x14ac:dyDescent="0.2">
      <c r="A27" s="91"/>
      <c r="B27" s="91"/>
      <c r="C27" s="91"/>
      <c r="D27" s="91"/>
    </row>
    <row r="28" spans="1:16" x14ac:dyDescent="0.2">
      <c r="A28" s="91"/>
      <c r="B28" s="91"/>
      <c r="C28" s="91"/>
      <c r="D28" s="91"/>
      <c r="E28" s="91"/>
      <c r="F28" s="91"/>
      <c r="G28" s="91"/>
      <c r="H28" s="91"/>
    </row>
    <row r="29" spans="1:16" x14ac:dyDescent="0.2">
      <c r="A29" s="91"/>
      <c r="B29" s="91"/>
      <c r="C29" s="91"/>
      <c r="D29" s="91"/>
      <c r="F29" s="91"/>
      <c r="G29" s="91"/>
      <c r="H29" s="91"/>
    </row>
    <row r="30" spans="1:16" x14ac:dyDescent="0.2">
      <c r="A30" s="91"/>
      <c r="B30" s="94"/>
      <c r="C30" s="94"/>
      <c r="D30" s="91"/>
      <c r="E30" s="143"/>
      <c r="F30" s="91"/>
      <c r="G30" s="91"/>
      <c r="H30" s="91"/>
    </row>
    <row r="31" spans="1:16" x14ac:dyDescent="0.2">
      <c r="A31" s="91"/>
      <c r="B31" s="91"/>
      <c r="C31" s="91"/>
    </row>
    <row r="32" spans="1:16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6500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Thousand Five Hundred and NO/100 -----------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422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386"/>
      <c r="E40" s="91"/>
      <c r="F40" s="228"/>
      <c r="G40" s="229"/>
      <c r="H40" s="229"/>
    </row>
    <row r="41" spans="1:8" x14ac:dyDescent="0.2">
      <c r="B41" s="91"/>
      <c r="C41" s="91"/>
      <c r="D41" s="386"/>
      <c r="E41" s="91"/>
      <c r="F41" s="91"/>
      <c r="G41" s="91"/>
      <c r="H41" s="91"/>
    </row>
    <row r="42" spans="1:8" x14ac:dyDescent="0.2">
      <c r="A42" s="91"/>
      <c r="B42" s="91"/>
      <c r="C42" s="91"/>
      <c r="D42" s="386"/>
      <c r="E42" s="91"/>
      <c r="F42" s="91"/>
      <c r="G42" s="91"/>
      <c r="H42" s="91"/>
    </row>
    <row r="43" spans="1:8" x14ac:dyDescent="0.2">
      <c r="A43" s="101"/>
      <c r="B43" s="101"/>
      <c r="C43" s="91"/>
      <c r="D43" s="386"/>
      <c r="E43" s="91"/>
      <c r="F43" s="91"/>
      <c r="G43" s="91"/>
      <c r="H43" s="91"/>
    </row>
    <row r="44" spans="1:8" x14ac:dyDescent="0.2">
      <c r="A44" s="91"/>
      <c r="B44" s="91"/>
      <c r="C44" s="91"/>
      <c r="D44" s="475"/>
      <c r="E44" s="91"/>
      <c r="F44" s="91"/>
      <c r="G44" s="91"/>
      <c r="H44" s="91"/>
    </row>
    <row r="45" spans="1:8" x14ac:dyDescent="0.2">
      <c r="A45" s="91"/>
      <c r="B45" s="91"/>
      <c r="C45" s="91"/>
      <c r="D45" s="103"/>
      <c r="E45" s="91"/>
      <c r="F45" s="91"/>
      <c r="G45" s="91"/>
      <c r="H45" s="91"/>
    </row>
    <row r="46" spans="1:8" x14ac:dyDescent="0.2">
      <c r="A46" s="98" t="s">
        <v>8</v>
      </c>
      <c r="B46" s="91"/>
      <c r="C46" s="91"/>
      <c r="D46" s="98" t="s">
        <v>8</v>
      </c>
      <c r="E46" s="91"/>
      <c r="F46" s="98" t="s">
        <v>7</v>
      </c>
      <c r="G46" s="91"/>
      <c r="H46" s="102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101"/>
      <c r="B50" s="101"/>
      <c r="C50" s="91"/>
      <c r="D50" s="101"/>
      <c r="E50" s="91"/>
      <c r="F50" s="101"/>
      <c r="G50" s="101"/>
      <c r="H50" s="101"/>
    </row>
    <row r="51" spans="1:8" s="3" customFormat="1" ht="17.100000000000001" customHeight="1" x14ac:dyDescent="0.2">
      <c r="A51" s="103" t="s">
        <v>4066</v>
      </c>
      <c r="B51" s="104"/>
      <c r="C51" s="104"/>
      <c r="D51" s="103" t="s">
        <v>50</v>
      </c>
      <c r="E51" s="61"/>
      <c r="F51" s="61" t="s">
        <v>3</v>
      </c>
      <c r="G51" s="61"/>
      <c r="H51" s="61"/>
    </row>
    <row r="52" spans="1:8" x14ac:dyDescent="0.2">
      <c r="A52" s="91"/>
      <c r="B52" s="91"/>
      <c r="C52" s="91"/>
      <c r="D52" s="91"/>
      <c r="E52" s="91"/>
      <c r="F52" s="91" t="s">
        <v>2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0CDA-5619-4E88-94C1-A35698A6238A}">
  <sheetPr codeName="Sheet716">
    <pageSetUpPr fitToPage="1"/>
  </sheetPr>
  <dimension ref="A1:Q54"/>
  <sheetViews>
    <sheetView zoomScaleNormal="100" workbookViewId="0">
      <selection activeCell="G9" sqref="G9:G12"/>
    </sheetView>
  </sheetViews>
  <sheetFormatPr defaultRowHeight="12.75" x14ac:dyDescent="0.2"/>
  <cols>
    <col min="1" max="1" width="15.5703125" style="91" customWidth="1"/>
    <col min="2" max="2" width="11.85546875" style="91" customWidth="1"/>
    <col min="3" max="3" width="1" style="91" customWidth="1"/>
    <col min="4" max="4" width="21.5703125" style="91" customWidth="1"/>
    <col min="5" max="5" width="0.7109375" style="91" customWidth="1"/>
    <col min="6" max="6" width="16.42578125" style="91" customWidth="1"/>
    <col min="7" max="7" width="11.28515625" style="91" customWidth="1"/>
    <col min="8" max="8" width="13.28515625" style="91" customWidth="1"/>
    <col min="9" max="10" width="9.140625" style="91"/>
    <col min="11" max="11" width="12.7109375" style="91" customWidth="1"/>
    <col min="12" max="15" width="9.140625" style="91"/>
    <col min="16" max="17" width="12" style="91" customWidth="1"/>
    <col min="18" max="16384" width="9.140625" style="9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7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7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7" x14ac:dyDescent="0.2">
      <c r="A8" s="91" t="s">
        <v>32</v>
      </c>
      <c r="F8" s="22" t="s">
        <v>31</v>
      </c>
    </row>
    <row r="9" spans="1:17" x14ac:dyDescent="0.2">
      <c r="F9" s="92" t="s">
        <v>1393</v>
      </c>
      <c r="G9" s="155" t="s">
        <v>8477</v>
      </c>
      <c r="J9" s="108"/>
      <c r="K9" s="108"/>
    </row>
    <row r="10" spans="1:17" x14ac:dyDescent="0.2">
      <c r="A10" s="91" t="s">
        <v>7347</v>
      </c>
      <c r="F10" s="92" t="s">
        <v>1356</v>
      </c>
      <c r="G10" s="155" t="s">
        <v>8332</v>
      </c>
    </row>
    <row r="11" spans="1:17" x14ac:dyDescent="0.2">
      <c r="A11" s="91" t="s">
        <v>7348</v>
      </c>
      <c r="F11" s="92" t="s">
        <v>1364</v>
      </c>
      <c r="G11" s="155" t="s">
        <v>1220</v>
      </c>
    </row>
    <row r="12" spans="1:17" x14ac:dyDescent="0.2">
      <c r="A12" s="91" t="s">
        <v>7349</v>
      </c>
      <c r="F12" s="92" t="s">
        <v>1394</v>
      </c>
      <c r="G12" s="94" t="s">
        <v>770</v>
      </c>
    </row>
    <row r="13" spans="1:17" x14ac:dyDescent="0.2">
      <c r="A13" s="91" t="s">
        <v>7350</v>
      </c>
      <c r="F13" s="92"/>
      <c r="P13" s="497">
        <f>165000/25400</f>
        <v>6.4960629921259843</v>
      </c>
    </row>
    <row r="15" spans="1:17" x14ac:dyDescent="0.2">
      <c r="L15" s="91" t="s">
        <v>7351</v>
      </c>
      <c r="M15" s="191"/>
      <c r="P15" s="91">
        <f>(90000/6.49606299)*4.1213</f>
        <v>57098.738200505039</v>
      </c>
    </row>
    <row r="16" spans="1:17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5" t="s">
        <v>18</v>
      </c>
      <c r="H16" s="205"/>
      <c r="L16" s="91" t="s">
        <v>7352</v>
      </c>
      <c r="M16" s="91"/>
      <c r="N16" s="91"/>
      <c r="O16" s="91"/>
      <c r="P16" s="91"/>
      <c r="Q16" s="61"/>
    </row>
    <row r="18" spans="1:16" x14ac:dyDescent="0.2">
      <c r="B18" s="93"/>
      <c r="C18" s="93"/>
      <c r="D18" s="2" t="s">
        <v>7295</v>
      </c>
      <c r="E18" s="2"/>
      <c r="L18" s="91" t="s">
        <v>7353</v>
      </c>
      <c r="P18" s="91">
        <f>(30000/6.49606299)*4.1213</f>
        <v>19032.912733501678</v>
      </c>
    </row>
    <row r="19" spans="1:16" x14ac:dyDescent="0.2">
      <c r="A19" s="94"/>
    </row>
    <row r="20" spans="1:16" x14ac:dyDescent="0.2">
      <c r="A20" s="93" t="s">
        <v>8354</v>
      </c>
      <c r="B20" s="93" t="s">
        <v>8478</v>
      </c>
      <c r="C20" s="93"/>
      <c r="D20" s="91" t="s">
        <v>8479</v>
      </c>
      <c r="H20" s="91">
        <f>(90000/6.496063)*4.1377</f>
        <v>57325.952657786715</v>
      </c>
      <c r="L20" s="91" t="s">
        <v>7354</v>
      </c>
      <c r="M20" s="191"/>
      <c r="P20" s="91">
        <f>(45000/6.49606299)*4.1213</f>
        <v>28549.369100252519</v>
      </c>
    </row>
    <row r="21" spans="1:16" x14ac:dyDescent="0.2">
      <c r="A21" s="93"/>
      <c r="B21" s="99"/>
      <c r="D21" s="91" t="s">
        <v>7352</v>
      </c>
    </row>
    <row r="22" spans="1:16" x14ac:dyDescent="0.2">
      <c r="A22" s="93"/>
      <c r="B22" s="93"/>
      <c r="C22" s="93"/>
      <c r="E22" s="191"/>
      <c r="L22" s="91" t="s">
        <v>7355</v>
      </c>
    </row>
    <row r="23" spans="1:16" x14ac:dyDescent="0.2">
      <c r="A23" s="93"/>
      <c r="B23" s="99"/>
      <c r="D23" s="91" t="s">
        <v>7353</v>
      </c>
      <c r="H23" s="91">
        <f>(30000/6.496063)*4.1377</f>
        <v>19108.650885928906</v>
      </c>
    </row>
    <row r="24" spans="1:16" x14ac:dyDescent="0.2">
      <c r="A24" s="93"/>
      <c r="B24" s="99"/>
      <c r="L24" s="91" t="s">
        <v>52</v>
      </c>
      <c r="P24" s="91">
        <v>30</v>
      </c>
    </row>
    <row r="25" spans="1:16" x14ac:dyDescent="0.2">
      <c r="A25" s="93"/>
      <c r="B25" s="99"/>
      <c r="D25" s="91" t="s">
        <v>7354</v>
      </c>
      <c r="H25" s="91">
        <f>(45000/6.496063)*4.1377</f>
        <v>28662.976328893357</v>
      </c>
    </row>
    <row r="26" spans="1:16" x14ac:dyDescent="0.2">
      <c r="A26" s="93"/>
      <c r="B26" s="99"/>
    </row>
    <row r="27" spans="1:16" x14ac:dyDescent="0.2">
      <c r="A27" s="93"/>
      <c r="B27" s="99"/>
      <c r="D27" s="91" t="s">
        <v>8480</v>
      </c>
      <c r="E27" s="191"/>
    </row>
    <row r="28" spans="1:16" x14ac:dyDescent="0.2">
      <c r="A28" s="93"/>
      <c r="B28" s="93"/>
      <c r="C28" s="93"/>
    </row>
    <row r="29" spans="1:16" x14ac:dyDescent="0.2">
      <c r="D29" s="91" t="s">
        <v>52</v>
      </c>
      <c r="H29" s="91">
        <v>30</v>
      </c>
    </row>
    <row r="30" spans="1:16" x14ac:dyDescent="0.2">
      <c r="A30" s="93"/>
      <c r="B30" s="93"/>
      <c r="C30" s="93"/>
    </row>
    <row r="32" spans="1:16" x14ac:dyDescent="0.2">
      <c r="A32" s="93"/>
      <c r="B32" s="99"/>
      <c r="C32" s="99"/>
    </row>
    <row r="33" spans="1:8" x14ac:dyDescent="0.2">
      <c r="A33" s="93"/>
      <c r="B33" s="93"/>
      <c r="C33" s="93"/>
    </row>
    <row r="34" spans="1:8" ht="13.5" thickBot="1" x14ac:dyDescent="0.25">
      <c r="H34" s="107">
        <f>SUM(H18:H32)</f>
        <v>105127.57987260899</v>
      </c>
    </row>
    <row r="35" spans="1:8" ht="13.5" thickTop="1" x14ac:dyDescent="0.2"/>
    <row r="36" spans="1:8" ht="20.100000000000001" customHeight="1" x14ac:dyDescent="0.2">
      <c r="A36" s="96" t="s">
        <v>1465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Five Thousand One Hundred Twenty-Seven and 58/100 -----------</v>
      </c>
      <c r="C36" s="185"/>
      <c r="D36" s="97"/>
      <c r="E36" s="97"/>
      <c r="F36" s="97"/>
      <c r="G36" s="97"/>
      <c r="H36" s="206"/>
    </row>
    <row r="37" spans="1:8" x14ac:dyDescent="0.2">
      <c r="A37" s="94" t="s">
        <v>11</v>
      </c>
    </row>
    <row r="38" spans="1:8" ht="25.5" x14ac:dyDescent="0.2">
      <c r="A38" s="91" t="s">
        <v>10</v>
      </c>
      <c r="D38" s="98" t="s">
        <v>8</v>
      </c>
      <c r="F38" s="218" t="s">
        <v>3975</v>
      </c>
      <c r="G38" s="219"/>
      <c r="H38" s="220"/>
    </row>
    <row r="40" spans="1:8" x14ac:dyDescent="0.2">
      <c r="F40" s="227"/>
      <c r="G40" s="227"/>
      <c r="H40" s="227"/>
    </row>
    <row r="41" spans="1:8" x14ac:dyDescent="0.2">
      <c r="E41" s="99"/>
      <c r="F41" s="228"/>
      <c r="G41" s="229"/>
      <c r="H41" s="229"/>
    </row>
    <row r="42" spans="1:8" x14ac:dyDescent="0.2">
      <c r="A42" s="101"/>
      <c r="B42" s="101"/>
    </row>
    <row r="43" spans="1:8" x14ac:dyDescent="0.2">
      <c r="D43" s="209" t="s">
        <v>50</v>
      </c>
    </row>
    <row r="44" spans="1:8" x14ac:dyDescent="0.2">
      <c r="D44" s="386"/>
    </row>
    <row r="45" spans="1:8" x14ac:dyDescent="0.2">
      <c r="A45" s="98" t="s">
        <v>8</v>
      </c>
      <c r="D45" s="98" t="s">
        <v>8</v>
      </c>
      <c r="F45" s="98" t="s">
        <v>7</v>
      </c>
      <c r="G45" s="102"/>
    </row>
    <row r="49" spans="1:8" x14ac:dyDescent="0.2">
      <c r="B49" s="101"/>
      <c r="F49" s="101"/>
      <c r="G49" s="101"/>
      <c r="H49" s="101"/>
    </row>
    <row r="50" spans="1:8" s="61" customFormat="1" ht="17.100000000000001" customHeight="1" x14ac:dyDescent="0.2">
      <c r="A50" s="209" t="s">
        <v>4047</v>
      </c>
      <c r="B50" s="104"/>
      <c r="C50" s="104"/>
      <c r="D50" s="209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96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5810</v>
      </c>
      <c r="G9" s="61"/>
    </row>
    <row r="10" spans="1:7" x14ac:dyDescent="0.2">
      <c r="A10" s="91" t="s">
        <v>5004</v>
      </c>
      <c r="D10" s="92" t="s">
        <v>1335</v>
      </c>
      <c r="E10" s="92" t="s">
        <v>5812</v>
      </c>
      <c r="G10" s="113"/>
    </row>
    <row r="11" spans="1:7" x14ac:dyDescent="0.2">
      <c r="A11" s="91" t="s">
        <v>5005</v>
      </c>
      <c r="D11" s="92" t="s">
        <v>1333</v>
      </c>
      <c r="E11" s="92" t="s">
        <v>1220</v>
      </c>
      <c r="G11" s="113"/>
    </row>
    <row r="12" spans="1:7" x14ac:dyDescent="0.2">
      <c r="A12" s="91" t="s">
        <v>5006</v>
      </c>
      <c r="D12" s="92" t="s">
        <v>1331</v>
      </c>
      <c r="E12" s="94" t="s">
        <v>5811</v>
      </c>
      <c r="G12" s="113"/>
    </row>
    <row r="13" spans="1:7" x14ac:dyDescent="0.2">
      <c r="A13" s="91" t="s">
        <v>1862</v>
      </c>
    </row>
    <row r="14" spans="1:7" x14ac:dyDescent="0.2">
      <c r="A14" s="91" t="s">
        <v>5007</v>
      </c>
    </row>
    <row r="15" spans="1:7" x14ac:dyDescent="0.2">
      <c r="A15" s="91" t="s">
        <v>5008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5429</v>
      </c>
    </row>
    <row r="20" spans="1:6" x14ac:dyDescent="0.2">
      <c r="A20" s="93" t="s">
        <v>5813</v>
      </c>
      <c r="B20" s="111" t="s">
        <v>5814</v>
      </c>
      <c r="C20" s="91" t="s">
        <v>5430</v>
      </c>
      <c r="F20" s="91">
        <v>730</v>
      </c>
    </row>
    <row r="21" spans="1:6" x14ac:dyDescent="0.2">
      <c r="F21" s="110"/>
    </row>
    <row r="24" spans="1:6" x14ac:dyDescent="0.2">
      <c r="A24" s="80"/>
      <c r="B24" s="80"/>
    </row>
    <row r="25" spans="1:6" x14ac:dyDescent="0.2">
      <c r="F25" s="110"/>
    </row>
    <row r="29" spans="1:6" x14ac:dyDescent="0.2">
      <c r="A29" s="93"/>
      <c r="B29" s="111"/>
      <c r="C29" s="2"/>
    </row>
    <row r="31" spans="1:6" x14ac:dyDescent="0.2">
      <c r="F31" s="110"/>
    </row>
    <row r="34" spans="1:6" x14ac:dyDescent="0.2">
      <c r="A34" s="93"/>
      <c r="B34" s="111"/>
    </row>
    <row r="35" spans="1:6" ht="13.5" thickBot="1" x14ac:dyDescent="0.25">
      <c r="F35" s="95">
        <f>SUM(F18:F33)</f>
        <v>730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 Hundred Thirty and NO/100 -----------</v>
      </c>
      <c r="C37" s="97"/>
      <c r="D37" s="97"/>
      <c r="E37" s="97"/>
      <c r="F37" s="9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2" spans="1:6" x14ac:dyDescent="0.2">
      <c r="D42" s="227"/>
      <c r="E42" s="227"/>
      <c r="F42" s="227"/>
    </row>
    <row r="43" spans="1:6" x14ac:dyDescent="0.2">
      <c r="A43" s="101"/>
      <c r="B43" s="101"/>
      <c r="D43" s="228"/>
      <c r="E43" s="229"/>
      <c r="F43" s="229"/>
    </row>
    <row r="44" spans="1:6" x14ac:dyDescent="0.2">
      <c r="A44" s="1"/>
      <c r="D44" s="98" t="s">
        <v>7</v>
      </c>
      <c r="F44" s="102"/>
    </row>
    <row r="45" spans="1:6" x14ac:dyDescent="0.2">
      <c r="A45" s="98" t="s">
        <v>8</v>
      </c>
      <c r="D45" s="98"/>
      <c r="F45" s="102"/>
    </row>
    <row r="49" spans="1:6" x14ac:dyDescent="0.2">
      <c r="A49" s="101" t="s">
        <v>120</v>
      </c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80E9-E698-426E-A1EF-2EB74D428198}">
  <sheetPr codeName="Sheet698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2" width="15.1406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1317</v>
      </c>
      <c r="E9" s="91" t="s">
        <v>7045</v>
      </c>
    </row>
    <row r="10" spans="1:6" s="91" customFormat="1" x14ac:dyDescent="0.2">
      <c r="A10" s="91" t="s">
        <v>2671</v>
      </c>
      <c r="D10" s="92" t="s">
        <v>1357</v>
      </c>
      <c r="E10" s="92" t="s">
        <v>7007</v>
      </c>
    </row>
    <row r="11" spans="1:6" s="91" customFormat="1" x14ac:dyDescent="0.2">
      <c r="A11" s="91" t="s">
        <v>2670</v>
      </c>
      <c r="D11" s="92" t="s">
        <v>1330</v>
      </c>
      <c r="E11" s="92" t="s">
        <v>1220</v>
      </c>
    </row>
    <row r="12" spans="1:6" s="91" customFormat="1" x14ac:dyDescent="0.2">
      <c r="A12" s="91" t="s">
        <v>1659</v>
      </c>
      <c r="D12" s="92" t="s">
        <v>1224</v>
      </c>
      <c r="E12" s="92" t="s">
        <v>7046</v>
      </c>
    </row>
    <row r="13" spans="1:6" s="91" customFormat="1" x14ac:dyDescent="0.2">
      <c r="A13" s="91" t="s">
        <v>2672</v>
      </c>
    </row>
    <row r="14" spans="1:6" s="91" customFormat="1" x14ac:dyDescent="0.2">
      <c r="A14" s="91" t="s">
        <v>2673</v>
      </c>
    </row>
    <row r="15" spans="1:6" s="91" customFormat="1" x14ac:dyDescent="0.2"/>
    <row r="16" spans="1:6" s="91" customFormat="1" x14ac:dyDescent="0.2"/>
    <row r="17" spans="1:6" s="14" customFormat="1" ht="20.100000000000001" customHeight="1" x14ac:dyDescent="0.2">
      <c r="A17" s="17" t="s">
        <v>1261</v>
      </c>
      <c r="B17" s="31" t="s">
        <v>1262</v>
      </c>
      <c r="C17" s="18" t="s">
        <v>19</v>
      </c>
      <c r="D17" s="17"/>
      <c r="E17" s="16"/>
      <c r="F17" s="15" t="s">
        <v>18</v>
      </c>
    </row>
    <row r="18" spans="1:6" s="91" customFormat="1" x14ac:dyDescent="0.2"/>
    <row r="19" spans="1:6" s="91" customFormat="1" x14ac:dyDescent="0.2">
      <c r="C19" s="2" t="s">
        <v>7047</v>
      </c>
    </row>
    <row r="20" spans="1:6" s="91" customFormat="1" x14ac:dyDescent="0.2">
      <c r="C20" s="2"/>
    </row>
    <row r="21" spans="1:6" s="91" customFormat="1" x14ac:dyDescent="0.2">
      <c r="A21" s="93" t="s">
        <v>7048</v>
      </c>
      <c r="B21" s="93" t="s">
        <v>7049</v>
      </c>
      <c r="C21" s="91" t="s">
        <v>7050</v>
      </c>
      <c r="F21" s="91">
        <v>280</v>
      </c>
    </row>
    <row r="22" spans="1:6" s="91" customFormat="1" x14ac:dyDescent="0.2">
      <c r="C22" s="91" t="s">
        <v>7051</v>
      </c>
      <c r="F22" s="91">
        <v>190</v>
      </c>
    </row>
    <row r="23" spans="1:6" s="91" customFormat="1" x14ac:dyDescent="0.2">
      <c r="A23" s="93"/>
      <c r="B23" s="99"/>
    </row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>
      <c r="A26" s="93"/>
      <c r="B26" s="93"/>
    </row>
    <row r="27" spans="1:6" s="91" customFormat="1" x14ac:dyDescent="0.2"/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SUM(F19:F33)</f>
        <v>470</v>
      </c>
    </row>
    <row r="35" spans="1:6" s="91" customFormat="1" ht="13.5" thickTop="1" x14ac:dyDescent="0.2"/>
    <row r="36" spans="1:6" s="91" customFormat="1" ht="20.100000000000001" customHeight="1" x14ac:dyDescent="0.2">
      <c r="A36" s="96" t="s">
        <v>2674</v>
      </c>
      <c r="B36" s="96" t="s">
        <v>2675</v>
      </c>
      <c r="C36" s="97"/>
      <c r="D36" s="206"/>
      <c r="E36" s="206"/>
      <c r="F36" s="206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/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  <row r="56" spans="1:4" s="91" customFormat="1" x14ac:dyDescent="0.2"/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8CCB5-C83D-4420-9644-0143B9832E6B}">
  <sheetPr codeName="Sheet682"/>
  <dimension ref="A1:N55"/>
  <sheetViews>
    <sheetView view="pageBreakPreview" topLeftCell="A7" zoomScale="115" zoomScaleNormal="100" zoomScaleSheetLayoutView="11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85546875" style="91" customWidth="1"/>
    <col min="4" max="4" width="21" style="91" customWidth="1"/>
    <col min="5" max="5" width="1" style="91" customWidth="1"/>
    <col min="6" max="6" width="16.42578125" style="91" customWidth="1"/>
    <col min="7" max="7" width="9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  <c r="G8" s="251"/>
    </row>
    <row r="9" spans="1:9" x14ac:dyDescent="0.2">
      <c r="F9" s="92" t="s">
        <v>1334</v>
      </c>
      <c r="G9" s="91" t="s">
        <v>6890</v>
      </c>
      <c r="I9" s="61"/>
    </row>
    <row r="10" spans="1:9" x14ac:dyDescent="0.2">
      <c r="A10" s="91" t="s">
        <v>6892</v>
      </c>
      <c r="F10" s="92" t="s">
        <v>1335</v>
      </c>
      <c r="G10" s="98" t="s">
        <v>6888</v>
      </c>
      <c r="I10" s="113"/>
    </row>
    <row r="11" spans="1:9" x14ac:dyDescent="0.2">
      <c r="A11" s="91" t="s">
        <v>6893</v>
      </c>
      <c r="F11" s="92" t="s">
        <v>1333</v>
      </c>
      <c r="G11" s="92" t="s">
        <v>1220</v>
      </c>
      <c r="I11" s="113"/>
    </row>
    <row r="12" spans="1:9" x14ac:dyDescent="0.2">
      <c r="A12" s="91" t="s">
        <v>3309</v>
      </c>
      <c r="F12" s="92" t="s">
        <v>1331</v>
      </c>
      <c r="G12" s="92" t="s">
        <v>6891</v>
      </c>
      <c r="I12" s="113"/>
    </row>
    <row r="13" spans="1:9" x14ac:dyDescent="0.2">
      <c r="A13" s="91" t="s">
        <v>1314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4" x14ac:dyDescent="0.2">
      <c r="A18" s="93" t="s">
        <v>6887</v>
      </c>
      <c r="B18" s="111" t="s">
        <v>6897</v>
      </c>
      <c r="C18" s="111"/>
      <c r="D18" s="91" t="s">
        <v>6894</v>
      </c>
      <c r="E18" s="2"/>
      <c r="H18" s="91">
        <v>648</v>
      </c>
      <c r="K18" s="91"/>
      <c r="L18" s="91"/>
      <c r="M18" s="91"/>
      <c r="N18" s="91"/>
    </row>
    <row r="19" spans="1:14" x14ac:dyDescent="0.2">
      <c r="D19" s="91" t="s">
        <v>6895</v>
      </c>
      <c r="E19" s="2"/>
      <c r="K19" s="91"/>
      <c r="L19" s="91"/>
      <c r="M19" s="91"/>
      <c r="N19" s="110"/>
    </row>
    <row r="20" spans="1:14" x14ac:dyDescent="0.2">
      <c r="A20" s="93"/>
      <c r="B20" s="93"/>
      <c r="C20" s="93"/>
      <c r="D20" s="91" t="s">
        <v>6896</v>
      </c>
      <c r="H20" s="110">
        <v>480</v>
      </c>
      <c r="K20" s="91"/>
      <c r="L20" s="91"/>
      <c r="M20" s="91"/>
      <c r="N20" s="91"/>
    </row>
    <row r="21" spans="1:14" x14ac:dyDescent="0.2">
      <c r="A21" s="93"/>
      <c r="B21" s="93"/>
      <c r="C21" s="93"/>
      <c r="H21" s="110"/>
      <c r="K21" s="91"/>
      <c r="L21" s="91"/>
      <c r="M21" s="91"/>
      <c r="N21" s="91"/>
    </row>
    <row r="22" spans="1:14" x14ac:dyDescent="0.2">
      <c r="A22" s="93"/>
      <c r="B22" s="93"/>
      <c r="K22" s="91"/>
      <c r="L22" s="91"/>
      <c r="M22" s="91"/>
      <c r="N22" s="110"/>
    </row>
    <row r="23" spans="1:14" x14ac:dyDescent="0.2">
      <c r="A23" s="93"/>
      <c r="B23" s="93"/>
      <c r="C23" s="93"/>
      <c r="K23" s="91"/>
      <c r="L23" s="91"/>
      <c r="M23" s="91"/>
      <c r="N23" s="91"/>
    </row>
    <row r="24" spans="1:14" x14ac:dyDescent="0.2">
      <c r="A24" s="93"/>
      <c r="B24" s="111"/>
      <c r="C24" s="111"/>
      <c r="K24" s="91"/>
      <c r="L24" s="91"/>
      <c r="M24" s="91"/>
      <c r="N24" s="91"/>
    </row>
    <row r="27" spans="1:14" x14ac:dyDescent="0.2">
      <c r="A27" s="93"/>
      <c r="B27" s="111"/>
      <c r="C27" s="111"/>
    </row>
    <row r="30" spans="1:14" x14ac:dyDescent="0.2">
      <c r="A30" s="93"/>
      <c r="B30" s="93"/>
      <c r="C30" s="93"/>
    </row>
    <row r="36" spans="1:8" ht="13.5" thickBot="1" x14ac:dyDescent="0.25">
      <c r="H36" s="95">
        <f>SUM(H18:H35)</f>
        <v>1128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One Hundred Twenty-Eight and NO/100 -----------</v>
      </c>
      <c r="C38" s="185"/>
      <c r="D38" s="97"/>
      <c r="E38" s="97"/>
      <c r="F38" s="206"/>
      <c r="G38" s="206"/>
      <c r="H38" s="206"/>
    </row>
    <row r="39" spans="1:8" x14ac:dyDescent="0.2">
      <c r="A39" s="94" t="s">
        <v>11</v>
      </c>
    </row>
    <row r="40" spans="1:8" ht="25.5" x14ac:dyDescent="0.2">
      <c r="A40" s="91" t="s">
        <v>10</v>
      </c>
      <c r="F40" s="218" t="s">
        <v>3975</v>
      </c>
      <c r="G40" s="219"/>
      <c r="H40" s="220"/>
    </row>
    <row r="41" spans="1:8" x14ac:dyDescent="0.2">
      <c r="F41" s="227"/>
      <c r="G41" s="227"/>
      <c r="H41" s="227"/>
    </row>
    <row r="42" spans="1:8" x14ac:dyDescent="0.2">
      <c r="F42" s="228"/>
      <c r="G42" s="229"/>
      <c r="H42" s="229"/>
    </row>
    <row r="43" spans="1:8" x14ac:dyDescent="0.2">
      <c r="A43" s="1"/>
    </row>
    <row r="44" spans="1:8" x14ac:dyDescent="0.2">
      <c r="A44" s="101"/>
      <c r="B44" s="101"/>
    </row>
    <row r="46" spans="1:8" x14ac:dyDescent="0.2">
      <c r="A46" s="98" t="s">
        <v>8</v>
      </c>
      <c r="D46" s="98"/>
      <c r="F46" s="98" t="s">
        <v>7</v>
      </c>
      <c r="H46" s="102"/>
    </row>
    <row r="50" spans="1:8" x14ac:dyDescent="0.2">
      <c r="A50" s="101" t="s">
        <v>120</v>
      </c>
      <c r="B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/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57FB-0EB6-453D-8FFA-689B6C883147}">
  <sheetPr codeName="Sheet699"/>
  <dimension ref="A1:N56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7" spans="1:14" x14ac:dyDescent="0.2">
      <c r="J7" s="1" t="s">
        <v>7015</v>
      </c>
      <c r="K7" s="1">
        <v>43405</v>
      </c>
      <c r="M7" s="1" t="s">
        <v>770</v>
      </c>
    </row>
    <row r="8" spans="1:14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4" x14ac:dyDescent="0.2">
      <c r="A9" s="91"/>
      <c r="B9" s="91"/>
      <c r="C9" s="91"/>
      <c r="D9" s="91"/>
      <c r="E9" s="91"/>
      <c r="F9" s="92" t="s">
        <v>1517</v>
      </c>
      <c r="G9" s="91" t="s">
        <v>7015</v>
      </c>
      <c r="H9" s="91"/>
    </row>
    <row r="10" spans="1:14" x14ac:dyDescent="0.2">
      <c r="A10" s="91" t="s">
        <v>7016</v>
      </c>
      <c r="B10" s="91"/>
      <c r="C10" s="91"/>
      <c r="D10" s="91"/>
      <c r="E10" s="91"/>
      <c r="F10" s="92" t="s">
        <v>1357</v>
      </c>
      <c r="G10" s="92" t="s">
        <v>6977</v>
      </c>
      <c r="H10" s="91"/>
      <c r="K10" s="1" t="s">
        <v>7017</v>
      </c>
      <c r="L10" s="1">
        <v>43161</v>
      </c>
      <c r="N10" s="1" t="s">
        <v>7018</v>
      </c>
    </row>
    <row r="11" spans="1:14" x14ac:dyDescent="0.2">
      <c r="A11" s="91" t="s">
        <v>7019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14" x14ac:dyDescent="0.2">
      <c r="A12" s="91" t="s">
        <v>7020</v>
      </c>
      <c r="B12" s="91"/>
      <c r="C12" s="91"/>
      <c r="D12" s="91"/>
      <c r="E12" s="91"/>
      <c r="F12" s="92" t="s">
        <v>1224</v>
      </c>
      <c r="G12" s="92" t="s">
        <v>770</v>
      </c>
      <c r="H12" s="91"/>
    </row>
    <row r="13" spans="1:14" x14ac:dyDescent="0.2">
      <c r="A13" s="91" t="s">
        <v>7021</v>
      </c>
      <c r="B13" s="91"/>
      <c r="C13" s="91"/>
      <c r="D13" s="91"/>
      <c r="E13" s="91"/>
      <c r="F13" s="91"/>
      <c r="G13" s="91"/>
      <c r="H13" s="91"/>
      <c r="K13" s="2" t="s">
        <v>7022</v>
      </c>
      <c r="L13" s="91"/>
      <c r="M13" s="91"/>
      <c r="N13" s="91"/>
    </row>
    <row r="14" spans="1:14" x14ac:dyDescent="0.2">
      <c r="A14" s="91"/>
      <c r="B14" s="91"/>
      <c r="C14" s="91"/>
      <c r="D14" s="91"/>
      <c r="E14" s="91"/>
      <c r="F14" s="91"/>
      <c r="G14" s="91"/>
      <c r="H14" s="91"/>
      <c r="K14" s="2"/>
      <c r="L14" s="91"/>
      <c r="M14" s="91"/>
      <c r="N14" s="91"/>
    </row>
    <row r="15" spans="1:14" x14ac:dyDescent="0.2">
      <c r="A15" s="91"/>
      <c r="B15" s="91"/>
      <c r="C15" s="91"/>
      <c r="D15" s="91"/>
      <c r="E15" s="91"/>
      <c r="F15" s="91"/>
      <c r="G15" s="91"/>
      <c r="H15" s="91"/>
      <c r="K15" s="91" t="s">
        <v>4732</v>
      </c>
      <c r="M15" s="91"/>
      <c r="N15" s="91">
        <f>1530</f>
        <v>1530</v>
      </c>
    </row>
    <row r="16" spans="1:14" s="14" customFormat="1" ht="20.100000000000001" customHeight="1" x14ac:dyDescent="0.2">
      <c r="A16" s="17" t="s">
        <v>129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91" t="s">
        <v>127</v>
      </c>
      <c r="L16" s="91"/>
      <c r="M16" s="91"/>
      <c r="N16" s="91">
        <v>500</v>
      </c>
    </row>
    <row r="17" spans="1:14" x14ac:dyDescent="0.2">
      <c r="A17" s="91"/>
      <c r="B17" s="91"/>
      <c r="C17" s="91"/>
      <c r="D17" s="91"/>
      <c r="E17" s="91"/>
      <c r="F17" s="91"/>
      <c r="G17" s="91"/>
      <c r="H17" s="91"/>
      <c r="K17" s="91" t="s">
        <v>3864</v>
      </c>
      <c r="L17" s="91"/>
      <c r="M17" s="91"/>
      <c r="N17" s="91">
        <v>150</v>
      </c>
    </row>
    <row r="18" spans="1:14" x14ac:dyDescent="0.2">
      <c r="D18" s="2" t="s">
        <v>7023</v>
      </c>
      <c r="E18" s="2"/>
      <c r="F18" s="91"/>
      <c r="G18" s="91"/>
      <c r="H18" s="91"/>
      <c r="I18" s="193"/>
      <c r="K18" s="91" t="s">
        <v>6499</v>
      </c>
      <c r="L18" s="91"/>
      <c r="M18" s="91"/>
      <c r="N18" s="91">
        <v>100</v>
      </c>
    </row>
    <row r="19" spans="1:14" x14ac:dyDescent="0.2">
      <c r="A19" s="93"/>
      <c r="B19" s="195"/>
      <c r="C19" s="195"/>
      <c r="D19" s="2"/>
      <c r="E19" s="2"/>
      <c r="F19" s="91"/>
      <c r="G19" s="91"/>
      <c r="H19" s="91"/>
      <c r="I19" s="91"/>
      <c r="K19" s="91"/>
      <c r="L19" s="91"/>
      <c r="M19" s="91"/>
      <c r="N19" s="91"/>
    </row>
    <row r="20" spans="1:14" x14ac:dyDescent="0.2">
      <c r="A20" s="93" t="s">
        <v>6912</v>
      </c>
      <c r="B20" s="195" t="s">
        <v>7024</v>
      </c>
      <c r="C20" s="195"/>
      <c r="D20" s="91" t="s">
        <v>7025</v>
      </c>
      <c r="E20" s="91"/>
      <c r="F20" s="91"/>
      <c r="G20" s="91"/>
      <c r="H20" s="91">
        <f>30000*3.0613</f>
        <v>91839</v>
      </c>
      <c r="I20" s="91"/>
    </row>
    <row r="21" spans="1:14" x14ac:dyDescent="0.2">
      <c r="A21" s="91"/>
      <c r="D21" s="91" t="s">
        <v>7026</v>
      </c>
      <c r="E21" s="91"/>
      <c r="G21" s="91"/>
      <c r="H21" s="91"/>
      <c r="I21" s="91"/>
    </row>
    <row r="22" spans="1:14" x14ac:dyDescent="0.2">
      <c r="A22" s="94"/>
      <c r="B22" s="240"/>
      <c r="C22" s="240"/>
      <c r="D22" s="91" t="s">
        <v>7027</v>
      </c>
      <c r="E22" s="91"/>
      <c r="F22" s="91"/>
      <c r="G22" s="91"/>
      <c r="H22" s="91"/>
      <c r="I22" s="91"/>
    </row>
    <row r="23" spans="1:14" x14ac:dyDescent="0.2">
      <c r="B23" s="195"/>
      <c r="C23" s="195"/>
      <c r="D23" s="91"/>
      <c r="E23" s="91"/>
      <c r="F23" s="91"/>
      <c r="G23" s="91"/>
      <c r="H23" s="91"/>
      <c r="I23" s="91"/>
    </row>
    <row r="24" spans="1:14" x14ac:dyDescent="0.2">
      <c r="A24" s="91"/>
      <c r="B24" s="91"/>
      <c r="C24" s="91"/>
      <c r="D24" s="91" t="s">
        <v>52</v>
      </c>
      <c r="E24" s="91"/>
      <c r="F24" s="91"/>
      <c r="G24" s="91"/>
      <c r="H24" s="91">
        <v>10</v>
      </c>
      <c r="I24" s="91"/>
    </row>
    <row r="25" spans="1:14" x14ac:dyDescent="0.2">
      <c r="A25" s="93"/>
      <c r="B25" s="195"/>
      <c r="C25" s="195"/>
      <c r="D25" s="91"/>
      <c r="E25" s="91"/>
      <c r="F25" s="91"/>
      <c r="G25" s="91"/>
      <c r="H25" s="91"/>
    </row>
    <row r="26" spans="1:14" x14ac:dyDescent="0.2">
      <c r="A26" s="91"/>
      <c r="B26" s="195"/>
      <c r="C26" s="195"/>
      <c r="D26" s="91"/>
      <c r="E26" s="91"/>
      <c r="F26" s="91"/>
      <c r="G26" s="91"/>
      <c r="H26" s="91"/>
    </row>
    <row r="27" spans="1:14" x14ac:dyDescent="0.2">
      <c r="A27" s="94"/>
      <c r="B27" s="191"/>
      <c r="C27" s="191"/>
      <c r="D27" s="2"/>
      <c r="E27" s="2"/>
      <c r="F27" s="91"/>
      <c r="G27" s="91"/>
      <c r="H27" s="91"/>
    </row>
    <row r="28" spans="1:14" x14ac:dyDescent="0.2">
      <c r="D28" s="91"/>
      <c r="E28" s="91"/>
      <c r="G28" s="91"/>
      <c r="H28" s="91"/>
    </row>
    <row r="29" spans="1:14" x14ac:dyDescent="0.2">
      <c r="A29" s="94"/>
      <c r="B29" s="240"/>
      <c r="C29" s="240"/>
      <c r="D29" s="91"/>
      <c r="E29" s="91"/>
      <c r="F29" s="91"/>
      <c r="G29" s="91"/>
      <c r="H29" s="91"/>
    </row>
    <row r="30" spans="1:14" x14ac:dyDescent="0.2">
      <c r="A30" s="94"/>
      <c r="B30" s="195"/>
      <c r="C30" s="195"/>
      <c r="D30" s="91"/>
      <c r="E30" s="91"/>
      <c r="F30" s="91"/>
      <c r="G30" s="91"/>
      <c r="H30" s="91"/>
    </row>
    <row r="31" spans="1:14" x14ac:dyDescent="0.2">
      <c r="A31" s="98"/>
      <c r="B31" s="91"/>
      <c r="C31" s="91"/>
      <c r="D31" s="91"/>
      <c r="E31" s="91"/>
      <c r="F31" s="91"/>
      <c r="G31" s="91"/>
      <c r="H31" s="91"/>
    </row>
    <row r="32" spans="1:14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8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SUM(H20:H34)</f>
        <v>91849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Ninety-One Thousand Eight Hundred Forty-Nine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8" ht="25.5" x14ac:dyDescent="0.2">
      <c r="A39" s="6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9"/>
      <c r="E42" s="99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1-000000000000}">
  <sheetPr codeName="Sheet659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7" width="9.140625" style="1"/>
    <col min="8" max="9" width="9.42578125" style="1" bestFit="1" customWidth="1"/>
    <col min="10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6428</v>
      </c>
      <c r="D9" s="92" t="s">
        <v>1317</v>
      </c>
      <c r="E9" s="91" t="s">
        <v>6426</v>
      </c>
    </row>
    <row r="10" spans="1:14" x14ac:dyDescent="0.2">
      <c r="A10" s="91" t="s">
        <v>6429</v>
      </c>
      <c r="D10" s="92" t="s">
        <v>1329</v>
      </c>
      <c r="E10" s="92" t="s">
        <v>6417</v>
      </c>
    </row>
    <row r="11" spans="1:14" x14ac:dyDescent="0.2">
      <c r="A11" s="91" t="s">
        <v>3942</v>
      </c>
      <c r="D11" s="92" t="s">
        <v>1330</v>
      </c>
      <c r="E11" s="92" t="s">
        <v>1220</v>
      </c>
    </row>
    <row r="12" spans="1:14" x14ac:dyDescent="0.2">
      <c r="A12" s="91" t="s">
        <v>6430</v>
      </c>
      <c r="D12" s="92" t="s">
        <v>1331</v>
      </c>
      <c r="E12" s="92" t="s">
        <v>6427</v>
      </c>
    </row>
    <row r="13" spans="1:14" x14ac:dyDescent="0.2">
      <c r="A13" s="91" t="s">
        <v>6431</v>
      </c>
      <c r="H13" s="26"/>
      <c r="I13" s="26"/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/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4118</v>
      </c>
      <c r="K18" s="91"/>
      <c r="L18" s="91"/>
      <c r="M18" s="91"/>
      <c r="N18" s="91"/>
    </row>
    <row r="19" spans="1:14" x14ac:dyDescent="0.2">
      <c r="A19" s="93"/>
      <c r="B19" s="93"/>
      <c r="K19" s="91"/>
      <c r="L19" s="91"/>
      <c r="M19" s="91"/>
      <c r="N19" s="91"/>
    </row>
    <row r="20" spans="1:14" x14ac:dyDescent="0.2">
      <c r="A20" s="93" t="s">
        <v>6432</v>
      </c>
      <c r="B20" s="93" t="s">
        <v>6433</v>
      </c>
      <c r="C20" s="91" t="s">
        <v>6434</v>
      </c>
      <c r="F20" s="91">
        <v>3000</v>
      </c>
      <c r="K20" s="91"/>
      <c r="L20" s="91"/>
      <c r="M20" s="91"/>
      <c r="N20" s="91"/>
    </row>
    <row r="21" spans="1:14" x14ac:dyDescent="0.2">
      <c r="A21" s="93"/>
      <c r="B21" s="93"/>
      <c r="K21" s="91"/>
      <c r="L21" s="91"/>
      <c r="M21" s="91"/>
      <c r="N21" s="91"/>
    </row>
    <row r="22" spans="1:14" x14ac:dyDescent="0.2">
      <c r="A22" s="93"/>
      <c r="B22" s="93"/>
      <c r="C22" s="2"/>
      <c r="K22" s="91"/>
      <c r="L22" s="91"/>
      <c r="M22" s="91"/>
      <c r="N22" s="91"/>
    </row>
    <row r="23" spans="1:14" x14ac:dyDescent="0.2">
      <c r="A23" s="93"/>
      <c r="B23" s="93"/>
      <c r="K23" s="91"/>
      <c r="L23" s="91"/>
      <c r="M23" s="91"/>
      <c r="N23" s="91"/>
    </row>
    <row r="24" spans="1:14" x14ac:dyDescent="0.2">
      <c r="A24" s="93"/>
      <c r="B24" s="93"/>
      <c r="K24" s="91"/>
      <c r="L24" s="91"/>
      <c r="M24" s="91"/>
      <c r="N24" s="91"/>
    </row>
    <row r="25" spans="1:14" x14ac:dyDescent="0.2">
      <c r="A25" s="93"/>
      <c r="B25" s="93"/>
      <c r="D25" s="1"/>
      <c r="E25" s="1"/>
      <c r="K25" s="91"/>
      <c r="L25" s="91"/>
      <c r="M25" s="91"/>
      <c r="N25" s="91"/>
    </row>
    <row r="26" spans="1:14" x14ac:dyDescent="0.2">
      <c r="A26" s="93"/>
      <c r="B26" s="93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3000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Three Thousand and NO/100 -----------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1-000000000000}">
  <sheetPr codeName="Sheet529"/>
  <dimension ref="A1:H57"/>
  <sheetViews>
    <sheetView zoomScaleNormal="100" zoomScaleSheetLayoutView="100" workbookViewId="0">
      <selection activeCell="F34" sqref="F34"/>
    </sheetView>
  </sheetViews>
  <sheetFormatPr defaultRowHeight="12.75" x14ac:dyDescent="0.2"/>
  <cols>
    <col min="1" max="1" width="14.5703125" style="91" customWidth="1"/>
    <col min="2" max="2" width="16.28515625" style="91" customWidth="1"/>
    <col min="3" max="3" width="1.28515625" style="91" customWidth="1"/>
    <col min="4" max="4" width="19.42578125" style="91" customWidth="1"/>
    <col min="5" max="5" width="1.42578125" style="91" customWidth="1"/>
    <col min="6" max="6" width="16.42578125" style="91" customWidth="1"/>
    <col min="7" max="7" width="11.85546875" style="91" customWidth="1"/>
    <col min="8" max="8" width="13.42578125" style="91" customWidth="1"/>
    <col min="9" max="9" width="13.28515625" style="91" customWidth="1"/>
    <col min="10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G8" s="22" t="s">
        <v>31</v>
      </c>
    </row>
    <row r="9" spans="1:8" x14ac:dyDescent="0.2">
      <c r="G9" s="92" t="s">
        <v>1393</v>
      </c>
      <c r="H9" s="91" t="s">
        <v>6027</v>
      </c>
    </row>
    <row r="10" spans="1:8" x14ac:dyDescent="0.2">
      <c r="A10" s="91" t="s">
        <v>5317</v>
      </c>
      <c r="G10" s="92" t="s">
        <v>1356</v>
      </c>
      <c r="H10" s="92" t="s">
        <v>6012</v>
      </c>
    </row>
    <row r="11" spans="1:8" x14ac:dyDescent="0.2">
      <c r="A11" s="91" t="s">
        <v>5318</v>
      </c>
      <c r="G11" s="92" t="s">
        <v>1364</v>
      </c>
      <c r="H11" s="92" t="s">
        <v>1220</v>
      </c>
    </row>
    <row r="12" spans="1:8" x14ac:dyDescent="0.2">
      <c r="A12" s="91" t="s">
        <v>5319</v>
      </c>
      <c r="G12" s="92" t="s">
        <v>1394</v>
      </c>
      <c r="H12" s="94" t="s">
        <v>6028</v>
      </c>
    </row>
    <row r="13" spans="1:8" x14ac:dyDescent="0.2">
      <c r="A13" s="91" t="s">
        <v>1973</v>
      </c>
      <c r="G13" s="92"/>
    </row>
    <row r="14" spans="1:8" x14ac:dyDescent="0.2">
      <c r="A14" s="91" t="s">
        <v>5320</v>
      </c>
    </row>
    <row r="15" spans="1:8" x14ac:dyDescent="0.2">
      <c r="A15" s="91" t="s">
        <v>5321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8"/>
      <c r="G16" s="17"/>
      <c r="H16" s="15" t="s">
        <v>18</v>
      </c>
    </row>
    <row r="18" spans="1:8" x14ac:dyDescent="0.2">
      <c r="A18" s="93"/>
      <c r="B18" s="93"/>
      <c r="C18" s="93"/>
      <c r="D18" s="2" t="s">
        <v>6014</v>
      </c>
      <c r="E18" s="2"/>
      <c r="F18" s="2"/>
    </row>
    <row r="19" spans="1:8" x14ac:dyDescent="0.2">
      <c r="A19" s="93"/>
      <c r="B19" s="93"/>
      <c r="C19" s="93"/>
      <c r="D19" s="2"/>
      <c r="E19" s="2"/>
      <c r="F19" s="2"/>
    </row>
    <row r="20" spans="1:8" x14ac:dyDescent="0.2">
      <c r="A20" s="93" t="s">
        <v>6015</v>
      </c>
      <c r="B20" s="284" t="s">
        <v>6016</v>
      </c>
      <c r="D20" s="91" t="s">
        <v>6017</v>
      </c>
      <c r="H20" s="91">
        <v>4000</v>
      </c>
    </row>
    <row r="21" spans="1:8" x14ac:dyDescent="0.2">
      <c r="A21" s="93"/>
      <c r="B21" s="278" t="s">
        <v>5639</v>
      </c>
      <c r="C21" s="93"/>
      <c r="D21" s="91" t="s">
        <v>2147</v>
      </c>
      <c r="H21" s="91">
        <f>H20*6%</f>
        <v>240</v>
      </c>
    </row>
    <row r="22" spans="1:8" x14ac:dyDescent="0.2">
      <c r="A22" s="93"/>
      <c r="B22" s="278"/>
      <c r="C22" s="93"/>
    </row>
    <row r="23" spans="1:8" x14ac:dyDescent="0.2">
      <c r="A23" s="93"/>
      <c r="B23" s="93"/>
      <c r="C23" s="93"/>
    </row>
    <row r="24" spans="1:8" x14ac:dyDescent="0.2">
      <c r="A24" s="93"/>
      <c r="B24" s="284"/>
    </row>
    <row r="25" spans="1:8" x14ac:dyDescent="0.2">
      <c r="A25" s="93"/>
      <c r="B25" s="278"/>
    </row>
    <row r="26" spans="1:8" x14ac:dyDescent="0.2">
      <c r="B26" s="94"/>
      <c r="C26" s="94"/>
      <c r="F26" s="2"/>
    </row>
    <row r="27" spans="1:8" x14ac:dyDescent="0.2">
      <c r="A27" s="93"/>
      <c r="B27" s="99"/>
      <c r="C27" s="99"/>
    </row>
    <row r="28" spans="1:8" x14ac:dyDescent="0.2">
      <c r="A28" s="93"/>
      <c r="B28" s="93"/>
      <c r="C28" s="93"/>
    </row>
    <row r="29" spans="1:8" x14ac:dyDescent="0.2">
      <c r="A29" s="93"/>
      <c r="B29" s="284"/>
    </row>
    <row r="30" spans="1:8" x14ac:dyDescent="0.2">
      <c r="A30" s="93"/>
      <c r="B30" s="278"/>
    </row>
    <row r="31" spans="1:8" x14ac:dyDescent="0.2">
      <c r="B31" s="94"/>
      <c r="C31" s="94"/>
      <c r="F31" s="2"/>
    </row>
    <row r="32" spans="1:8" x14ac:dyDescent="0.2">
      <c r="A32" s="93"/>
      <c r="B32" s="99"/>
      <c r="C32" s="99"/>
    </row>
    <row r="33" spans="1:8" x14ac:dyDescent="0.2">
      <c r="A33" s="93"/>
      <c r="B33" s="99"/>
      <c r="C33" s="99"/>
    </row>
    <row r="35" spans="1:8" x14ac:dyDescent="0.2">
      <c r="A35" s="93"/>
      <c r="B35" s="99"/>
      <c r="C35" s="99"/>
    </row>
    <row r="36" spans="1:8" x14ac:dyDescent="0.2">
      <c r="A36" s="93"/>
      <c r="B36" s="99"/>
      <c r="C36" s="99"/>
    </row>
    <row r="37" spans="1:8" x14ac:dyDescent="0.2">
      <c r="A37" s="93"/>
      <c r="B37" s="93"/>
      <c r="C37" s="93"/>
    </row>
    <row r="38" spans="1:8" ht="13.5" thickBot="1" x14ac:dyDescent="0.25">
      <c r="H38" s="107">
        <f>SUM(H18:H37)</f>
        <v>4240</v>
      </c>
    </row>
    <row r="39" spans="1:8" ht="13.5" thickTop="1" x14ac:dyDescent="0.2"/>
    <row r="40" spans="1:8" ht="20.100000000000001" customHeight="1" x14ac:dyDescent="0.2">
      <c r="A40" s="96" t="s">
        <v>1465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Four Thousand Two Hundred Forty and NO/100 -----------</v>
      </c>
      <c r="C40" s="185"/>
      <c r="D40" s="97"/>
      <c r="E40" s="97"/>
      <c r="F40" s="236"/>
      <c r="G40" s="232"/>
      <c r="H40" s="232"/>
    </row>
    <row r="41" spans="1:8" x14ac:dyDescent="0.2">
      <c r="A41" s="94" t="s">
        <v>11</v>
      </c>
    </row>
    <row r="42" spans="1:8" ht="25.5" x14ac:dyDescent="0.2">
      <c r="A42" s="61" t="s">
        <v>10</v>
      </c>
      <c r="F42" s="218" t="s">
        <v>3975</v>
      </c>
      <c r="G42" s="219"/>
      <c r="H42" s="220"/>
    </row>
    <row r="43" spans="1:8" x14ac:dyDescent="0.2">
      <c r="F43" s="227"/>
      <c r="G43" s="227"/>
      <c r="H43" s="227"/>
    </row>
    <row r="44" spans="1:8" x14ac:dyDescent="0.2">
      <c r="F44" s="228"/>
      <c r="G44" s="229"/>
      <c r="H44" s="229"/>
    </row>
    <row r="46" spans="1:8" x14ac:dyDescent="0.2">
      <c r="A46" s="101"/>
      <c r="B46" s="101"/>
    </row>
    <row r="48" spans="1:8" x14ac:dyDescent="0.2">
      <c r="A48" s="98" t="s">
        <v>8</v>
      </c>
      <c r="D48" s="98"/>
      <c r="F48" s="98" t="s">
        <v>7</v>
      </c>
      <c r="H48" s="102"/>
    </row>
    <row r="52" spans="1:8" x14ac:dyDescent="0.2">
      <c r="A52" s="101"/>
      <c r="B52" s="101"/>
      <c r="F52" s="101"/>
      <c r="G52" s="101"/>
      <c r="H52" s="101"/>
    </row>
    <row r="53" spans="1:8" s="61" customFormat="1" ht="17.100000000000001" customHeight="1" x14ac:dyDescent="0.2">
      <c r="A53" s="91" t="s">
        <v>4066</v>
      </c>
      <c r="B53" s="104"/>
      <c r="C53" s="104"/>
      <c r="D53" s="91"/>
      <c r="F53" s="61" t="s">
        <v>3</v>
      </c>
    </row>
    <row r="54" spans="1:8" x14ac:dyDescent="0.2">
      <c r="F54" s="91" t="s">
        <v>2</v>
      </c>
    </row>
    <row r="56" spans="1:8" x14ac:dyDescent="0.2">
      <c r="F56" s="2" t="s">
        <v>1</v>
      </c>
    </row>
    <row r="57" spans="1:8" x14ac:dyDescent="0.2">
      <c r="F57" s="2" t="s">
        <v>0</v>
      </c>
    </row>
  </sheetData>
  <customSheetViews>
    <customSheetView guid="{6428A7A0-B31B-40C1-A13E-AD0DCC619E51}" topLeftCell="A4">
      <selection activeCell="J37" sqref="J37"/>
      <pageMargins left="0.55118110236220474" right="0.55118110236220474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1-000000000000}">
  <sheetPr codeName="Sheet629">
    <pageSetUpPr fitToPage="1"/>
  </sheetPr>
  <dimension ref="A1:H53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7109375" style="153" customWidth="1"/>
    <col min="3" max="3" width="1.28515625" style="153" customWidth="1"/>
    <col min="4" max="4" width="21" style="153" customWidth="1"/>
    <col min="5" max="5" width="1.42578125" style="153" customWidth="1"/>
    <col min="6" max="6" width="16.42578125" style="153" customWidth="1"/>
    <col min="7" max="7" width="9" style="153" customWidth="1"/>
    <col min="8" max="8" width="13.28515625" style="153" customWidth="1"/>
    <col min="9" max="9" width="9.140625" style="152"/>
    <col min="10" max="10" width="9.42578125" style="152" bestFit="1" customWidth="1"/>
    <col min="11" max="11" width="9.140625" style="152"/>
    <col min="12" max="12" width="10.42578125" style="152" bestFit="1" customWidth="1"/>
    <col min="13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F8" s="154" t="s">
        <v>31</v>
      </c>
    </row>
    <row r="9" spans="1:8" x14ac:dyDescent="0.2">
      <c r="F9" s="155" t="s">
        <v>1317</v>
      </c>
      <c r="G9" s="91" t="s">
        <v>6476</v>
      </c>
    </row>
    <row r="10" spans="1:8" x14ac:dyDescent="0.2">
      <c r="A10" s="153" t="s">
        <v>6216</v>
      </c>
      <c r="F10" s="155" t="s">
        <v>1329</v>
      </c>
      <c r="G10" s="92" t="s">
        <v>6466</v>
      </c>
    </row>
    <row r="11" spans="1:8" x14ac:dyDescent="0.2">
      <c r="A11" s="153" t="s">
        <v>6217</v>
      </c>
      <c r="F11" s="155" t="s">
        <v>1330</v>
      </c>
      <c r="G11" s="92" t="s">
        <v>1220</v>
      </c>
    </row>
    <row r="12" spans="1:8" x14ac:dyDescent="0.2">
      <c r="A12" s="153" t="s">
        <v>6218</v>
      </c>
      <c r="F12" s="155" t="s">
        <v>1331</v>
      </c>
      <c r="G12" s="94" t="s">
        <v>770</v>
      </c>
    </row>
    <row r="13" spans="1:8" x14ac:dyDescent="0.2">
      <c r="A13" s="153" t="s">
        <v>6219</v>
      </c>
    </row>
    <row r="14" spans="1:8" x14ac:dyDescent="0.2">
      <c r="A14" s="153" t="s">
        <v>6220</v>
      </c>
    </row>
    <row r="16" spans="1:8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64"/>
    </row>
    <row r="18" spans="1:8" x14ac:dyDescent="0.2">
      <c r="A18" s="291"/>
      <c r="B18" s="285"/>
      <c r="C18" s="168"/>
      <c r="D18" s="163" t="s">
        <v>6477</v>
      </c>
      <c r="E18" s="163"/>
    </row>
    <row r="19" spans="1:8" x14ac:dyDescent="0.2">
      <c r="A19" s="164"/>
      <c r="E19" s="163"/>
    </row>
    <row r="20" spans="1:8" x14ac:dyDescent="0.2">
      <c r="A20" s="168" t="s">
        <v>6478</v>
      </c>
      <c r="B20" s="168" t="s">
        <v>6479</v>
      </c>
      <c r="D20" s="153" t="s">
        <v>6480</v>
      </c>
      <c r="H20" s="153">
        <f>328276/7.587252</f>
        <v>43266.784864928697</v>
      </c>
    </row>
    <row r="21" spans="1:8" x14ac:dyDescent="0.2">
      <c r="A21" s="164"/>
      <c r="D21" s="153" t="s">
        <v>6481</v>
      </c>
    </row>
    <row r="22" spans="1:8" x14ac:dyDescent="0.2">
      <c r="A22" s="164"/>
      <c r="D22" s="153" t="s">
        <v>6482</v>
      </c>
    </row>
    <row r="23" spans="1:8" x14ac:dyDescent="0.2">
      <c r="A23" s="168"/>
      <c r="B23" s="173"/>
      <c r="E23" s="163"/>
    </row>
    <row r="24" spans="1:8" x14ac:dyDescent="0.2">
      <c r="A24" s="166"/>
      <c r="B24" s="168"/>
      <c r="C24" s="168"/>
      <c r="D24" s="153" t="s">
        <v>52</v>
      </c>
      <c r="H24" s="153">
        <v>30</v>
      </c>
    </row>
    <row r="25" spans="1:8" x14ac:dyDescent="0.2">
      <c r="A25" s="164"/>
    </row>
    <row r="26" spans="1:8" x14ac:dyDescent="0.2">
      <c r="A26" s="164"/>
      <c r="D26" s="153" t="s">
        <v>2147</v>
      </c>
      <c r="H26" s="153">
        <v>1.8</v>
      </c>
    </row>
    <row r="27" spans="1:8" x14ac:dyDescent="0.2">
      <c r="A27" s="168"/>
      <c r="D27" s="163"/>
      <c r="E27" s="163"/>
    </row>
    <row r="29" spans="1:8" x14ac:dyDescent="0.2">
      <c r="A29" s="168"/>
    </row>
    <row r="30" spans="1:8" x14ac:dyDescent="0.2">
      <c r="A30" s="168"/>
      <c r="B30" s="152"/>
      <c r="C30" s="152"/>
    </row>
    <row r="31" spans="1:8" x14ac:dyDescent="0.2">
      <c r="A31" s="152"/>
      <c r="B31" s="152"/>
      <c r="C31" s="152"/>
      <c r="D31" s="152"/>
      <c r="E31" s="152"/>
      <c r="F31" s="152"/>
      <c r="G31" s="152"/>
      <c r="H31" s="152"/>
    </row>
    <row r="32" spans="1:8" x14ac:dyDescent="0.2">
      <c r="A32" s="164"/>
      <c r="H32" s="152"/>
    </row>
    <row r="33" spans="1:8" ht="13.5" thickBot="1" x14ac:dyDescent="0.25">
      <c r="A33" s="164"/>
      <c r="H33" s="170">
        <f>SUM(H18:H31)</f>
        <v>43298.5848649287</v>
      </c>
    </row>
    <row r="34" spans="1:8" ht="13.5" thickTop="1" x14ac:dyDescent="0.2">
      <c r="A34" s="164"/>
    </row>
    <row r="35" spans="1:8" ht="20.100000000000001" customHeight="1" x14ac:dyDescent="0.2">
      <c r="A35" s="171" t="s">
        <v>1248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Forty-Three Thousand Two Hundred Ninety-Eight and 58/100 -----------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/>
    </row>
    <row r="37" spans="1:8" ht="25.5" x14ac:dyDescent="0.2">
      <c r="A37" s="156" t="s">
        <v>10</v>
      </c>
      <c r="D37" s="156"/>
      <c r="F37" s="242" t="s">
        <v>3975</v>
      </c>
      <c r="G37" s="243"/>
      <c r="H37" s="244"/>
    </row>
    <row r="39" spans="1:8" x14ac:dyDescent="0.2">
      <c r="F39" s="258"/>
      <c r="G39" s="258"/>
      <c r="H39" s="258"/>
    </row>
    <row r="40" spans="1:8" x14ac:dyDescent="0.2">
      <c r="A40" s="153" t="s">
        <v>120</v>
      </c>
      <c r="E40" s="173"/>
      <c r="F40" s="259"/>
      <c r="G40" s="260"/>
      <c r="H40" s="260"/>
    </row>
    <row r="41" spans="1:8" x14ac:dyDescent="0.2">
      <c r="A41" s="250"/>
      <c r="B41" s="174"/>
    </row>
    <row r="44" spans="1:8" x14ac:dyDescent="0.2">
      <c r="A44" s="153" t="s">
        <v>8</v>
      </c>
      <c r="D44" s="153" t="s">
        <v>8</v>
      </c>
      <c r="F44" s="175" t="s">
        <v>7</v>
      </c>
      <c r="H44" s="176"/>
    </row>
    <row r="48" spans="1:8" x14ac:dyDescent="0.2">
      <c r="A48" s="174"/>
      <c r="B48" s="174"/>
      <c r="D48" s="174"/>
      <c r="F48" s="174"/>
      <c r="G48" s="174"/>
      <c r="H48" s="174"/>
    </row>
    <row r="49" spans="1:8" s="178" customFormat="1" ht="17.100000000000001" customHeight="1" x14ac:dyDescent="0.2">
      <c r="A49" s="153" t="s">
        <v>4066</v>
      </c>
      <c r="B49" s="177"/>
      <c r="C49" s="177"/>
      <c r="D49" s="153" t="s">
        <v>50</v>
      </c>
      <c r="E49" s="156"/>
      <c r="F49" s="156" t="s">
        <v>3</v>
      </c>
      <c r="G49" s="156"/>
      <c r="H49" s="156"/>
    </row>
    <row r="50" spans="1:8" x14ac:dyDescent="0.2"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1-000000000000}">
  <sheetPr codeName="Sheet388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3957</v>
      </c>
      <c r="D9" s="92" t="s">
        <v>1317</v>
      </c>
      <c r="E9" s="91" t="s">
        <v>7052</v>
      </c>
    </row>
    <row r="10" spans="1:6" x14ac:dyDescent="0.2">
      <c r="A10" s="91" t="s">
        <v>7054</v>
      </c>
      <c r="D10" s="92" t="s">
        <v>1329</v>
      </c>
      <c r="E10" s="92" t="s">
        <v>7007</v>
      </c>
    </row>
    <row r="11" spans="1:6" x14ac:dyDescent="0.2">
      <c r="A11" s="91" t="s">
        <v>7055</v>
      </c>
      <c r="D11" s="92" t="s">
        <v>1330</v>
      </c>
      <c r="E11" s="92" t="s">
        <v>1220</v>
      </c>
    </row>
    <row r="12" spans="1:6" x14ac:dyDescent="0.2">
      <c r="A12" s="91" t="s">
        <v>7056</v>
      </c>
      <c r="D12" s="92" t="s">
        <v>1331</v>
      </c>
      <c r="E12" s="92" t="s">
        <v>7053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6889</v>
      </c>
    </row>
    <row r="19" spans="1:6" x14ac:dyDescent="0.2">
      <c r="B19" s="99"/>
    </row>
    <row r="20" spans="1:6" x14ac:dyDescent="0.2">
      <c r="A20" s="93" t="s">
        <v>7005</v>
      </c>
      <c r="B20" s="93" t="s">
        <v>7057</v>
      </c>
      <c r="C20" s="91" t="s">
        <v>7058</v>
      </c>
      <c r="F20" s="91">
        <v>1300</v>
      </c>
    </row>
    <row r="21" spans="1:6" x14ac:dyDescent="0.2">
      <c r="B21" s="99"/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7" spans="1:6" x14ac:dyDescent="0.2">
      <c r="A27" s="93"/>
      <c r="B27" s="93"/>
    </row>
    <row r="28" spans="1:6" x14ac:dyDescent="0.2">
      <c r="A28" s="93"/>
      <c r="B28" s="93"/>
    </row>
    <row r="29" spans="1:6" x14ac:dyDescent="0.2">
      <c r="B29" s="99"/>
    </row>
    <row r="32" spans="1:6" x14ac:dyDescent="0.2">
      <c r="A32" s="1"/>
      <c r="B32" s="1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1300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Three Hundred and NO/100 -----------</v>
      </c>
      <c r="C36" s="97"/>
      <c r="D36" s="218"/>
      <c r="E36" s="232"/>
      <c r="F36" s="220"/>
    </row>
    <row r="37" spans="1:6" x14ac:dyDescent="0.2">
      <c r="A37" s="94"/>
    </row>
    <row r="38" spans="1:6" ht="25.5" x14ac:dyDescent="0.2">
      <c r="A38" s="94"/>
      <c r="D38" s="218" t="s">
        <v>3975</v>
      </c>
      <c r="E38" s="219"/>
      <c r="F38" s="220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1-000000000000}">
  <sheetPr codeName="Sheet530">
    <pageSetUpPr fitToPage="1"/>
  </sheetPr>
  <dimension ref="A1:N53"/>
  <sheetViews>
    <sheetView topLeftCell="A4"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6.42578125" style="91" customWidth="1"/>
    <col min="6" max="6" width="9" style="91" customWidth="1"/>
    <col min="7" max="7" width="13.28515625" style="91" customWidth="1"/>
    <col min="8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</row>
    <row r="8" spans="1:14" x14ac:dyDescent="0.2">
      <c r="A8" s="91" t="s">
        <v>32</v>
      </c>
      <c r="E8" s="22" t="s">
        <v>31</v>
      </c>
    </row>
    <row r="9" spans="1:14" x14ac:dyDescent="0.2">
      <c r="A9" s="91" t="s">
        <v>5080</v>
      </c>
      <c r="E9" s="92" t="s">
        <v>1317</v>
      </c>
      <c r="F9" s="91" t="s">
        <v>7066</v>
      </c>
    </row>
    <row r="10" spans="1:14" x14ac:dyDescent="0.2">
      <c r="A10" s="91" t="s">
        <v>5081</v>
      </c>
      <c r="E10" s="92" t="s">
        <v>1329</v>
      </c>
      <c r="F10" s="98" t="s">
        <v>7007</v>
      </c>
    </row>
    <row r="11" spans="1:14" x14ac:dyDescent="0.2">
      <c r="A11" s="91" t="s">
        <v>5082</v>
      </c>
      <c r="E11" s="92" t="s">
        <v>1330</v>
      </c>
      <c r="F11" s="92" t="s">
        <v>1220</v>
      </c>
    </row>
    <row r="12" spans="1:14" x14ac:dyDescent="0.2">
      <c r="A12" s="91" t="s">
        <v>1314</v>
      </c>
      <c r="E12" s="92" t="s">
        <v>1377</v>
      </c>
      <c r="F12" s="92" t="s">
        <v>7067</v>
      </c>
    </row>
    <row r="13" spans="1:14" x14ac:dyDescent="0.2">
      <c r="A13" s="91" t="s">
        <v>5083</v>
      </c>
      <c r="K13" s="91" t="s">
        <v>6196</v>
      </c>
      <c r="L13" s="91"/>
      <c r="M13" s="91"/>
      <c r="N13" s="91">
        <f>19325/2</f>
        <v>9662.5</v>
      </c>
    </row>
    <row r="14" spans="1:14" x14ac:dyDescent="0.2">
      <c r="K14" s="94" t="s">
        <v>6197</v>
      </c>
      <c r="L14" s="91"/>
      <c r="M14" s="91"/>
      <c r="N14" s="91"/>
    </row>
    <row r="15" spans="1:14" x14ac:dyDescent="0.2">
      <c r="K15" s="91"/>
      <c r="L15" s="91"/>
      <c r="M15" s="91"/>
      <c r="N15" s="91"/>
    </row>
    <row r="16" spans="1:14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7"/>
      <c r="F16" s="16"/>
      <c r="G16" s="15" t="s">
        <v>18</v>
      </c>
    </row>
    <row r="18" spans="1:11" x14ac:dyDescent="0.2">
      <c r="A18" s="93"/>
      <c r="B18" s="99"/>
      <c r="C18" s="99"/>
      <c r="D18" s="2" t="s">
        <v>5133</v>
      </c>
      <c r="K18" s="91" t="s">
        <v>6199</v>
      </c>
    </row>
    <row r="19" spans="1:11" x14ac:dyDescent="0.2">
      <c r="B19" s="99"/>
      <c r="K19" s="94" t="s">
        <v>6200</v>
      </c>
    </row>
    <row r="20" spans="1:11" x14ac:dyDescent="0.2">
      <c r="A20" s="93" t="s">
        <v>7068</v>
      </c>
      <c r="B20" s="93" t="s">
        <v>7069</v>
      </c>
      <c r="C20" s="93"/>
      <c r="D20" s="91" t="s">
        <v>6199</v>
      </c>
      <c r="G20" s="91">
        <v>14900</v>
      </c>
      <c r="K20" s="91"/>
    </row>
    <row r="21" spans="1:11" x14ac:dyDescent="0.2">
      <c r="A21" s="99"/>
      <c r="B21" s="99"/>
      <c r="D21" s="94"/>
      <c r="K21" s="1" t="s">
        <v>6196</v>
      </c>
    </row>
    <row r="22" spans="1:11" x14ac:dyDescent="0.2">
      <c r="A22" s="93" t="s">
        <v>7068</v>
      </c>
      <c r="B22" s="93" t="s">
        <v>7069</v>
      </c>
      <c r="D22" s="91" t="s">
        <v>7070</v>
      </c>
      <c r="G22" s="91">
        <v>22087.5</v>
      </c>
      <c r="K22" s="1" t="s">
        <v>6248</v>
      </c>
    </row>
    <row r="23" spans="1:11" x14ac:dyDescent="0.2">
      <c r="A23" s="93"/>
      <c r="B23" s="99"/>
    </row>
    <row r="24" spans="1:11" x14ac:dyDescent="0.2">
      <c r="A24" s="99"/>
      <c r="B24" s="99"/>
    </row>
    <row r="25" spans="1:11" x14ac:dyDescent="0.2">
      <c r="A25" s="93"/>
      <c r="B25" s="99"/>
      <c r="C25" s="99"/>
      <c r="G25" s="110"/>
    </row>
    <row r="26" spans="1:11" x14ac:dyDescent="0.2">
      <c r="A26" s="93"/>
      <c r="B26" s="99"/>
      <c r="C26" s="93"/>
    </row>
    <row r="27" spans="1:11" x14ac:dyDescent="0.2">
      <c r="A27" s="99"/>
      <c r="B27" s="99"/>
    </row>
    <row r="28" spans="1:11" x14ac:dyDescent="0.2">
      <c r="A28" s="99"/>
      <c r="B28" s="99"/>
    </row>
    <row r="29" spans="1:11" x14ac:dyDescent="0.2">
      <c r="A29" s="99"/>
      <c r="B29" s="99"/>
      <c r="D29" s="2"/>
    </row>
    <row r="30" spans="1:11" x14ac:dyDescent="0.2">
      <c r="A30" s="99"/>
      <c r="B30" s="99"/>
    </row>
    <row r="31" spans="1:11" x14ac:dyDescent="0.2">
      <c r="A31" s="93"/>
      <c r="B31" s="99"/>
      <c r="C31" s="99"/>
    </row>
    <row r="32" spans="1:11" x14ac:dyDescent="0.2">
      <c r="A32" s="99"/>
    </row>
    <row r="33" spans="1:7" x14ac:dyDescent="0.2">
      <c r="G33" s="101"/>
    </row>
    <row r="34" spans="1:7" ht="15.75" customHeight="1" thickBot="1" x14ac:dyDescent="0.25">
      <c r="G34" s="318">
        <f>SUM(G19:G33)</f>
        <v>36987.5</v>
      </c>
    </row>
    <row r="35" spans="1:7" ht="13.5" thickTop="1" x14ac:dyDescent="0.2">
      <c r="G35" s="269"/>
    </row>
    <row r="36" spans="1:7" ht="23.25" customHeight="1" x14ac:dyDescent="0.2">
      <c r="A36" s="96" t="s">
        <v>336</v>
      </c>
      <c r="B36" s="185" t="str">
        <f>IF(OR(G34&gt;1000000,G34&lt;=0),"",IF(G34&lt;1000,"",IF(MOD(G34,1000000)&gt;=100000,INDEX(numbers,TRUNC(MOD(G34,1000000)/100000,0)+1)&amp;" Hundred","")&amp;IF(MOD(G34,100000)&gt;=20000," "&amp;INDEX(teb,TRUNC(MOD(G34,100000)/10000,0)+1)&amp;IF(MOD(MOD(G34,100000),10000)&gt;=1000,"-"&amp;INDEX(numbers,TRUNC(MOD(MOD(G34,100000),10000)/1000,0)+1),""),IF(MOD(G34,100000)&gt;=1000," "&amp;INDEX(numbers,TRUNC(MOD(G34,100000)/1000,0)+1),""))&amp;" Thousand") &amp; IF(G34&lt;1,"Zero Dollars",IF(MOD(G34,1000)&gt;=100," "&amp;INDEX(numbers,TRUNC(MOD(G34,1000)/100,0)+1)&amp;" Hundred","")&amp;IF(MOD(G34,100)&gt;=20," "&amp;INDEX(teb,TRUNC(MOD(G34,100)/10,0)+1)&amp;IF(MOD(MOD(G34,100),10)&gt;=1,"-"&amp;INDEX(numbers,TRUNC(MOD(MOD(G34,100),10),0)+1),""),IF(MOD(G34,100)&gt;=1," "&amp;INDEX(numbers,TRUNC(MOD(G34,100),0)+1),""))&amp;"") &amp; " and " &amp; IF(MOD(G34,1)&lt;0.005,"NO",ROUND(MOD(G34,1)*100,0)) &amp; "/100 -----------")</f>
        <v xml:space="preserve"> Thirty-Six Thousand Nine Hundred Eighty-Seven and 50/100 -----------</v>
      </c>
      <c r="C36" s="185"/>
      <c r="D36" s="97"/>
      <c r="E36" s="97"/>
      <c r="F36" s="97"/>
      <c r="G36" s="207"/>
    </row>
    <row r="37" spans="1:7" x14ac:dyDescent="0.2">
      <c r="A37" s="94" t="s">
        <v>11</v>
      </c>
      <c r="E37" s="1"/>
      <c r="F37" s="1"/>
      <c r="G37" s="1"/>
    </row>
    <row r="38" spans="1:7" ht="25.5" x14ac:dyDescent="0.2">
      <c r="A38" s="91" t="s">
        <v>10</v>
      </c>
      <c r="E38" s="218" t="s">
        <v>3975</v>
      </c>
      <c r="F38" s="219"/>
      <c r="G38" s="220"/>
    </row>
    <row r="40" spans="1:7" x14ac:dyDescent="0.2">
      <c r="E40" s="227"/>
      <c r="F40" s="227"/>
      <c r="G40" s="227"/>
    </row>
    <row r="41" spans="1:7" x14ac:dyDescent="0.2">
      <c r="D41" s="99"/>
      <c r="E41" s="228"/>
      <c r="F41" s="229"/>
      <c r="G41" s="229"/>
    </row>
    <row r="42" spans="1:7" x14ac:dyDescent="0.2">
      <c r="A42" s="101"/>
      <c r="B42" s="101"/>
    </row>
    <row r="44" spans="1:7" x14ac:dyDescent="0.2">
      <c r="A44" s="98" t="s">
        <v>8</v>
      </c>
      <c r="D44" s="98" t="s">
        <v>8</v>
      </c>
      <c r="E44" s="98" t="s">
        <v>7</v>
      </c>
      <c r="G44" s="102"/>
    </row>
    <row r="47" spans="1:7" s="3" customFormat="1" ht="17.100000000000001" customHeight="1" x14ac:dyDescent="0.2">
      <c r="A47" s="91"/>
      <c r="B47" s="91"/>
      <c r="C47" s="91"/>
      <c r="D47" s="91"/>
      <c r="E47" s="91"/>
      <c r="F47" s="91"/>
      <c r="G47" s="91"/>
    </row>
    <row r="48" spans="1:7" x14ac:dyDescent="0.2">
      <c r="A48" s="101"/>
      <c r="B48" s="101"/>
      <c r="D48" s="101"/>
      <c r="E48" s="101"/>
      <c r="F48" s="101"/>
      <c r="G48" s="101"/>
    </row>
    <row r="49" spans="1:7" x14ac:dyDescent="0.2">
      <c r="A49" s="103" t="s">
        <v>4066</v>
      </c>
      <c r="B49" s="104"/>
      <c r="C49" s="104"/>
      <c r="D49" s="103" t="s">
        <v>50</v>
      </c>
      <c r="E49" s="61" t="s">
        <v>3</v>
      </c>
      <c r="F49" s="61"/>
      <c r="G49" s="61"/>
    </row>
    <row r="50" spans="1:7" x14ac:dyDescent="0.2">
      <c r="E50" s="91" t="s">
        <v>2</v>
      </c>
    </row>
    <row r="52" spans="1:7" x14ac:dyDescent="0.2">
      <c r="E52" s="2" t="s">
        <v>1</v>
      </c>
    </row>
    <row r="53" spans="1:7" x14ac:dyDescent="0.2">
      <c r="E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1-000000000000}">
  <sheetPr codeName="Sheet503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4865</v>
      </c>
      <c r="D9" s="92" t="s">
        <v>1317</v>
      </c>
      <c r="E9" s="61" t="s">
        <v>4899</v>
      </c>
    </row>
    <row r="10" spans="1:14" x14ac:dyDescent="0.2">
      <c r="A10" s="91" t="s">
        <v>4868</v>
      </c>
      <c r="D10" s="92" t="s">
        <v>1329</v>
      </c>
      <c r="E10" s="113" t="s">
        <v>4893</v>
      </c>
    </row>
    <row r="11" spans="1:14" x14ac:dyDescent="0.2">
      <c r="D11" s="92" t="s">
        <v>1330</v>
      </c>
      <c r="E11" s="113" t="s">
        <v>1220</v>
      </c>
    </row>
    <row r="12" spans="1:14" x14ac:dyDescent="0.2">
      <c r="D12" s="92" t="s">
        <v>1331</v>
      </c>
      <c r="E12" s="113" t="s">
        <v>4900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 t="s">
        <v>4863</v>
      </c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4901</v>
      </c>
      <c r="K18" s="91" t="s">
        <v>4734</v>
      </c>
      <c r="L18" s="91"/>
      <c r="M18" s="91"/>
      <c r="N18" s="91">
        <f>3868*0.03</f>
        <v>116.03999999999999</v>
      </c>
    </row>
    <row r="19" spans="1:14" x14ac:dyDescent="0.2">
      <c r="A19" s="93"/>
      <c r="B19" s="93"/>
      <c r="K19" s="91" t="s">
        <v>4735</v>
      </c>
      <c r="L19" s="91"/>
      <c r="M19" s="91"/>
      <c r="N19" s="91">
        <f>2601*0.5</f>
        <v>1300.5</v>
      </c>
    </row>
    <row r="20" spans="1:14" x14ac:dyDescent="0.2">
      <c r="A20" s="93" t="s">
        <v>4249</v>
      </c>
      <c r="B20" s="93"/>
      <c r="C20" s="91" t="s">
        <v>4732</v>
      </c>
      <c r="F20" s="91">
        <v>292.5</v>
      </c>
      <c r="K20" s="91" t="s">
        <v>2147</v>
      </c>
      <c r="L20" s="91"/>
      <c r="M20" s="91"/>
      <c r="N20" s="91">
        <v>84.99</v>
      </c>
    </row>
    <row r="21" spans="1:14" x14ac:dyDescent="0.2">
      <c r="A21" s="91" t="s">
        <v>4902</v>
      </c>
      <c r="B21" s="99"/>
      <c r="K21" s="91"/>
      <c r="L21" s="91"/>
      <c r="M21" s="91"/>
      <c r="N21" s="91"/>
    </row>
    <row r="22" spans="1:14" x14ac:dyDescent="0.2">
      <c r="A22" s="93"/>
      <c r="B22" s="93"/>
      <c r="K22" s="91" t="s">
        <v>4733</v>
      </c>
      <c r="L22" s="91"/>
      <c r="M22" s="91"/>
      <c r="N22" s="91"/>
    </row>
    <row r="23" spans="1:14" x14ac:dyDescent="0.2">
      <c r="A23" s="93"/>
      <c r="B23" s="93"/>
      <c r="K23" s="91" t="s">
        <v>4736</v>
      </c>
      <c r="L23" s="91"/>
      <c r="M23" s="91"/>
      <c r="N23" s="91">
        <f>3810*0.03</f>
        <v>114.3</v>
      </c>
    </row>
    <row r="24" spans="1:14" x14ac:dyDescent="0.2">
      <c r="A24" s="93"/>
      <c r="B24" s="93"/>
      <c r="K24" s="91" t="s">
        <v>4737</v>
      </c>
      <c r="L24" s="91"/>
      <c r="M24" s="91"/>
      <c r="N24" s="91">
        <f>705*0.5</f>
        <v>352.5</v>
      </c>
    </row>
    <row r="25" spans="1:14" x14ac:dyDescent="0.2">
      <c r="K25" s="91" t="s">
        <v>2147</v>
      </c>
      <c r="L25" s="91"/>
      <c r="M25" s="91"/>
      <c r="N25" s="91">
        <v>28.01</v>
      </c>
    </row>
    <row r="27" spans="1:14" x14ac:dyDescent="0.2">
      <c r="A27" s="93"/>
      <c r="B27" s="93"/>
    </row>
    <row r="28" spans="1:14" x14ac:dyDescent="0.2">
      <c r="A28" s="93"/>
      <c r="B28" s="93"/>
    </row>
    <row r="29" spans="1:14" x14ac:dyDescent="0.2">
      <c r="A29" s="93"/>
      <c r="B29" s="93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292.5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Hundred Ninety-Two and 50/100 -----------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A034-E5F1-47B5-8940-6ABB1A8E1FC2}">
  <sheetPr codeName="Sheet675">
    <pageSetUpPr fitToPage="1"/>
  </sheetPr>
  <dimension ref="A1:H55"/>
  <sheetViews>
    <sheetView topLeftCell="A31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2.85546875" style="1" customWidth="1"/>
    <col min="3" max="3" width="0.85546875" style="1" customWidth="1"/>
    <col min="4" max="4" width="23.42578125" style="1" customWidth="1"/>
    <col min="5" max="5" width="1.425781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91" t="s">
        <v>6814</v>
      </c>
    </row>
    <row r="10" spans="1:8" s="91" customFormat="1" x14ac:dyDescent="0.2">
      <c r="A10" s="91" t="s">
        <v>6816</v>
      </c>
      <c r="F10" s="92" t="s">
        <v>1706</v>
      </c>
      <c r="G10" s="92" t="s">
        <v>6815</v>
      </c>
    </row>
    <row r="11" spans="1:8" s="91" customFormat="1" x14ac:dyDescent="0.2">
      <c r="A11" s="91" t="s">
        <v>6817</v>
      </c>
      <c r="F11" s="92" t="s">
        <v>1707</v>
      </c>
      <c r="G11" s="92" t="s">
        <v>2625</v>
      </c>
    </row>
    <row r="12" spans="1:8" s="91" customFormat="1" x14ac:dyDescent="0.2">
      <c r="A12" s="91" t="s">
        <v>6818</v>
      </c>
      <c r="F12" s="92" t="s">
        <v>1355</v>
      </c>
      <c r="G12" s="92" t="s">
        <v>770</v>
      </c>
    </row>
    <row r="13" spans="1:8" s="91" customFormat="1" x14ac:dyDescent="0.2">
      <c r="A13" s="91" t="s">
        <v>6819</v>
      </c>
    </row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9"/>
      <c r="C18" s="99"/>
      <c r="D18" s="2" t="s">
        <v>6820</v>
      </c>
      <c r="E18" s="2"/>
    </row>
    <row r="19" spans="1:8" s="91" customFormat="1" x14ac:dyDescent="0.2"/>
    <row r="20" spans="1:8" s="91" customFormat="1" x14ac:dyDescent="0.2">
      <c r="A20" s="93" t="s">
        <v>6762</v>
      </c>
      <c r="B20" s="93" t="s">
        <v>11</v>
      </c>
      <c r="C20" s="93"/>
      <c r="D20" s="91" t="s">
        <v>6821</v>
      </c>
      <c r="H20" s="91">
        <f>1000*4.1463</f>
        <v>4146.3</v>
      </c>
    </row>
    <row r="21" spans="1:8" s="91" customFormat="1" x14ac:dyDescent="0.2">
      <c r="D21" s="91" t="s">
        <v>6822</v>
      </c>
    </row>
    <row r="22" spans="1:8" s="91" customFormat="1" x14ac:dyDescent="0.2">
      <c r="A22" s="93"/>
      <c r="B22" s="93"/>
      <c r="C22" s="93"/>
      <c r="D22" s="91" t="s">
        <v>52</v>
      </c>
      <c r="H22" s="91">
        <v>30</v>
      </c>
    </row>
    <row r="23" spans="1:8" s="91" customFormat="1" x14ac:dyDescent="0.2"/>
    <row r="24" spans="1:8" s="91" customFormat="1" x14ac:dyDescent="0.2">
      <c r="A24" s="93"/>
      <c r="B24" s="93"/>
      <c r="C24" s="93"/>
    </row>
    <row r="25" spans="1:8" s="91" customFormat="1" x14ac:dyDescent="0.2"/>
    <row r="26" spans="1:8" s="91" customFormat="1" x14ac:dyDescent="0.2"/>
    <row r="27" spans="1:8" s="91" customFormat="1" x14ac:dyDescent="0.2">
      <c r="B27" s="94"/>
      <c r="C27" s="94"/>
    </row>
    <row r="28" spans="1:8" s="91" customFormat="1" x14ac:dyDescent="0.2">
      <c r="B28" s="94"/>
      <c r="C28" s="94"/>
    </row>
    <row r="29" spans="1:8" s="91" customFormat="1" x14ac:dyDescent="0.2">
      <c r="B29" s="94"/>
      <c r="C29" s="94"/>
    </row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ht="13.5" thickBot="1" x14ac:dyDescent="0.25">
      <c r="H33" s="95">
        <f>SUM(H18:H31)</f>
        <v>4176.3</v>
      </c>
    </row>
    <row r="34" spans="1:8" s="91" customFormat="1" ht="13.5" thickTop="1" x14ac:dyDescent="0.2">
      <c r="H34" s="101"/>
    </row>
    <row r="35" spans="1:8" s="91" customFormat="1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 Thousand One Hundred Seventy-Six and 30/100 -----------</v>
      </c>
      <c r="C35" s="185"/>
      <c r="D35" s="97"/>
      <c r="E35" s="97"/>
      <c r="F35" s="97"/>
      <c r="G35" s="97"/>
      <c r="H35" s="207"/>
    </row>
    <row r="36" spans="1:8" s="91" customFormat="1" x14ac:dyDescent="0.2">
      <c r="A36" s="94" t="s">
        <v>11</v>
      </c>
    </row>
    <row r="37" spans="1:8" s="91" customFormat="1" ht="25.5" x14ac:dyDescent="0.2">
      <c r="A37" s="91" t="s">
        <v>10</v>
      </c>
      <c r="F37" s="218" t="s">
        <v>3975</v>
      </c>
      <c r="G37" s="219"/>
      <c r="H37" s="220"/>
    </row>
    <row r="38" spans="1:8" s="91" customFormat="1" x14ac:dyDescent="0.2"/>
    <row r="39" spans="1:8" s="91" customFormat="1" x14ac:dyDescent="0.2">
      <c r="F39" s="227"/>
      <c r="G39" s="227"/>
      <c r="H39" s="227"/>
    </row>
    <row r="40" spans="1:8" s="91" customFormat="1" x14ac:dyDescent="0.2">
      <c r="F40" s="228"/>
      <c r="G40" s="229"/>
      <c r="H40" s="229"/>
    </row>
    <row r="41" spans="1:8" s="91" customFormat="1" x14ac:dyDescent="0.2">
      <c r="A41" s="101"/>
      <c r="B41" s="101"/>
    </row>
    <row r="42" spans="1:8" s="91" customFormat="1" x14ac:dyDescent="0.2"/>
    <row r="43" spans="1:8" s="91" customFormat="1" x14ac:dyDescent="0.2">
      <c r="A43" s="98" t="s">
        <v>8</v>
      </c>
      <c r="D43" s="98" t="s">
        <v>8</v>
      </c>
      <c r="F43" s="98" t="s">
        <v>7</v>
      </c>
      <c r="H43" s="102"/>
    </row>
    <row r="44" spans="1:8" s="91" customFormat="1" x14ac:dyDescent="0.2"/>
    <row r="45" spans="1:8" s="91" customFormat="1" x14ac:dyDescent="0.2"/>
    <row r="46" spans="1:8" s="91" customFormat="1" x14ac:dyDescent="0.2"/>
    <row r="47" spans="1:8" s="91" customFormat="1" x14ac:dyDescent="0.2">
      <c r="A47" s="101"/>
      <c r="B47" s="101"/>
      <c r="D47" s="101"/>
      <c r="F47" s="101"/>
      <c r="G47" s="101"/>
      <c r="H47" s="101"/>
    </row>
    <row r="48" spans="1:8" s="61" customFormat="1" ht="17.100000000000001" customHeight="1" x14ac:dyDescent="0.2">
      <c r="A48" s="103" t="s">
        <v>4047</v>
      </c>
      <c r="B48" s="104"/>
      <c r="C48" s="104"/>
      <c r="D48" s="103" t="s">
        <v>50</v>
      </c>
      <c r="F48" s="61" t="s">
        <v>3</v>
      </c>
    </row>
    <row r="49" spans="6:6" s="91" customFormat="1" x14ac:dyDescent="0.2">
      <c r="F49" s="91" t="s">
        <v>2</v>
      </c>
    </row>
    <row r="50" spans="6:6" s="91" customFormat="1" x14ac:dyDescent="0.2"/>
    <row r="51" spans="6:6" s="91" customFormat="1" x14ac:dyDescent="0.2">
      <c r="F51" s="2" t="s">
        <v>1</v>
      </c>
    </row>
    <row r="52" spans="6:6" s="91" customFormat="1" x14ac:dyDescent="0.2">
      <c r="F52" s="2" t="s">
        <v>0</v>
      </c>
    </row>
    <row r="53" spans="6:6" s="91" customFormat="1" x14ac:dyDescent="0.2"/>
    <row r="54" spans="6:6" s="91" customFormat="1" x14ac:dyDescent="0.2"/>
    <row r="55" spans="6:6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74">
    <tabColor rgb="FFFFFF00"/>
    <pageSetUpPr fitToPage="1"/>
  </sheetPr>
  <dimension ref="A1:H52"/>
  <sheetViews>
    <sheetView workbookViewId="0">
      <selection activeCell="A37" sqref="A37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8952</v>
      </c>
    </row>
    <row r="10" spans="1:8" x14ac:dyDescent="0.2">
      <c r="A10" s="91" t="s">
        <v>5655</v>
      </c>
      <c r="F10" s="92" t="s">
        <v>1444</v>
      </c>
      <c r="G10" s="94" t="s">
        <v>8945</v>
      </c>
    </row>
    <row r="11" spans="1:8" x14ac:dyDescent="0.2">
      <c r="A11" s="91" t="s">
        <v>5656</v>
      </c>
      <c r="F11" s="92" t="s">
        <v>1431</v>
      </c>
      <c r="G11" s="91" t="s">
        <v>1220</v>
      </c>
    </row>
    <row r="12" spans="1:8" x14ac:dyDescent="0.2">
      <c r="F12" s="92" t="s">
        <v>1268</v>
      </c>
      <c r="G12" s="91" t="s">
        <v>8953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20</v>
      </c>
      <c r="B16" s="17"/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8955</v>
      </c>
      <c r="E18" s="2"/>
      <c r="H18" s="110"/>
    </row>
    <row r="19" spans="1:8" x14ac:dyDescent="0.2">
      <c r="H19" s="110"/>
    </row>
    <row r="20" spans="1:8" x14ac:dyDescent="0.2">
      <c r="A20" s="111" t="s">
        <v>8841</v>
      </c>
      <c r="B20" s="93" t="s">
        <v>8954</v>
      </c>
      <c r="C20" s="93"/>
      <c r="D20" s="91" t="s">
        <v>8956</v>
      </c>
      <c r="H20" s="110">
        <v>90</v>
      </c>
    </row>
    <row r="21" spans="1:8" x14ac:dyDescent="0.2">
      <c r="D21" s="94"/>
      <c r="E21" s="94"/>
    </row>
    <row r="24" spans="1:8" x14ac:dyDescent="0.2">
      <c r="A24" s="108"/>
      <c r="B24" s="94"/>
      <c r="C24" s="94"/>
      <c r="D24" s="2"/>
      <c r="E24" s="2"/>
      <c r="H24" s="110"/>
    </row>
    <row r="25" spans="1:8" x14ac:dyDescent="0.2">
      <c r="A25" s="109"/>
      <c r="B25" s="94"/>
      <c r="C25" s="94"/>
      <c r="D25" s="2"/>
      <c r="E25" s="2"/>
      <c r="H25" s="110"/>
    </row>
    <row r="26" spans="1:8" x14ac:dyDescent="0.2">
      <c r="A26" s="111"/>
      <c r="B26" s="94"/>
      <c r="C26" s="94"/>
    </row>
    <row r="27" spans="1:8" x14ac:dyDescent="0.2">
      <c r="A27" s="108"/>
    </row>
    <row r="28" spans="1:8" x14ac:dyDescent="0.2">
      <c r="A28" s="108"/>
    </row>
    <row r="33" spans="1:8" ht="13.5" thickBot="1" x14ac:dyDescent="0.25">
      <c r="H33" s="95">
        <f>SUM(H18:H31)</f>
        <v>90</v>
      </c>
    </row>
    <row r="34" spans="1:8" ht="13.5" thickTop="1" x14ac:dyDescent="0.2"/>
    <row r="35" spans="1:8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Ninety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 t="s">
        <v>11</v>
      </c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121</v>
      </c>
      <c r="D40" s="99"/>
      <c r="E40" s="516"/>
      <c r="F40" s="228"/>
      <c r="G40" s="229"/>
      <c r="H40" s="229"/>
    </row>
    <row r="41" spans="1:8" x14ac:dyDescent="0.2">
      <c r="A41" s="101"/>
      <c r="B41" s="101"/>
      <c r="C41" s="386"/>
    </row>
    <row r="43" spans="1:8" x14ac:dyDescent="0.2">
      <c r="A43" s="98" t="s">
        <v>8</v>
      </c>
      <c r="D43" s="98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61" customFormat="1" ht="17.100000000000001" customHeight="1" x14ac:dyDescent="0.2">
      <c r="A48" s="103" t="s">
        <v>4066</v>
      </c>
      <c r="B48" s="104"/>
      <c r="C48" s="104"/>
      <c r="D48" s="103" t="s">
        <v>50</v>
      </c>
      <c r="F48" s="61" t="s">
        <v>3</v>
      </c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1-000000000000}">
  <sheetPr codeName="Sheet490">
    <pageSetUpPr fitToPage="1"/>
  </sheetPr>
  <dimension ref="A1:H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0.85546875" style="1" customWidth="1"/>
    <col min="4" max="4" width="18.7109375" style="1" customWidth="1"/>
    <col min="5" max="5" width="1.425781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91" t="s">
        <v>5694</v>
      </c>
    </row>
    <row r="10" spans="1:8" s="91" customFormat="1" x14ac:dyDescent="0.2">
      <c r="A10" s="91" t="s">
        <v>4773</v>
      </c>
      <c r="F10" s="92" t="s">
        <v>1706</v>
      </c>
      <c r="G10" s="92" t="s">
        <v>5692</v>
      </c>
    </row>
    <row r="11" spans="1:8" s="91" customFormat="1" x14ac:dyDescent="0.2">
      <c r="A11" s="91" t="s">
        <v>4774</v>
      </c>
      <c r="F11" s="92" t="s">
        <v>1707</v>
      </c>
      <c r="G11" s="92" t="s">
        <v>2625</v>
      </c>
    </row>
    <row r="12" spans="1:8" s="91" customFormat="1" x14ac:dyDescent="0.2">
      <c r="A12" s="91" t="s">
        <v>4775</v>
      </c>
      <c r="F12" s="92" t="s">
        <v>1355</v>
      </c>
      <c r="G12" s="92" t="s">
        <v>770</v>
      </c>
    </row>
    <row r="13" spans="1:8" s="91" customFormat="1" x14ac:dyDescent="0.2"/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9"/>
      <c r="C18" s="99"/>
      <c r="D18" s="2" t="s">
        <v>5695</v>
      </c>
      <c r="E18" s="2"/>
    </row>
    <row r="19" spans="1:8" s="91" customFormat="1" x14ac:dyDescent="0.2"/>
    <row r="20" spans="1:8" s="91" customFormat="1" x14ac:dyDescent="0.2">
      <c r="A20" s="93"/>
      <c r="B20" s="93"/>
      <c r="C20" s="93"/>
      <c r="D20" s="91" t="s">
        <v>5696</v>
      </c>
      <c r="H20" s="91">
        <f>5370.82*4.3113</f>
        <v>23155.216265999999</v>
      </c>
    </row>
    <row r="21" spans="1:8" s="91" customFormat="1" x14ac:dyDescent="0.2"/>
    <row r="22" spans="1:8" s="91" customFormat="1" x14ac:dyDescent="0.2">
      <c r="A22" s="93"/>
      <c r="B22" s="93"/>
      <c r="C22" s="93"/>
      <c r="D22" s="91" t="s">
        <v>52</v>
      </c>
      <c r="H22" s="91">
        <v>30</v>
      </c>
    </row>
    <row r="23" spans="1:8" s="91" customFormat="1" x14ac:dyDescent="0.2"/>
    <row r="24" spans="1:8" s="91" customFormat="1" x14ac:dyDescent="0.2">
      <c r="A24" s="93"/>
      <c r="B24" s="93"/>
      <c r="C24" s="93"/>
      <c r="D24" s="91" t="s">
        <v>2147</v>
      </c>
      <c r="H24" s="91">
        <f>H22*6%</f>
        <v>1.7999999999999998</v>
      </c>
    </row>
    <row r="25" spans="1:8" s="91" customFormat="1" x14ac:dyDescent="0.2"/>
    <row r="26" spans="1:8" s="91" customFormat="1" x14ac:dyDescent="0.2"/>
    <row r="27" spans="1:8" s="91" customFormat="1" x14ac:dyDescent="0.2">
      <c r="B27" s="94"/>
      <c r="C27" s="94"/>
    </row>
    <row r="28" spans="1:8" s="91" customFormat="1" x14ac:dyDescent="0.2">
      <c r="B28" s="94"/>
      <c r="C28" s="94"/>
    </row>
    <row r="29" spans="1:8" s="91" customFormat="1" x14ac:dyDescent="0.2">
      <c r="B29" s="94"/>
      <c r="C29" s="94"/>
    </row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ht="13.5" thickBot="1" x14ac:dyDescent="0.25">
      <c r="H33" s="95">
        <f>SUM(H18:H31)</f>
        <v>23187.016265999999</v>
      </c>
    </row>
    <row r="34" spans="1:8" s="91" customFormat="1" ht="13.5" thickTop="1" x14ac:dyDescent="0.2">
      <c r="H34" s="101"/>
    </row>
    <row r="35" spans="1:8" s="91" customFormat="1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Twenty-Three Thousand One Hundred Eighty-Seven and 2/100 -----------</v>
      </c>
      <c r="C35" s="185"/>
      <c r="D35" s="97"/>
      <c r="E35" s="97"/>
      <c r="F35" s="97"/>
      <c r="G35" s="97"/>
      <c r="H35" s="207"/>
    </row>
    <row r="36" spans="1:8" s="91" customFormat="1" x14ac:dyDescent="0.2">
      <c r="A36" s="94" t="s">
        <v>11</v>
      </c>
    </row>
    <row r="37" spans="1:8" s="91" customFormat="1" ht="25.5" x14ac:dyDescent="0.2">
      <c r="A37" s="91" t="s">
        <v>10</v>
      </c>
      <c r="F37" s="218" t="s">
        <v>3975</v>
      </c>
      <c r="G37" s="219"/>
      <c r="H37" s="220"/>
    </row>
    <row r="38" spans="1:8" s="91" customFormat="1" x14ac:dyDescent="0.2"/>
    <row r="39" spans="1:8" s="91" customFormat="1" x14ac:dyDescent="0.2">
      <c r="F39" s="227"/>
      <c r="G39" s="227"/>
      <c r="H39" s="227"/>
    </row>
    <row r="40" spans="1:8" s="91" customFormat="1" x14ac:dyDescent="0.2">
      <c r="F40" s="228"/>
      <c r="G40" s="229"/>
      <c r="H40" s="229"/>
    </row>
    <row r="41" spans="1:8" s="91" customFormat="1" x14ac:dyDescent="0.2">
      <c r="A41" s="101"/>
      <c r="B41" s="101"/>
    </row>
    <row r="42" spans="1:8" s="91" customFormat="1" x14ac:dyDescent="0.2"/>
    <row r="43" spans="1:8" s="91" customFormat="1" x14ac:dyDescent="0.2">
      <c r="A43" s="98" t="s">
        <v>8</v>
      </c>
      <c r="D43" s="98"/>
      <c r="F43" s="98" t="s">
        <v>7</v>
      </c>
      <c r="H43" s="102"/>
    </row>
    <row r="44" spans="1:8" s="91" customFormat="1" x14ac:dyDescent="0.2"/>
    <row r="45" spans="1:8" s="91" customFormat="1" x14ac:dyDescent="0.2"/>
    <row r="46" spans="1:8" s="91" customFormat="1" x14ac:dyDescent="0.2"/>
    <row r="47" spans="1:8" s="91" customFormat="1" x14ac:dyDescent="0.2">
      <c r="A47" s="101"/>
      <c r="B47" s="101"/>
      <c r="F47" s="101"/>
      <c r="G47" s="101"/>
      <c r="H47" s="101"/>
    </row>
    <row r="48" spans="1:8" s="61" customFormat="1" ht="17.100000000000001" customHeight="1" x14ac:dyDescent="0.2">
      <c r="A48" s="103" t="s">
        <v>4047</v>
      </c>
      <c r="B48" s="104"/>
      <c r="C48" s="104"/>
      <c r="D48" s="103"/>
      <c r="F48" s="61" t="s">
        <v>3</v>
      </c>
    </row>
    <row r="49" spans="6:6" s="91" customFormat="1" x14ac:dyDescent="0.2">
      <c r="F49" s="91" t="s">
        <v>2</v>
      </c>
    </row>
    <row r="50" spans="6:6" s="91" customFormat="1" x14ac:dyDescent="0.2"/>
    <row r="51" spans="6:6" s="91" customFormat="1" x14ac:dyDescent="0.2">
      <c r="F51" s="2" t="s">
        <v>1</v>
      </c>
    </row>
    <row r="52" spans="6:6" s="91" customFormat="1" x14ac:dyDescent="0.2">
      <c r="F52" s="2" t="s">
        <v>0</v>
      </c>
    </row>
    <row r="53" spans="6:6" s="91" customFormat="1" x14ac:dyDescent="0.2"/>
    <row r="54" spans="6:6" s="91" customFormat="1" x14ac:dyDescent="0.2"/>
    <row r="55" spans="6:6" s="91" customFormat="1" x14ac:dyDescent="0.2"/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1-000000000000}">
  <sheetPr codeName="Sheet584">
    <pageSetUpPr fitToPage="1"/>
  </sheetPr>
  <dimension ref="A1:I56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.1406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6690</v>
      </c>
      <c r="H9" s="91"/>
    </row>
    <row r="10" spans="1:8" x14ac:dyDescent="0.2">
      <c r="A10" s="91" t="s">
        <v>5715</v>
      </c>
      <c r="B10" s="91"/>
      <c r="C10" s="91"/>
      <c r="D10" s="91"/>
      <c r="E10" s="91"/>
      <c r="F10" s="92" t="s">
        <v>1357</v>
      </c>
      <c r="G10" s="92" t="s">
        <v>6685</v>
      </c>
      <c r="H10" s="91"/>
    </row>
    <row r="11" spans="1:8" x14ac:dyDescent="0.2">
      <c r="A11" s="91" t="s">
        <v>5716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5717</v>
      </c>
      <c r="B12" s="91"/>
      <c r="C12" s="91"/>
      <c r="D12" s="91"/>
      <c r="E12" s="91"/>
      <c r="F12" s="92" t="s">
        <v>1377</v>
      </c>
      <c r="G12" s="92" t="s">
        <v>6691</v>
      </c>
      <c r="H12" s="91"/>
    </row>
    <row r="13" spans="1:8" x14ac:dyDescent="0.2">
      <c r="A13" s="91" t="s">
        <v>5718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 t="s">
        <v>5719</v>
      </c>
      <c r="B14" s="91"/>
      <c r="C14" s="91"/>
      <c r="D14" s="91"/>
      <c r="E14" s="91"/>
      <c r="F14" s="91"/>
      <c r="G14" s="91"/>
      <c r="H14" s="91"/>
    </row>
    <row r="15" spans="1:8" x14ac:dyDescent="0.2">
      <c r="A15" s="91" t="s">
        <v>5720</v>
      </c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9" x14ac:dyDescent="0.2">
      <c r="A17" s="91"/>
      <c r="B17" s="91"/>
      <c r="C17" s="91"/>
      <c r="D17" s="91"/>
      <c r="E17" s="91"/>
      <c r="F17" s="91"/>
      <c r="G17" s="91"/>
      <c r="H17" s="91"/>
    </row>
    <row r="18" spans="1:9" x14ac:dyDescent="0.2">
      <c r="A18" s="91"/>
      <c r="B18" s="91"/>
      <c r="C18" s="91"/>
      <c r="D18" s="2" t="s">
        <v>6681</v>
      </c>
      <c r="E18" s="2"/>
      <c r="F18" s="91"/>
      <c r="G18" s="91"/>
      <c r="H18" s="91"/>
    </row>
    <row r="19" spans="1:9" x14ac:dyDescent="0.2">
      <c r="I19" s="91"/>
    </row>
    <row r="20" spans="1:9" x14ac:dyDescent="0.2">
      <c r="A20" s="93" t="s">
        <v>6636</v>
      </c>
      <c r="B20" s="93" t="s">
        <v>6692</v>
      </c>
      <c r="C20" s="93"/>
      <c r="D20" s="91" t="s">
        <v>6694</v>
      </c>
      <c r="E20" s="91"/>
      <c r="F20" s="91"/>
      <c r="G20" s="91"/>
      <c r="H20" s="91">
        <v>1387</v>
      </c>
      <c r="I20" s="91"/>
    </row>
    <row r="21" spans="1:9" x14ac:dyDescent="0.2">
      <c r="A21" s="93"/>
      <c r="B21" s="93"/>
      <c r="C21" s="93"/>
      <c r="D21" s="91" t="s">
        <v>6693</v>
      </c>
      <c r="E21" s="91"/>
      <c r="F21" s="91"/>
      <c r="G21" s="91"/>
      <c r="H21" s="91">
        <v>2206</v>
      </c>
      <c r="I21" s="91"/>
    </row>
    <row r="22" spans="1:9" x14ac:dyDescent="0.2">
      <c r="A22" s="93"/>
      <c r="B22" s="94"/>
      <c r="C22" s="94"/>
      <c r="D22" s="2"/>
      <c r="E22" s="2"/>
      <c r="F22" s="91"/>
      <c r="G22" s="91"/>
      <c r="H22" s="91"/>
      <c r="I22" s="91"/>
    </row>
    <row r="23" spans="1:9" x14ac:dyDescent="0.2">
      <c r="A23" s="93"/>
      <c r="B23" s="93"/>
      <c r="C23" s="93"/>
      <c r="D23" s="91"/>
      <c r="E23" s="91"/>
      <c r="F23" s="91"/>
      <c r="G23" s="91"/>
      <c r="H23" s="91"/>
      <c r="I23" s="91"/>
    </row>
    <row r="24" spans="1:9" x14ac:dyDescent="0.2">
      <c r="A24" s="93"/>
      <c r="B24" s="93"/>
      <c r="C24" s="93"/>
      <c r="D24" s="91"/>
      <c r="E24" s="91"/>
      <c r="F24" s="91"/>
      <c r="G24" s="91"/>
      <c r="H24" s="91"/>
      <c r="I24" s="91"/>
    </row>
    <row r="25" spans="1:9" x14ac:dyDescent="0.2">
      <c r="A25" s="93"/>
      <c r="B25" s="94"/>
      <c r="C25" s="94"/>
      <c r="D25" s="91"/>
      <c r="E25" s="91"/>
      <c r="F25" s="91"/>
      <c r="G25" s="91"/>
      <c r="H25" s="91"/>
      <c r="I25" s="91"/>
    </row>
    <row r="26" spans="1:9" x14ac:dyDescent="0.2">
      <c r="A26" s="93"/>
      <c r="B26" s="94"/>
      <c r="C26" s="94"/>
      <c r="F26" s="91"/>
      <c r="G26" s="91"/>
      <c r="H26" s="91"/>
      <c r="I26" s="91"/>
    </row>
    <row r="27" spans="1:9" x14ac:dyDescent="0.2">
      <c r="A27" s="93"/>
      <c r="B27" s="94"/>
      <c r="C27" s="94"/>
      <c r="D27" s="91"/>
      <c r="E27" s="91"/>
      <c r="F27" s="91"/>
      <c r="G27" s="91"/>
      <c r="H27" s="91"/>
      <c r="I27" s="91"/>
    </row>
    <row r="28" spans="1:9" x14ac:dyDescent="0.2">
      <c r="A28" s="93"/>
      <c r="B28" s="94"/>
      <c r="C28" s="94"/>
      <c r="D28" s="91"/>
      <c r="E28" s="91"/>
      <c r="F28" s="91"/>
      <c r="G28" s="91"/>
      <c r="H28" s="91"/>
      <c r="I28" s="91"/>
    </row>
    <row r="29" spans="1:9" x14ac:dyDescent="0.2">
      <c r="A29" s="93"/>
      <c r="B29" s="94"/>
      <c r="C29" s="94"/>
      <c r="I29" s="91"/>
    </row>
    <row r="30" spans="1:9" x14ac:dyDescent="0.2">
      <c r="A30" s="93"/>
      <c r="B30" s="94"/>
      <c r="C30" s="94"/>
      <c r="I30" s="91"/>
    </row>
    <row r="31" spans="1:9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9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ht="13.5" thickBot="1" x14ac:dyDescent="0.25">
      <c r="A34" s="91"/>
      <c r="B34" s="91"/>
      <c r="C34" s="91"/>
      <c r="D34" s="91"/>
      <c r="E34" s="91"/>
      <c r="F34" s="91"/>
      <c r="G34" s="91"/>
      <c r="H34" s="107">
        <f>SUM(H20:H33)</f>
        <v>3593</v>
      </c>
      <c r="I34" s="91"/>
    </row>
    <row r="35" spans="1:9" ht="13.5" thickTop="1" x14ac:dyDescent="0.2">
      <c r="A35" s="91"/>
      <c r="B35" s="91"/>
      <c r="C35" s="91"/>
      <c r="D35" s="91"/>
      <c r="E35" s="91"/>
      <c r="F35" s="91"/>
      <c r="G35" s="91"/>
      <c r="I35" s="91"/>
    </row>
    <row r="36" spans="1:9" x14ac:dyDescent="0.2">
      <c r="A36" s="91"/>
      <c r="B36" s="91"/>
      <c r="C36" s="91"/>
      <c r="D36" s="91"/>
      <c r="E36" s="91"/>
    </row>
    <row r="37" spans="1:9" ht="20.100000000000001" customHeight="1" x14ac:dyDescent="0.2">
      <c r="A37" s="96" t="s">
        <v>122</v>
      </c>
      <c r="B37" s="185" t="str">
        <f>IF(OR(H34&gt;1000000,H34&lt;=0),"",IF(H34&lt;1000,"",IF(MOD(H34,1000000)&gt;=100000,INDEX(numbers,TRUNC(MOD(H34,1000000)/100000,0)+1)&amp;" Hundred","")&amp;IF(MOD(H34,100000)&gt;=20000," "&amp;INDEX(teb,TRUNC(MOD(H34,100000)/10000,0)+1)&amp;IF(MOD(MOD(H34,100000),10000)&gt;=1000,"-"&amp;INDEX(numbers,TRUNC(MOD(MOD(H34,100000),10000)/1000,0)+1),""),IF(MOD(H34,100000)&gt;=1000,"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"&amp;INDEX(teb,TRUNC(MOD(H34,100)/10,0)+1)&amp;IF(MOD(MOD(H34,100),10)&gt;=1,"-"&amp;INDEX(numbers,TRUNC(MOD(MOD(H34,100),10),0)+1),""),IF(MOD(H34,100)&gt;=1,"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Five Hundred Ninety-Three and NO/100 -----------</v>
      </c>
      <c r="C37" s="185"/>
      <c r="D37" s="97"/>
      <c r="E37" s="222"/>
      <c r="F37" s="222"/>
      <c r="G37" s="222"/>
      <c r="H37" s="222"/>
      <c r="I37" s="91"/>
    </row>
    <row r="38" spans="1:9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  <c r="I38" s="91"/>
    </row>
    <row r="39" spans="1:9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  <c r="I39" s="91"/>
    </row>
    <row r="40" spans="1:9" x14ac:dyDescent="0.2">
      <c r="A40" s="91"/>
      <c r="B40" s="91"/>
      <c r="C40" s="91"/>
      <c r="D40" s="91"/>
      <c r="E40" s="91"/>
      <c r="F40" s="228"/>
      <c r="G40" s="229"/>
      <c r="H40" s="229"/>
    </row>
    <row r="41" spans="1:9" x14ac:dyDescent="0.2">
      <c r="B41" s="91"/>
      <c r="C41" s="91"/>
      <c r="D41" s="99"/>
      <c r="E41" s="99"/>
      <c r="F41" s="91"/>
      <c r="G41" s="91"/>
      <c r="H41" s="91"/>
    </row>
    <row r="42" spans="1:9" x14ac:dyDescent="0.2">
      <c r="A42" s="91"/>
      <c r="B42" s="91"/>
      <c r="C42" s="91"/>
      <c r="D42" s="99"/>
      <c r="E42" s="99"/>
      <c r="F42" s="91"/>
      <c r="G42" s="91"/>
      <c r="H42" s="91"/>
    </row>
    <row r="43" spans="1:9" x14ac:dyDescent="0.2">
      <c r="A43" s="101"/>
      <c r="B43" s="101"/>
      <c r="C43" s="91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/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91"/>
      <c r="E49" s="91"/>
      <c r="F49" s="101"/>
      <c r="G49" s="101"/>
      <c r="H49" s="101"/>
    </row>
    <row r="50" spans="1:8" s="3" customFormat="1" ht="17.100000000000001" customHeight="1" x14ac:dyDescent="0.2">
      <c r="A50" s="209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1-000000000000}">
  <sheetPr codeName="Sheet433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7" style="1" customWidth="1"/>
    <col min="2" max="2" width="13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s="91" customFormat="1" x14ac:dyDescent="0.2">
      <c r="D9" s="92" t="s">
        <v>30</v>
      </c>
      <c r="E9" s="91" t="s">
        <v>4471</v>
      </c>
    </row>
    <row r="10" spans="1:6" s="91" customFormat="1" x14ac:dyDescent="0.2">
      <c r="A10" s="91" t="s">
        <v>4664</v>
      </c>
      <c r="D10" s="92" t="s">
        <v>27</v>
      </c>
      <c r="E10" s="98" t="s">
        <v>4646</v>
      </c>
    </row>
    <row r="11" spans="1:6" s="91" customFormat="1" x14ac:dyDescent="0.2">
      <c r="A11" s="91" t="s">
        <v>4665</v>
      </c>
      <c r="D11" s="92" t="s">
        <v>24</v>
      </c>
      <c r="E11" s="92" t="s">
        <v>1220</v>
      </c>
    </row>
    <row r="12" spans="1:6" s="91" customFormat="1" x14ac:dyDescent="0.2">
      <c r="A12" s="91" t="s">
        <v>4666</v>
      </c>
      <c r="D12" s="92" t="s">
        <v>22</v>
      </c>
      <c r="E12" s="92" t="s">
        <v>4663</v>
      </c>
    </row>
    <row r="13" spans="1:6" s="91" customFormat="1" x14ac:dyDescent="0.2">
      <c r="A13" s="91" t="s">
        <v>1973</v>
      </c>
    </row>
    <row r="14" spans="1:6" s="91" customFormat="1" x14ac:dyDescent="0.2">
      <c r="A14" s="91" t="s">
        <v>4667</v>
      </c>
    </row>
    <row r="15" spans="1:6" s="91" customFormat="1" x14ac:dyDescent="0.2"/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91" t="s">
        <v>4668</v>
      </c>
    </row>
    <row r="19" spans="1:6" s="91" customFormat="1" x14ac:dyDescent="0.2"/>
    <row r="20" spans="1:6" s="91" customFormat="1" x14ac:dyDescent="0.2">
      <c r="C20" s="91" t="s">
        <v>4669</v>
      </c>
      <c r="F20" s="91">
        <v>1000</v>
      </c>
    </row>
    <row r="21" spans="1:6" s="91" customFormat="1" x14ac:dyDescent="0.2"/>
    <row r="22" spans="1:6" s="91" customFormat="1" x14ac:dyDescent="0.2"/>
    <row r="23" spans="1:6" s="91" customFormat="1" x14ac:dyDescent="0.2"/>
    <row r="24" spans="1:6" s="91" customFormat="1" x14ac:dyDescent="0.2"/>
    <row r="25" spans="1:6" s="91" customFormat="1" x14ac:dyDescent="0.2"/>
    <row r="26" spans="1:6" s="91" customFormat="1" x14ac:dyDescent="0.2"/>
    <row r="27" spans="1:6" s="91" customFormat="1" x14ac:dyDescent="0.2"/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107">
        <f>SUM(F18:F31)</f>
        <v>1000</v>
      </c>
    </row>
    <row r="34" spans="1:6" s="91" customFormat="1" ht="13.5" thickTop="1" x14ac:dyDescent="0.2">
      <c r="F34" s="269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C40" s="99"/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4066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1-000000000000}">
  <sheetPr codeName="Sheet43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3.8554687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91"/>
      <c r="B9" s="153"/>
      <c r="C9" s="153"/>
      <c r="D9" s="155" t="s">
        <v>1517</v>
      </c>
      <c r="E9" s="91" t="s">
        <v>4590</v>
      </c>
      <c r="F9" s="153"/>
    </row>
    <row r="10" spans="1:6" x14ac:dyDescent="0.2">
      <c r="A10" s="153" t="s">
        <v>4591</v>
      </c>
      <c r="B10" s="153"/>
      <c r="C10" s="153"/>
      <c r="D10" s="155" t="s">
        <v>1357</v>
      </c>
      <c r="E10" s="98" t="s">
        <v>4552</v>
      </c>
      <c r="F10" s="153"/>
    </row>
    <row r="11" spans="1:6" x14ac:dyDescent="0.2">
      <c r="A11" s="153" t="s">
        <v>4592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2833</v>
      </c>
      <c r="B12" s="153"/>
      <c r="C12" s="153"/>
      <c r="D12" s="155" t="s">
        <v>1377</v>
      </c>
      <c r="E12" s="94" t="s">
        <v>770</v>
      </c>
      <c r="F12" s="153"/>
    </row>
    <row r="13" spans="1:6" x14ac:dyDescent="0.2">
      <c r="A13" s="153"/>
      <c r="B13" s="153"/>
      <c r="C13" s="153"/>
      <c r="D13" s="153"/>
      <c r="E13" s="153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68"/>
      <c r="B18" s="173"/>
      <c r="C18" s="245" t="s">
        <v>4554</v>
      </c>
      <c r="F18" s="153"/>
    </row>
    <row r="19" spans="1:6" x14ac:dyDescent="0.2">
      <c r="C19" s="175"/>
    </row>
    <row r="20" spans="1:6" x14ac:dyDescent="0.2">
      <c r="A20" s="168" t="s">
        <v>4593</v>
      </c>
      <c r="B20" s="265"/>
      <c r="C20" s="175" t="s">
        <v>4594</v>
      </c>
      <c r="D20" s="153"/>
      <c r="E20" s="153"/>
      <c r="F20" s="153">
        <f>600*2.9075</f>
        <v>1744.5000000000002</v>
      </c>
    </row>
    <row r="21" spans="1:6" x14ac:dyDescent="0.2">
      <c r="A21" s="168"/>
      <c r="B21" s="175"/>
      <c r="C21" s="153" t="s">
        <v>4595</v>
      </c>
      <c r="D21" s="153"/>
      <c r="E21" s="153"/>
      <c r="F21" s="153"/>
    </row>
    <row r="22" spans="1:6" x14ac:dyDescent="0.2">
      <c r="A22" s="168"/>
      <c r="B22" s="175"/>
      <c r="C22" s="163"/>
      <c r="D22" s="153"/>
      <c r="E22" s="153"/>
      <c r="F22" s="153"/>
    </row>
    <row r="23" spans="1:6" x14ac:dyDescent="0.2">
      <c r="A23" s="168"/>
      <c r="B23" s="175"/>
      <c r="C23" s="153" t="s">
        <v>3965</v>
      </c>
      <c r="D23" s="153"/>
      <c r="E23" s="153"/>
      <c r="F23" s="153">
        <v>20</v>
      </c>
    </row>
    <row r="24" spans="1:6" x14ac:dyDescent="0.2">
      <c r="A24" s="168"/>
      <c r="B24" s="266"/>
      <c r="C24" s="175"/>
      <c r="D24" s="153"/>
      <c r="E24" s="153"/>
      <c r="F24" s="153"/>
    </row>
    <row r="25" spans="1:6" x14ac:dyDescent="0.2">
      <c r="A25" s="168"/>
      <c r="B25" s="155"/>
      <c r="C25" s="153" t="s">
        <v>2147</v>
      </c>
      <c r="D25" s="153"/>
      <c r="E25" s="153"/>
      <c r="F25" s="153">
        <f>F23*6%</f>
        <v>1.2</v>
      </c>
    </row>
    <row r="26" spans="1:6" x14ac:dyDescent="0.2">
      <c r="A26" s="168"/>
      <c r="B26" s="155"/>
      <c r="C26" s="153"/>
      <c r="D26" s="153"/>
      <c r="E26" s="153"/>
      <c r="F26" s="153"/>
    </row>
    <row r="27" spans="1:6" x14ac:dyDescent="0.2">
      <c r="A27" s="168"/>
      <c r="B27" s="155"/>
      <c r="C27" s="153"/>
      <c r="D27" s="153"/>
      <c r="E27" s="153"/>
      <c r="F27" s="153"/>
    </row>
    <row r="28" spans="1:6" x14ac:dyDescent="0.2">
      <c r="A28" s="168"/>
      <c r="B28" s="155"/>
      <c r="C28" s="153"/>
      <c r="D28" s="153"/>
      <c r="E28" s="153"/>
      <c r="F28" s="153"/>
    </row>
    <row r="29" spans="1:6" x14ac:dyDescent="0.2">
      <c r="A29" s="168"/>
      <c r="B29" s="169"/>
      <c r="C29" s="163"/>
      <c r="D29" s="153"/>
      <c r="E29" s="153"/>
      <c r="F29" s="153"/>
    </row>
    <row r="30" spans="1:6" x14ac:dyDescent="0.2">
      <c r="A30" s="153"/>
      <c r="B30" s="169"/>
      <c r="C30" s="153"/>
      <c r="D30" s="153"/>
      <c r="E30" s="153"/>
      <c r="F30" s="153"/>
    </row>
    <row r="31" spans="1:6" x14ac:dyDescent="0.2">
      <c r="A31" s="168"/>
      <c r="B31" s="168"/>
      <c r="C31" s="153"/>
      <c r="D31" s="153"/>
      <c r="E31" s="153"/>
      <c r="F31" s="153"/>
    </row>
    <row r="32" spans="1:6" x14ac:dyDescent="0.2">
      <c r="A32" s="153"/>
      <c r="B32" s="153"/>
      <c r="C32" s="153"/>
      <c r="D32" s="153"/>
      <c r="E32" s="153"/>
      <c r="F32" s="153"/>
    </row>
    <row r="33" spans="1:6" ht="13.5" thickBot="1" x14ac:dyDescent="0.25">
      <c r="A33" s="153"/>
      <c r="B33" s="153"/>
      <c r="C33" s="153"/>
      <c r="D33" s="153"/>
      <c r="E33" s="153"/>
      <c r="F33" s="170">
        <f>SUM(F18:F32)</f>
        <v>1765.7000000000003</v>
      </c>
    </row>
    <row r="34" spans="1:6" ht="13.5" thickTop="1" x14ac:dyDescent="0.2">
      <c r="A34" s="153"/>
      <c r="B34" s="153"/>
      <c r="C34" s="153"/>
      <c r="D34" s="153"/>
      <c r="E34" s="153"/>
      <c r="F34" s="153"/>
    </row>
    <row r="35" spans="1:6" ht="20.100000000000001" customHeight="1" x14ac:dyDescent="0.2">
      <c r="A35" s="171" t="s">
        <v>122</v>
      </c>
      <c r="B35" s="213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Seven Hundred Sixty-Five and 70/100 -----------</v>
      </c>
      <c r="C35" s="172"/>
      <c r="D35" s="172"/>
      <c r="E35" s="172"/>
      <c r="F35" s="172"/>
    </row>
    <row r="36" spans="1:6" x14ac:dyDescent="0.2">
      <c r="A36" s="169" t="s">
        <v>11</v>
      </c>
      <c r="B36" s="153"/>
      <c r="C36" s="153"/>
      <c r="D36" s="153"/>
      <c r="E36" s="153"/>
      <c r="F36" s="153"/>
    </row>
    <row r="37" spans="1:6" x14ac:dyDescent="0.2">
      <c r="A37" s="153" t="s">
        <v>10</v>
      </c>
      <c r="B37" s="153"/>
      <c r="C37" s="153"/>
      <c r="D37" s="153"/>
      <c r="E37" s="153"/>
      <c r="F37" s="153"/>
    </row>
    <row r="38" spans="1:6" x14ac:dyDescent="0.2">
      <c r="A38" s="153"/>
      <c r="B38" s="153"/>
      <c r="C38" s="153"/>
      <c r="D38" s="153"/>
      <c r="E38" s="153"/>
      <c r="F38" s="153"/>
    </row>
    <row r="39" spans="1:6" ht="25.5" x14ac:dyDescent="0.2">
      <c r="A39" s="156"/>
      <c r="B39" s="153"/>
      <c r="C39" s="153"/>
      <c r="D39" s="242" t="s">
        <v>3975</v>
      </c>
      <c r="E39" s="243"/>
      <c r="F39" s="244"/>
    </row>
    <row r="40" spans="1:6" x14ac:dyDescent="0.2">
      <c r="A40" s="153"/>
      <c r="B40" s="153"/>
      <c r="C40" s="173"/>
      <c r="D40" s="153"/>
      <c r="E40" s="153"/>
      <c r="F40" s="153"/>
    </row>
    <row r="41" spans="1:6" x14ac:dyDescent="0.2">
      <c r="A41" s="174"/>
      <c r="B41" s="174"/>
      <c r="C41" s="153"/>
      <c r="D41" s="153"/>
      <c r="E41" s="153"/>
      <c r="F41" s="153"/>
    </row>
    <row r="42" spans="1:6" x14ac:dyDescent="0.2">
      <c r="B42" s="153"/>
      <c r="C42" s="153"/>
      <c r="D42" s="153"/>
      <c r="E42" s="153"/>
      <c r="F42" s="153"/>
    </row>
    <row r="43" spans="1:6" x14ac:dyDescent="0.2">
      <c r="A43" s="175" t="s">
        <v>8</v>
      </c>
      <c r="C43" s="153"/>
      <c r="D43" s="175" t="s">
        <v>7</v>
      </c>
      <c r="E43" s="153"/>
      <c r="F43" s="176"/>
    </row>
    <row r="44" spans="1:6" x14ac:dyDescent="0.2">
      <c r="A44" s="153"/>
      <c r="B44" s="153"/>
      <c r="C44" s="153"/>
      <c r="D44" s="153"/>
      <c r="E44" s="153"/>
      <c r="F44" s="153"/>
    </row>
    <row r="45" spans="1:6" x14ac:dyDescent="0.2">
      <c r="A45" s="153"/>
      <c r="B45" s="153"/>
      <c r="C45" s="153"/>
      <c r="D45" s="153"/>
      <c r="E45" s="153"/>
      <c r="F45" s="153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74"/>
      <c r="B47" s="174"/>
      <c r="C47" s="153"/>
      <c r="D47" s="174"/>
      <c r="E47" s="174"/>
      <c r="F47" s="174"/>
    </row>
    <row r="48" spans="1:6" s="178" customFormat="1" ht="17.100000000000001" customHeight="1" x14ac:dyDescent="0.2">
      <c r="A48" s="225" t="s">
        <v>4066</v>
      </c>
      <c r="B48" s="177"/>
      <c r="C48" s="156"/>
      <c r="D48" s="156" t="s">
        <v>3</v>
      </c>
      <c r="E48" s="156"/>
      <c r="F48" s="156"/>
    </row>
    <row r="49" spans="1:6" x14ac:dyDescent="0.2">
      <c r="A49" s="153"/>
      <c r="B49" s="153"/>
      <c r="C49" s="153"/>
      <c r="D49" s="153" t="s">
        <v>2</v>
      </c>
      <c r="E49" s="153"/>
      <c r="F49" s="153"/>
    </row>
    <row r="50" spans="1:6" x14ac:dyDescent="0.2">
      <c r="A50" s="225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1-000000000000}">
  <sheetPr codeName="Sheet435"/>
  <dimension ref="A1:F53"/>
  <sheetViews>
    <sheetView topLeftCell="A4"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3.140625" style="91" customWidth="1"/>
    <col min="3" max="3" width="17.140625" style="91" customWidth="1"/>
    <col min="4" max="4" width="16.42578125" style="91" customWidth="1"/>
    <col min="5" max="5" width="11.85546875" style="91" customWidth="1"/>
    <col min="6" max="6" width="13.42578125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61" t="s">
        <v>4330</v>
      </c>
    </row>
    <row r="10" spans="1:6" x14ac:dyDescent="0.2">
      <c r="A10" s="91" t="s">
        <v>4332</v>
      </c>
      <c r="E10" s="92" t="s">
        <v>1356</v>
      </c>
      <c r="F10" s="113" t="s">
        <v>4321</v>
      </c>
    </row>
    <row r="11" spans="1:6" x14ac:dyDescent="0.2">
      <c r="A11" s="91" t="s">
        <v>4333</v>
      </c>
      <c r="E11" s="92" t="s">
        <v>1364</v>
      </c>
      <c r="F11" s="113" t="s">
        <v>1220</v>
      </c>
    </row>
    <row r="12" spans="1:6" x14ac:dyDescent="0.2">
      <c r="A12" s="91" t="s">
        <v>4334</v>
      </c>
      <c r="E12" s="92" t="s">
        <v>1394</v>
      </c>
      <c r="F12" s="113" t="s">
        <v>4331</v>
      </c>
    </row>
    <row r="13" spans="1:6" x14ac:dyDescent="0.2">
      <c r="A13" s="91" t="s">
        <v>4335</v>
      </c>
      <c r="E13" s="92"/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8"/>
      <c r="E16" s="17"/>
      <c r="F16" s="15" t="s">
        <v>18</v>
      </c>
    </row>
    <row r="18" spans="1:6" x14ac:dyDescent="0.2">
      <c r="A18" s="93"/>
      <c r="B18" s="93"/>
      <c r="C18" s="2" t="s">
        <v>4298</v>
      </c>
      <c r="D18" s="2"/>
    </row>
    <row r="19" spans="1:6" x14ac:dyDescent="0.2">
      <c r="C19" s="2"/>
      <c r="D19" s="2"/>
    </row>
    <row r="20" spans="1:6" x14ac:dyDescent="0.2">
      <c r="A20" s="93">
        <v>42048</v>
      </c>
      <c r="B20" s="93"/>
      <c r="C20" s="91" t="s">
        <v>4336</v>
      </c>
      <c r="F20" s="91">
        <v>100</v>
      </c>
    </row>
    <row r="21" spans="1:6" x14ac:dyDescent="0.2">
      <c r="A21" s="93"/>
      <c r="B21" s="99"/>
      <c r="C21" s="91" t="s">
        <v>4337</v>
      </c>
    </row>
    <row r="22" spans="1:6" x14ac:dyDescent="0.2">
      <c r="A22" s="93"/>
      <c r="B22" s="93"/>
    </row>
    <row r="23" spans="1:6" x14ac:dyDescent="0.2">
      <c r="A23" s="93"/>
      <c r="B23" s="99"/>
    </row>
    <row r="24" spans="1:6" x14ac:dyDescent="0.2">
      <c r="A24" s="93"/>
      <c r="B24" s="93"/>
    </row>
    <row r="26" spans="1:6" x14ac:dyDescent="0.2">
      <c r="A26" s="93"/>
      <c r="B26" s="93"/>
    </row>
    <row r="27" spans="1:6" x14ac:dyDescent="0.2">
      <c r="B27" s="94"/>
      <c r="C27" s="2"/>
      <c r="D27" s="2"/>
    </row>
    <row r="28" spans="1:6" x14ac:dyDescent="0.2">
      <c r="B28" s="94"/>
      <c r="C28" s="2"/>
      <c r="D28" s="2"/>
    </row>
    <row r="29" spans="1:6" x14ac:dyDescent="0.2">
      <c r="B29" s="94"/>
    </row>
    <row r="30" spans="1:6" x14ac:dyDescent="0.2">
      <c r="A30" s="93"/>
      <c r="B30" s="93"/>
    </row>
    <row r="31" spans="1:6" x14ac:dyDescent="0.2">
      <c r="B31" s="94"/>
    </row>
    <row r="32" spans="1:6" x14ac:dyDescent="0.2">
      <c r="B32" s="94"/>
    </row>
    <row r="33" spans="1:6" x14ac:dyDescent="0.2">
      <c r="B33" s="94"/>
    </row>
    <row r="34" spans="1:6" ht="13.5" thickBot="1" x14ac:dyDescent="0.25">
      <c r="F34" s="107">
        <f>SUM(F18:F32)</f>
        <v>100</v>
      </c>
    </row>
    <row r="35" spans="1:6" ht="13.5" thickTop="1" x14ac:dyDescent="0.2"/>
    <row r="36" spans="1:6" ht="20.100000000000001" customHeight="1" x14ac:dyDescent="0.2">
      <c r="A36" s="96" t="s">
        <v>1465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Hundred and NO/100 -----------</v>
      </c>
      <c r="C36" s="97"/>
      <c r="D36" s="236"/>
      <c r="E36" s="232"/>
      <c r="F36" s="232"/>
    </row>
    <row r="37" spans="1:6" x14ac:dyDescent="0.2">
      <c r="A37" s="94" t="s">
        <v>11</v>
      </c>
    </row>
    <row r="38" spans="1:6" ht="25.5" x14ac:dyDescent="0.2">
      <c r="A38" s="6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2" spans="1:6" x14ac:dyDescent="0.2">
      <c r="A42" s="101"/>
      <c r="B42" s="101"/>
    </row>
    <row r="44" spans="1:6" x14ac:dyDescent="0.2">
      <c r="A44" s="98" t="s">
        <v>8</v>
      </c>
      <c r="E44" s="98" t="s">
        <v>7</v>
      </c>
      <c r="F44" s="102"/>
    </row>
    <row r="48" spans="1:6" x14ac:dyDescent="0.2">
      <c r="A48" s="101"/>
      <c r="B48" s="101"/>
      <c r="E48" s="101"/>
      <c r="F48" s="101"/>
    </row>
    <row r="49" spans="1:5" s="61" customFormat="1" ht="17.100000000000001" customHeight="1" x14ac:dyDescent="0.2">
      <c r="A49" s="91" t="s">
        <v>4066</v>
      </c>
      <c r="B49" s="104"/>
      <c r="E49" s="61" t="s">
        <v>3</v>
      </c>
    </row>
    <row r="50" spans="1:5" x14ac:dyDescent="0.2">
      <c r="E50" s="91" t="s">
        <v>2</v>
      </c>
    </row>
    <row r="52" spans="1:5" x14ac:dyDescent="0.2">
      <c r="E52" s="2" t="s">
        <v>1</v>
      </c>
    </row>
    <row r="53" spans="1:5" x14ac:dyDescent="0.2">
      <c r="E53" s="2" t="s">
        <v>0</v>
      </c>
    </row>
  </sheetData>
  <customSheetViews>
    <customSheetView guid="{6428A7A0-B31B-40C1-A13E-AD0DCC619E51}" topLeftCell="A4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1-000000000000}">
  <sheetPr codeName="Sheet43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6253</v>
      </c>
    </row>
    <row r="10" spans="1:6" x14ac:dyDescent="0.2">
      <c r="A10" s="91" t="s">
        <v>4628</v>
      </c>
      <c r="D10" s="92" t="s">
        <v>1329</v>
      </c>
      <c r="E10" s="92" t="s">
        <v>6250</v>
      </c>
    </row>
    <row r="11" spans="1:6" x14ac:dyDescent="0.2">
      <c r="A11" s="91" t="s">
        <v>4245</v>
      </c>
      <c r="D11" s="92" t="s">
        <v>1330</v>
      </c>
      <c r="E11" s="92" t="s">
        <v>1220</v>
      </c>
    </row>
    <row r="12" spans="1:6" x14ac:dyDescent="0.2">
      <c r="A12" s="91" t="s">
        <v>4246</v>
      </c>
      <c r="D12" s="92" t="s">
        <v>1331</v>
      </c>
      <c r="E12" s="92" t="s">
        <v>6254</v>
      </c>
    </row>
    <row r="13" spans="1:6" x14ac:dyDescent="0.2">
      <c r="A13" s="91" t="s">
        <v>4247</v>
      </c>
    </row>
    <row r="14" spans="1:6" x14ac:dyDescent="0.2">
      <c r="A14" s="91" t="s">
        <v>1487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5132</v>
      </c>
    </row>
    <row r="20" spans="1:6" x14ac:dyDescent="0.2">
      <c r="A20" s="93"/>
      <c r="B20" s="93"/>
      <c r="C20" s="91" t="s">
        <v>6255</v>
      </c>
      <c r="F20" s="91">
        <v>6800</v>
      </c>
    </row>
    <row r="21" spans="1:6" x14ac:dyDescent="0.2">
      <c r="A21" s="93"/>
      <c r="B21" s="93"/>
      <c r="C21" s="94" t="s">
        <v>4630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B25" s="99"/>
    </row>
    <row r="30" spans="1:6" x14ac:dyDescent="0.2">
      <c r="A30" s="1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SUM(F18:F31)</f>
        <v>6800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Thousand Eight Hundred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209" t="s">
        <v>4047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1-000000000000}">
  <sheetPr codeName="Sheet437"/>
  <dimension ref="A1:F53"/>
  <sheetViews>
    <sheetView zoomScaleNormal="100" workbookViewId="0">
      <selection activeCell="F34" sqref="F34"/>
    </sheetView>
  </sheetViews>
  <sheetFormatPr defaultRowHeight="12.75" x14ac:dyDescent="0.2"/>
  <cols>
    <col min="1" max="1" width="16.28515625" style="153" customWidth="1"/>
    <col min="2" max="2" width="15.28515625" style="153" customWidth="1"/>
    <col min="3" max="3" width="20.28515625" style="153" customWidth="1"/>
    <col min="4" max="4" width="16.42578125" style="153" customWidth="1"/>
    <col min="5" max="5" width="10.140625" style="153" customWidth="1"/>
    <col min="6" max="6" width="11.8554687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2224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1517</v>
      </c>
      <c r="E9" s="91" t="s">
        <v>4503</v>
      </c>
    </row>
    <row r="10" spans="1:6" x14ac:dyDescent="0.2">
      <c r="A10" s="153" t="s">
        <v>4130</v>
      </c>
      <c r="D10" s="155" t="s">
        <v>1357</v>
      </c>
      <c r="E10" s="98" t="s">
        <v>4486</v>
      </c>
    </row>
    <row r="11" spans="1:6" x14ac:dyDescent="0.2">
      <c r="A11" s="153" t="s">
        <v>4131</v>
      </c>
      <c r="D11" s="155" t="s">
        <v>1330</v>
      </c>
      <c r="E11" s="92" t="s">
        <v>1220</v>
      </c>
    </row>
    <row r="12" spans="1:6" x14ac:dyDescent="0.2">
      <c r="D12" s="155" t="s">
        <v>1377</v>
      </c>
      <c r="E12" s="94" t="s">
        <v>4504</v>
      </c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4315</v>
      </c>
    </row>
    <row r="20" spans="1:6" x14ac:dyDescent="0.2">
      <c r="A20" s="187" t="s">
        <v>4485</v>
      </c>
      <c r="B20" s="173" t="s">
        <v>4505</v>
      </c>
      <c r="C20" s="153" t="s">
        <v>4506</v>
      </c>
      <c r="F20" s="110">
        <v>50</v>
      </c>
    </row>
    <row r="21" spans="1:6" x14ac:dyDescent="0.2">
      <c r="A21" s="180"/>
    </row>
    <row r="22" spans="1:6" x14ac:dyDescent="0.2">
      <c r="A22" s="168" t="s">
        <v>4508</v>
      </c>
      <c r="B22" s="173" t="s">
        <v>4509</v>
      </c>
      <c r="C22" s="153" t="s">
        <v>4507</v>
      </c>
      <c r="F22" s="153">
        <v>50</v>
      </c>
    </row>
    <row r="23" spans="1:6" x14ac:dyDescent="0.2">
      <c r="A23" s="187"/>
      <c r="B23" s="173"/>
      <c r="F23" s="110"/>
    </row>
    <row r="24" spans="1:6" x14ac:dyDescent="0.2">
      <c r="A24" s="180"/>
      <c r="C24" s="153" t="s">
        <v>4510</v>
      </c>
      <c r="F24" s="153">
        <v>50</v>
      </c>
    </row>
    <row r="25" spans="1:6" x14ac:dyDescent="0.2">
      <c r="A25" s="180"/>
    </row>
    <row r="26" spans="1:6" x14ac:dyDescent="0.2">
      <c r="A26" s="180"/>
      <c r="C26" s="153" t="s">
        <v>4511</v>
      </c>
      <c r="F26" s="153">
        <v>50</v>
      </c>
    </row>
    <row r="27" spans="1:6" x14ac:dyDescent="0.2">
      <c r="A27" s="180"/>
    </row>
    <row r="28" spans="1:6" x14ac:dyDescent="0.2">
      <c r="A28" s="179"/>
    </row>
    <row r="30" spans="1:6" x14ac:dyDescent="0.2">
      <c r="A30" s="180"/>
      <c r="F30" s="110"/>
    </row>
    <row r="33" spans="1:6" x14ac:dyDescent="0.2">
      <c r="F33" s="152"/>
    </row>
    <row r="34" spans="1:6" ht="13.5" thickBot="1" x14ac:dyDescent="0.25">
      <c r="F34" s="182">
        <f>SUM(F18:F32)</f>
        <v>200</v>
      </c>
    </row>
    <row r="35" spans="1:6" ht="13.5" thickTop="1" x14ac:dyDescent="0.2"/>
    <row r="36" spans="1:6" ht="20.100000000000001" customHeight="1" x14ac:dyDescent="0.2">
      <c r="A36" s="171" t="s">
        <v>122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Hundred and NO/100 -----------</v>
      </c>
      <c r="C36" s="172"/>
      <c r="D36" s="236"/>
      <c r="E36" s="232"/>
      <c r="F36" s="232"/>
    </row>
    <row r="37" spans="1:6" x14ac:dyDescent="0.2">
      <c r="A37" s="169" t="s">
        <v>11</v>
      </c>
      <c r="F37" s="211"/>
    </row>
    <row r="38" spans="1:6" ht="25.5" x14ac:dyDescent="0.2">
      <c r="A38" s="169"/>
      <c r="D38" s="218" t="s">
        <v>3975</v>
      </c>
      <c r="E38" s="219"/>
      <c r="F38" s="220"/>
    </row>
    <row r="39" spans="1:6" x14ac:dyDescent="0.2">
      <c r="A39" s="153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2" spans="1:6" x14ac:dyDescent="0.2">
      <c r="A42" s="174"/>
      <c r="B42" s="174"/>
    </row>
    <row r="44" spans="1:6" x14ac:dyDescent="0.2">
      <c r="A44" s="175" t="s">
        <v>8</v>
      </c>
      <c r="D44" s="175" t="s">
        <v>7</v>
      </c>
      <c r="F44" s="176"/>
    </row>
    <row r="48" spans="1:6" x14ac:dyDescent="0.2">
      <c r="A48" s="174" t="s">
        <v>120</v>
      </c>
      <c r="B48" s="174"/>
      <c r="D48" s="174"/>
      <c r="E48" s="174"/>
      <c r="F48" s="174"/>
    </row>
    <row r="49" spans="1:6" s="178" customFormat="1" ht="17.100000000000001" customHeight="1" x14ac:dyDescent="0.2">
      <c r="A49" s="225" t="s">
        <v>4066</v>
      </c>
      <c r="B49" s="177"/>
      <c r="C49" s="156"/>
      <c r="D49" s="156" t="s">
        <v>3</v>
      </c>
      <c r="E49" s="156"/>
      <c r="F49" s="156"/>
    </row>
    <row r="50" spans="1:6" x14ac:dyDescent="0.2">
      <c r="D50" s="153" t="s">
        <v>2</v>
      </c>
    </row>
    <row r="52" spans="1:6" x14ac:dyDescent="0.2">
      <c r="D52" s="163" t="s">
        <v>1</v>
      </c>
    </row>
    <row r="53" spans="1:6" x14ac:dyDescent="0.2">
      <c r="D53" s="163" t="s">
        <v>0</v>
      </c>
    </row>
  </sheetData>
  <customSheetViews>
    <customSheetView guid="{6428A7A0-B31B-40C1-A13E-AD0DCC619E51}">
      <selection activeCell="E9" sqref="E9"/>
      <pageMargins left="0.74803149606299213" right="0.74803149606299213" top="0.98425196850393704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2"/>
  <headerFooter alignWithMargins="0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1-000000000000}">
  <sheetPr codeName="Sheet438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5.7109375" style="1" customWidth="1"/>
    <col min="2" max="2" width="15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3183</v>
      </c>
      <c r="E9" s="91" t="s">
        <v>4092</v>
      </c>
    </row>
    <row r="10" spans="1:6" s="91" customFormat="1" x14ac:dyDescent="0.2">
      <c r="A10" s="91" t="s">
        <v>4094</v>
      </c>
      <c r="D10" s="92" t="s">
        <v>3184</v>
      </c>
      <c r="E10" s="91" t="s">
        <v>4072</v>
      </c>
    </row>
    <row r="11" spans="1:6" s="91" customFormat="1" x14ac:dyDescent="0.2">
      <c r="A11" s="91" t="s">
        <v>4095</v>
      </c>
      <c r="D11" s="92" t="s">
        <v>3185</v>
      </c>
      <c r="E11" s="91" t="s">
        <v>1220</v>
      </c>
    </row>
    <row r="12" spans="1:6" s="91" customFormat="1" x14ac:dyDescent="0.2">
      <c r="A12" s="91" t="s">
        <v>4096</v>
      </c>
      <c r="D12" s="92" t="s">
        <v>3186</v>
      </c>
      <c r="E12" s="94" t="s">
        <v>4093</v>
      </c>
    </row>
    <row r="13" spans="1:6" s="91" customFormat="1" x14ac:dyDescent="0.2"/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C18" s="2" t="s">
        <v>3803</v>
      </c>
    </row>
    <row r="19" spans="1:6" s="91" customFormat="1" x14ac:dyDescent="0.2"/>
    <row r="20" spans="1:6" s="91" customFormat="1" x14ac:dyDescent="0.2">
      <c r="A20" s="93" t="s">
        <v>4097</v>
      </c>
      <c r="B20" s="99"/>
      <c r="C20" s="91" t="s">
        <v>4098</v>
      </c>
      <c r="F20" s="91">
        <v>150</v>
      </c>
    </row>
    <row r="21" spans="1:6" s="91" customFormat="1" x14ac:dyDescent="0.2"/>
    <row r="22" spans="1:6" s="91" customFormat="1" x14ac:dyDescent="0.2"/>
    <row r="23" spans="1:6" s="91" customFormat="1" x14ac:dyDescent="0.2"/>
    <row r="24" spans="1:6" s="91" customFormat="1" x14ac:dyDescent="0.2"/>
    <row r="25" spans="1:6" s="91" customFormat="1" x14ac:dyDescent="0.2"/>
    <row r="26" spans="1:6" s="91" customFormat="1" x14ac:dyDescent="0.2"/>
    <row r="27" spans="1:6" s="91" customFormat="1" x14ac:dyDescent="0.2"/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107">
        <f>SUM(F18:F31)</f>
        <v>150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Fifty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C40" s="99"/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  <row r="56" spans="4:4" s="91" customFormat="1" x14ac:dyDescent="0.2"/>
    <row r="57" spans="4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1-000000000000}">
  <sheetPr codeName="Sheet439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 t="s">
        <v>3995</v>
      </c>
      <c r="B9" s="91"/>
      <c r="C9" s="91"/>
      <c r="D9" s="92" t="s">
        <v>1517</v>
      </c>
      <c r="E9" s="91" t="s">
        <v>3994</v>
      </c>
      <c r="F9" s="91"/>
    </row>
    <row r="10" spans="1:6" x14ac:dyDescent="0.2">
      <c r="A10" s="91" t="s">
        <v>3993</v>
      </c>
      <c r="B10" s="91"/>
      <c r="C10" s="91"/>
      <c r="D10" s="92" t="s">
        <v>1357</v>
      </c>
      <c r="E10" s="92" t="s">
        <v>3981</v>
      </c>
      <c r="F10" s="91"/>
    </row>
    <row r="11" spans="1:6" x14ac:dyDescent="0.2">
      <c r="A11" s="91" t="s">
        <v>3992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3991</v>
      </c>
      <c r="B12" s="91"/>
      <c r="C12" s="91"/>
      <c r="D12" s="92" t="s">
        <v>1377</v>
      </c>
      <c r="E12" s="92"/>
      <c r="F12" s="91"/>
    </row>
    <row r="13" spans="1:6" x14ac:dyDescent="0.2">
      <c r="A13" s="91" t="s">
        <v>1561</v>
      </c>
      <c r="B13" s="91"/>
      <c r="C13" s="91"/>
      <c r="D13" s="91"/>
      <c r="E13" s="153"/>
      <c r="F13" s="91"/>
    </row>
    <row r="14" spans="1:6" x14ac:dyDescent="0.2">
      <c r="A14" s="91" t="s">
        <v>3990</v>
      </c>
      <c r="B14" s="91"/>
      <c r="C14" s="91"/>
      <c r="D14" s="91"/>
      <c r="E14" s="91"/>
      <c r="F14" s="91"/>
    </row>
    <row r="15" spans="1:6" x14ac:dyDescent="0.2">
      <c r="A15" s="91" t="s">
        <v>3989</v>
      </c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7" x14ac:dyDescent="0.2">
      <c r="A17" s="91"/>
      <c r="B17" s="91"/>
      <c r="C17" s="91"/>
      <c r="D17" s="91"/>
      <c r="E17" s="91"/>
      <c r="F17" s="91"/>
    </row>
    <row r="18" spans="1:7" x14ac:dyDescent="0.2">
      <c r="C18" s="146" t="s">
        <v>3988</v>
      </c>
    </row>
    <row r="19" spans="1:7" x14ac:dyDescent="0.2">
      <c r="A19" s="93"/>
      <c r="B19" s="93"/>
      <c r="C19" s="94"/>
      <c r="D19" s="91"/>
      <c r="E19" s="91"/>
      <c r="G19" s="91"/>
    </row>
    <row r="20" spans="1:7" x14ac:dyDescent="0.2">
      <c r="A20" s="93" t="s">
        <v>3934</v>
      </c>
      <c r="B20" s="93" t="s">
        <v>3987</v>
      </c>
      <c r="C20" s="94" t="s">
        <v>3986</v>
      </c>
      <c r="D20" s="91"/>
      <c r="E20" s="91"/>
      <c r="F20" s="91">
        <v>1210.5</v>
      </c>
      <c r="G20" s="91"/>
    </row>
    <row r="21" spans="1:7" x14ac:dyDescent="0.2">
      <c r="A21" s="93"/>
      <c r="B21" s="94"/>
      <c r="C21" s="91"/>
      <c r="G21" s="91"/>
    </row>
    <row r="22" spans="1:7" x14ac:dyDescent="0.2">
      <c r="A22" s="93"/>
      <c r="B22" s="94"/>
      <c r="C22" s="91" t="s">
        <v>3985</v>
      </c>
      <c r="D22" s="91"/>
      <c r="E22" s="91"/>
      <c r="F22" s="91">
        <v>6</v>
      </c>
      <c r="G22" s="91"/>
    </row>
    <row r="23" spans="1:7" x14ac:dyDescent="0.2">
      <c r="G23" s="91"/>
    </row>
    <row r="24" spans="1:7" x14ac:dyDescent="0.2">
      <c r="G24" s="91"/>
    </row>
    <row r="25" spans="1:7" x14ac:dyDescent="0.2">
      <c r="G25" s="91"/>
    </row>
    <row r="26" spans="1:7" x14ac:dyDescent="0.2">
      <c r="G26" s="91"/>
    </row>
    <row r="27" spans="1:7" x14ac:dyDescent="0.2">
      <c r="G27" s="91"/>
    </row>
    <row r="28" spans="1:7" x14ac:dyDescent="0.2">
      <c r="A28" s="93"/>
      <c r="B28" s="94"/>
      <c r="C28" s="91"/>
      <c r="D28" s="91"/>
      <c r="E28" s="91"/>
      <c r="F28" s="91"/>
      <c r="G28" s="91"/>
    </row>
    <row r="29" spans="1:7" x14ac:dyDescent="0.2">
      <c r="A29" s="93"/>
      <c r="B29" s="94"/>
      <c r="C29" s="91"/>
      <c r="D29" s="91"/>
      <c r="E29" s="91"/>
      <c r="F29" s="91"/>
      <c r="G29" s="91"/>
    </row>
    <row r="30" spans="1:7" x14ac:dyDescent="0.2">
      <c r="A30" s="93"/>
      <c r="B30" s="94"/>
      <c r="C30" s="91"/>
      <c r="D30" s="91"/>
      <c r="E30" s="91"/>
      <c r="F30" s="91"/>
      <c r="G30" s="91"/>
    </row>
    <row r="31" spans="1:7" x14ac:dyDescent="0.2">
      <c r="A31" s="93"/>
      <c r="B31" s="94"/>
      <c r="C31" s="91"/>
      <c r="D31" s="91"/>
      <c r="E31" s="91"/>
      <c r="F31" s="91"/>
      <c r="G31" s="91"/>
    </row>
    <row r="32" spans="1:7" x14ac:dyDescent="0.2">
      <c r="A32" s="91"/>
      <c r="B32" s="91"/>
      <c r="C32" s="91"/>
      <c r="D32" s="91"/>
      <c r="E32" s="91"/>
      <c r="G32" s="91"/>
    </row>
    <row r="33" spans="1:7" ht="13.5" thickBot="1" x14ac:dyDescent="0.25">
      <c r="A33" s="91"/>
      <c r="B33" s="91"/>
      <c r="C33" s="91"/>
      <c r="D33" s="91"/>
      <c r="E33" s="91"/>
      <c r="F33" s="107">
        <f>SUM(F19:F32)</f>
        <v>1216.5</v>
      </c>
      <c r="G33" s="91"/>
    </row>
    <row r="34" spans="1:7" ht="13.5" thickTop="1" x14ac:dyDescent="0.2">
      <c r="A34" s="91"/>
      <c r="B34" s="91"/>
      <c r="C34" s="91"/>
      <c r="D34" s="91"/>
      <c r="E34" s="91"/>
      <c r="F34" s="91"/>
      <c r="G34" s="91"/>
    </row>
    <row r="35" spans="1:7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Two Hundred Sixteen and 50/100 -----------</v>
      </c>
      <c r="C35" s="97"/>
      <c r="D35" s="97"/>
      <c r="E35" s="97"/>
      <c r="F35" s="97"/>
      <c r="G35" s="91"/>
    </row>
    <row r="36" spans="1:7" x14ac:dyDescent="0.2">
      <c r="A36" s="94" t="s">
        <v>11</v>
      </c>
      <c r="B36" s="91"/>
      <c r="C36" s="91"/>
      <c r="D36" s="91"/>
      <c r="E36" s="91"/>
      <c r="F36" s="91"/>
    </row>
    <row r="37" spans="1:7" x14ac:dyDescent="0.2">
      <c r="A37" s="91" t="s">
        <v>10</v>
      </c>
      <c r="B37" s="91"/>
      <c r="C37" s="91"/>
      <c r="D37" s="91"/>
      <c r="E37" s="91"/>
      <c r="F37" s="91"/>
    </row>
    <row r="38" spans="1:7" x14ac:dyDescent="0.2">
      <c r="A38" s="91"/>
      <c r="B38" s="91"/>
      <c r="C38" s="91"/>
      <c r="D38" s="91"/>
      <c r="E38" s="91"/>
      <c r="F38" s="91"/>
    </row>
    <row r="39" spans="1:7" x14ac:dyDescent="0.2">
      <c r="A39" s="91"/>
      <c r="B39" s="91"/>
      <c r="C39" s="91"/>
      <c r="D39" s="91"/>
      <c r="E39" s="91"/>
      <c r="F39" s="91"/>
    </row>
    <row r="40" spans="1:7" x14ac:dyDescent="0.2">
      <c r="A40" s="91"/>
      <c r="B40" s="91"/>
      <c r="C40" s="99"/>
      <c r="D40" s="91"/>
      <c r="E40" s="91"/>
      <c r="F40" s="91"/>
    </row>
    <row r="41" spans="1:7" x14ac:dyDescent="0.2">
      <c r="A41" s="101"/>
      <c r="B41" s="101"/>
      <c r="C41" s="91"/>
      <c r="D41" s="91"/>
      <c r="E41" s="91"/>
      <c r="F41" s="91"/>
    </row>
    <row r="42" spans="1:7" x14ac:dyDescent="0.2">
      <c r="B42" s="91"/>
      <c r="C42" s="91"/>
      <c r="D42" s="91"/>
      <c r="E42" s="91"/>
      <c r="F42" s="91"/>
    </row>
    <row r="43" spans="1:7" x14ac:dyDescent="0.2">
      <c r="A43" s="98" t="s">
        <v>8</v>
      </c>
      <c r="C43" s="91"/>
      <c r="D43" s="98" t="s">
        <v>7</v>
      </c>
      <c r="E43" s="91"/>
      <c r="F43" s="102"/>
    </row>
    <row r="44" spans="1:7" x14ac:dyDescent="0.2">
      <c r="A44" s="91"/>
      <c r="B44" s="91"/>
      <c r="C44" s="91"/>
      <c r="D44" s="91"/>
      <c r="E44" s="91"/>
      <c r="F44" s="91"/>
    </row>
    <row r="45" spans="1:7" x14ac:dyDescent="0.2">
      <c r="A45" s="91"/>
      <c r="B45" s="91"/>
      <c r="C45" s="91"/>
      <c r="D45" s="91"/>
      <c r="E45" s="91"/>
      <c r="F45" s="91"/>
    </row>
    <row r="46" spans="1:7" x14ac:dyDescent="0.2">
      <c r="A46" s="91"/>
      <c r="B46" s="91"/>
      <c r="C46" s="91"/>
      <c r="D46" s="91"/>
      <c r="E46" s="91"/>
      <c r="F46" s="91"/>
    </row>
    <row r="47" spans="1:7" x14ac:dyDescent="0.2">
      <c r="A47" s="101"/>
      <c r="B47" s="101"/>
      <c r="C47" s="91"/>
      <c r="D47" s="101"/>
      <c r="E47" s="101"/>
      <c r="F47" s="101"/>
    </row>
    <row r="48" spans="1:7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1-000000000000}">
  <sheetPr codeName="Sheet235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2395</v>
      </c>
    </row>
    <row r="10" spans="1:6" x14ac:dyDescent="0.2">
      <c r="A10" s="91" t="s">
        <v>2397</v>
      </c>
      <c r="D10" s="92" t="s">
        <v>1357</v>
      </c>
      <c r="E10" s="92" t="s">
        <v>2388</v>
      </c>
    </row>
    <row r="11" spans="1:6" x14ac:dyDescent="0.2">
      <c r="A11" s="91" t="s">
        <v>2398</v>
      </c>
      <c r="D11" s="92" t="s">
        <v>1330</v>
      </c>
      <c r="E11" s="92" t="s">
        <v>1220</v>
      </c>
    </row>
    <row r="12" spans="1:6" x14ac:dyDescent="0.2">
      <c r="A12" s="91" t="s">
        <v>2399</v>
      </c>
      <c r="D12" s="92" t="s">
        <v>1224</v>
      </c>
      <c r="E12" s="92" t="s">
        <v>2396</v>
      </c>
    </row>
    <row r="13" spans="1:6" x14ac:dyDescent="0.2">
      <c r="A13" s="91" t="s">
        <v>2400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2401</v>
      </c>
    </row>
    <row r="19" spans="1:6" x14ac:dyDescent="0.2">
      <c r="C19" s="2"/>
    </row>
    <row r="20" spans="1:6" x14ac:dyDescent="0.2">
      <c r="A20" s="93" t="s">
        <v>2402</v>
      </c>
      <c r="B20" s="99" t="s">
        <v>2403</v>
      </c>
      <c r="C20" s="91" t="s">
        <v>2404</v>
      </c>
      <c r="F20" s="91">
        <v>1500</v>
      </c>
    </row>
    <row r="22" spans="1:6" x14ac:dyDescent="0.2">
      <c r="A22" s="136"/>
      <c r="B22" s="138"/>
    </row>
    <row r="23" spans="1:6" x14ac:dyDescent="0.2">
      <c r="A23" s="108"/>
      <c r="B23" s="138"/>
    </row>
    <row r="24" spans="1:6" x14ac:dyDescent="0.2">
      <c r="A24" s="108"/>
      <c r="B24" s="138"/>
    </row>
    <row r="25" spans="1:6" x14ac:dyDescent="0.2">
      <c r="A25" s="108"/>
      <c r="B25" s="138"/>
    </row>
    <row r="26" spans="1:6" x14ac:dyDescent="0.2">
      <c r="A26" s="136"/>
      <c r="B26" s="94"/>
    </row>
    <row r="27" spans="1:6" x14ac:dyDescent="0.2">
      <c r="A27" s="108"/>
    </row>
    <row r="31" spans="1:6" ht="13.5" thickBot="1" x14ac:dyDescent="0.25">
      <c r="F31" s="95">
        <f>SUM(F18:F30)</f>
        <v>1500</v>
      </c>
    </row>
    <row r="32" spans="1:6" ht="13.5" thickTop="1" x14ac:dyDescent="0.2"/>
    <row r="34" spans="1:6" ht="20.100000000000001" customHeight="1" thickBot="1" x14ac:dyDescent="0.25">
      <c r="A34" s="96" t="s">
        <v>336</v>
      </c>
      <c r="B34" s="96" t="s">
        <v>1877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80"/>
  <dimension ref="A1:G54"/>
  <sheetViews>
    <sheetView workbookViewId="0">
      <selection activeCell="A32" sqref="A32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5.85546875" style="91" customWidth="1"/>
    <col min="5" max="5" width="7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A9" s="91" t="s">
        <v>5677</v>
      </c>
      <c r="D9" s="92" t="s">
        <v>1334</v>
      </c>
      <c r="E9" s="91" t="s">
        <v>7446</v>
      </c>
      <c r="G9" s="61"/>
    </row>
    <row r="10" spans="1:7" x14ac:dyDescent="0.2">
      <c r="A10" s="91" t="s">
        <v>5678</v>
      </c>
      <c r="D10" s="92" t="s">
        <v>1335</v>
      </c>
      <c r="E10" s="98" t="s">
        <v>7448</v>
      </c>
      <c r="G10" s="113"/>
    </row>
    <row r="11" spans="1:7" x14ac:dyDescent="0.2">
      <c r="A11" s="91" t="s">
        <v>2645</v>
      </c>
      <c r="D11" s="92" t="s">
        <v>1333</v>
      </c>
      <c r="E11" s="92" t="s">
        <v>1220</v>
      </c>
      <c r="G11" s="113"/>
    </row>
    <row r="12" spans="1:7" x14ac:dyDescent="0.2">
      <c r="A12" s="91" t="s">
        <v>5679</v>
      </c>
      <c r="D12" s="92" t="s">
        <v>1331</v>
      </c>
      <c r="E12" s="92" t="s">
        <v>7447</v>
      </c>
      <c r="G12" s="113"/>
    </row>
    <row r="13" spans="1:7" x14ac:dyDescent="0.2">
      <c r="A13" s="91" t="s">
        <v>5680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5681</v>
      </c>
    </row>
    <row r="20" spans="1:6" x14ac:dyDescent="0.2">
      <c r="A20" s="111" t="s">
        <v>7398</v>
      </c>
      <c r="B20" s="111" t="s">
        <v>7449</v>
      </c>
      <c r="C20" s="91" t="s">
        <v>7450</v>
      </c>
      <c r="D20" s="1"/>
      <c r="E20" s="1"/>
      <c r="F20" s="110">
        <f>1142</f>
        <v>1142</v>
      </c>
    </row>
    <row r="21" spans="1:6" x14ac:dyDescent="0.2">
      <c r="A21" s="93"/>
      <c r="B21" s="99"/>
      <c r="C21" s="91" t="s">
        <v>7451</v>
      </c>
      <c r="F21" s="91">
        <v>1260</v>
      </c>
    </row>
    <row r="22" spans="1:6" x14ac:dyDescent="0.2">
      <c r="A22" s="111"/>
      <c r="B22" s="111"/>
      <c r="C22" s="91" t="s">
        <v>7452</v>
      </c>
      <c r="D22" s="1"/>
      <c r="E22" s="1"/>
      <c r="F22" s="110">
        <v>100</v>
      </c>
    </row>
    <row r="23" spans="1:6" x14ac:dyDescent="0.2">
      <c r="A23" s="93"/>
      <c r="B23" s="111"/>
      <c r="C23" s="91" t="s">
        <v>7453</v>
      </c>
      <c r="F23" s="91">
        <v>240</v>
      </c>
    </row>
    <row r="24" spans="1:6" x14ac:dyDescent="0.2">
      <c r="A24" s="93"/>
      <c r="B24" s="99"/>
    </row>
    <row r="25" spans="1:6" x14ac:dyDescent="0.2">
      <c r="A25" s="93"/>
      <c r="B25" s="99"/>
    </row>
    <row r="26" spans="1:6" x14ac:dyDescent="0.2">
      <c r="A26" s="93"/>
      <c r="B26" s="111"/>
    </row>
    <row r="28" spans="1:6" x14ac:dyDescent="0.2">
      <c r="A28" s="93"/>
      <c r="B28" s="99"/>
    </row>
    <row r="30" spans="1:6" x14ac:dyDescent="0.2">
      <c r="A30" s="93"/>
      <c r="B30" s="99"/>
    </row>
    <row r="32" spans="1:6" x14ac:dyDescent="0.2">
      <c r="A32" s="93"/>
      <c r="B32" s="99"/>
      <c r="F32" s="110"/>
    </row>
    <row r="34" spans="1:6" x14ac:dyDescent="0.2">
      <c r="A34" s="93"/>
      <c r="B34" s="111"/>
    </row>
    <row r="35" spans="1:6" ht="13.5" thickBot="1" x14ac:dyDescent="0.25">
      <c r="F35" s="95">
        <f>SUM(F18:F33)</f>
        <v>2742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Seven Hundred Forty-Two and NO/100 -----------</v>
      </c>
      <c r="C37" s="97"/>
      <c r="D37" s="97"/>
      <c r="E37" s="97"/>
      <c r="F37" s="9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2" spans="1:6" x14ac:dyDescent="0.2">
      <c r="D42" s="227"/>
      <c r="E42" s="227"/>
      <c r="F42" s="227"/>
    </row>
    <row r="43" spans="1:6" x14ac:dyDescent="0.2">
      <c r="A43" s="101"/>
      <c r="B43" s="101"/>
      <c r="D43" s="228"/>
      <c r="E43" s="229"/>
      <c r="F43" s="229"/>
    </row>
    <row r="44" spans="1:6" x14ac:dyDescent="0.2">
      <c r="A44" s="1"/>
      <c r="D44" s="98" t="s">
        <v>7</v>
      </c>
      <c r="F44" s="102"/>
    </row>
    <row r="45" spans="1:6" x14ac:dyDescent="0.2">
      <c r="A45" s="98" t="s">
        <v>8</v>
      </c>
      <c r="D45" s="98"/>
      <c r="F45" s="102"/>
    </row>
    <row r="49" spans="1:6" x14ac:dyDescent="0.2">
      <c r="A49" s="101" t="s">
        <v>120</v>
      </c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1-000000000000}">
  <sheetPr codeName="Sheet377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153" customWidth="1"/>
    <col min="2" max="2" width="14.42578125" style="153" customWidth="1"/>
    <col min="3" max="3" width="21" style="153" customWidth="1"/>
    <col min="4" max="4" width="16.42578125" style="153" customWidth="1"/>
    <col min="5" max="5" width="8.42578125" style="153" customWidth="1"/>
    <col min="6" max="6" width="13.2851562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3815</v>
      </c>
    </row>
    <row r="10" spans="1:6" x14ac:dyDescent="0.2">
      <c r="A10" s="153" t="s">
        <v>3816</v>
      </c>
      <c r="D10" s="155" t="s">
        <v>1329</v>
      </c>
      <c r="E10" s="155" t="s">
        <v>3808</v>
      </c>
    </row>
    <row r="11" spans="1:6" x14ac:dyDescent="0.2">
      <c r="A11" s="153" t="s">
        <v>3817</v>
      </c>
      <c r="D11" s="155" t="s">
        <v>1376</v>
      </c>
      <c r="E11" s="155" t="s">
        <v>1220</v>
      </c>
    </row>
    <row r="12" spans="1:6" x14ac:dyDescent="0.2">
      <c r="A12" s="153" t="s">
        <v>3818</v>
      </c>
      <c r="D12" s="155" t="s">
        <v>1316</v>
      </c>
      <c r="E12" s="155" t="s">
        <v>770</v>
      </c>
    </row>
    <row r="13" spans="1:6" x14ac:dyDescent="0.2">
      <c r="A13" s="153" t="s">
        <v>3819</v>
      </c>
    </row>
    <row r="14" spans="1:6" x14ac:dyDescent="0.2">
      <c r="A14" s="153" t="s">
        <v>3820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3821</v>
      </c>
    </row>
    <row r="19" spans="1:6" x14ac:dyDescent="0.2">
      <c r="A19" s="180"/>
    </row>
    <row r="20" spans="1:6" x14ac:dyDescent="0.2">
      <c r="A20" s="187" t="s">
        <v>3801</v>
      </c>
      <c r="B20" s="168" t="s">
        <v>3822</v>
      </c>
      <c r="C20" s="153" t="s">
        <v>3823</v>
      </c>
      <c r="F20" s="110">
        <f>17600*42.68/100</f>
        <v>7511.68</v>
      </c>
    </row>
    <row r="21" spans="1:6" x14ac:dyDescent="0.2">
      <c r="A21" s="187"/>
      <c r="B21" s="169"/>
      <c r="F21" s="110"/>
    </row>
    <row r="22" spans="1:6" x14ac:dyDescent="0.2">
      <c r="C22" s="153" t="s">
        <v>3824</v>
      </c>
      <c r="F22" s="110">
        <f>8800*42.68/100</f>
        <v>3755.84</v>
      </c>
    </row>
    <row r="23" spans="1:6" x14ac:dyDescent="0.2">
      <c r="A23" s="179"/>
      <c r="F23" s="110"/>
    </row>
    <row r="24" spans="1:6" x14ac:dyDescent="0.2">
      <c r="A24" s="179"/>
      <c r="B24" s="169"/>
      <c r="C24" s="153" t="s">
        <v>52</v>
      </c>
      <c r="F24" s="153">
        <v>30</v>
      </c>
    </row>
    <row r="25" spans="1:6" x14ac:dyDescent="0.2">
      <c r="A25" s="180"/>
      <c r="B25" s="169"/>
      <c r="C25" s="163"/>
      <c r="F25" s="110"/>
    </row>
    <row r="26" spans="1:6" x14ac:dyDescent="0.2">
      <c r="A26" s="180"/>
      <c r="B26" s="169"/>
      <c r="C26" s="167" t="s">
        <v>3825</v>
      </c>
      <c r="F26" s="110"/>
    </row>
    <row r="27" spans="1:6" x14ac:dyDescent="0.2">
      <c r="A27" s="180"/>
      <c r="B27" s="169"/>
      <c r="C27" s="163"/>
      <c r="F27" s="110"/>
    </row>
    <row r="28" spans="1:6" x14ac:dyDescent="0.2">
      <c r="A28" s="179"/>
      <c r="B28" s="169"/>
      <c r="F28" s="110"/>
    </row>
    <row r="29" spans="1:6" x14ac:dyDescent="0.2">
      <c r="A29" s="179"/>
    </row>
    <row r="30" spans="1:6" x14ac:dyDescent="0.2">
      <c r="A30" s="179"/>
    </row>
    <row r="35" spans="1:6" ht="13.5" thickBot="1" x14ac:dyDescent="0.25">
      <c r="F35" s="182">
        <f>SUM(F18:F33)</f>
        <v>11297.52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171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Eleven Thousand Two Hundred Ninety-Seven and 52/100 -----------</v>
      </c>
      <c r="C37" s="172"/>
      <c r="D37" s="221"/>
      <c r="E37" s="221"/>
      <c r="F37" s="156"/>
    </row>
    <row r="38" spans="1:6" ht="20.100000000000001" customHeight="1" x14ac:dyDescent="0.2">
      <c r="A38" s="197"/>
      <c r="B38" s="103"/>
      <c r="C38" s="156"/>
      <c r="D38" s="221"/>
      <c r="E38" s="221"/>
      <c r="F38" s="156"/>
    </row>
    <row r="39" spans="1:6" x14ac:dyDescent="0.2">
      <c r="A39" s="169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173"/>
    </row>
    <row r="42" spans="1:6" x14ac:dyDescent="0.2">
      <c r="A42" s="153" t="s">
        <v>121</v>
      </c>
      <c r="C42" s="173"/>
    </row>
    <row r="43" spans="1:6" x14ac:dyDescent="0.2">
      <c r="A43" s="174"/>
      <c r="B43" s="174"/>
    </row>
    <row r="45" spans="1:6" x14ac:dyDescent="0.2">
      <c r="A45" s="175" t="s">
        <v>8</v>
      </c>
      <c r="D45" s="175" t="s">
        <v>7</v>
      </c>
      <c r="F45" s="176"/>
    </row>
    <row r="47" spans="1:6" x14ac:dyDescent="0.2">
      <c r="A47" s="153" t="s">
        <v>3972</v>
      </c>
    </row>
    <row r="49" spans="1:6" x14ac:dyDescent="0.2">
      <c r="A49" s="174" t="s">
        <v>4066</v>
      </c>
      <c r="B49" s="174"/>
      <c r="D49" s="174"/>
      <c r="E49" s="174"/>
      <c r="F49" s="174"/>
    </row>
    <row r="50" spans="1:6" s="156" customFormat="1" ht="17.100000000000001" customHeight="1" x14ac:dyDescent="0.2">
      <c r="A50" s="177" t="s">
        <v>35</v>
      </c>
      <c r="B50" s="177"/>
      <c r="D50" s="156" t="s">
        <v>3</v>
      </c>
    </row>
    <row r="51" spans="1:6" x14ac:dyDescent="0.2">
      <c r="D51" s="153" t="s">
        <v>2</v>
      </c>
    </row>
    <row r="53" spans="1:6" x14ac:dyDescent="0.2">
      <c r="D53" s="163" t="s">
        <v>1</v>
      </c>
    </row>
    <row r="54" spans="1:6" x14ac:dyDescent="0.2">
      <c r="D54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1-000000000000}">
  <sheetPr codeName="Sheet343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1" t="s">
        <v>3367</v>
      </c>
    </row>
    <row r="10" spans="1:6" x14ac:dyDescent="0.2">
      <c r="A10" s="91" t="s">
        <v>3259</v>
      </c>
      <c r="D10" s="92" t="s">
        <v>1356</v>
      </c>
      <c r="E10" s="98" t="s">
        <v>3362</v>
      </c>
    </row>
    <row r="11" spans="1:6" x14ac:dyDescent="0.2">
      <c r="D11" s="92" t="s">
        <v>1364</v>
      </c>
      <c r="E11" s="92" t="s">
        <v>1220</v>
      </c>
    </row>
    <row r="12" spans="1:6" x14ac:dyDescent="0.2">
      <c r="D12" s="92" t="s">
        <v>1224</v>
      </c>
      <c r="E12" s="94" t="s">
        <v>3368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C18" s="2" t="s">
        <v>3369</v>
      </c>
      <c r="G18" s="193"/>
    </row>
    <row r="20" spans="1:7" x14ac:dyDescent="0.2">
      <c r="A20" s="93" t="s">
        <v>3341</v>
      </c>
      <c r="B20" s="93" t="s">
        <v>3370</v>
      </c>
      <c r="C20" s="94" t="s">
        <v>3371</v>
      </c>
      <c r="F20" s="91">
        <v>90</v>
      </c>
    </row>
    <row r="22" spans="1:7" x14ac:dyDescent="0.2">
      <c r="C22" s="2"/>
    </row>
    <row r="24" spans="1:7" x14ac:dyDescent="0.2">
      <c r="A24" s="93"/>
      <c r="B24" s="93"/>
    </row>
    <row r="26" spans="1:7" x14ac:dyDescent="0.2">
      <c r="B26" s="94"/>
    </row>
    <row r="28" spans="1:7" x14ac:dyDescent="0.2">
      <c r="A28" s="93"/>
      <c r="B28" s="93"/>
      <c r="C28" s="94"/>
    </row>
    <row r="32" spans="1:7" ht="13.5" thickBot="1" x14ac:dyDescent="0.25">
      <c r="F32" s="107">
        <f>SUM(F18:F31)</f>
        <v>90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185" t="s">
        <v>2813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1-000000000000}">
  <sheetPr codeName="Sheet313">
    <pageSetUpPr fitToPage="1"/>
  </sheetPr>
  <dimension ref="A1:N54"/>
  <sheetViews>
    <sheetView view="pageBreakPreview" zoomScaleNormal="100" zoomScaleSheetLayoutView="100" workbookViewId="0">
      <selection activeCell="G9" sqref="G9:G14"/>
    </sheetView>
  </sheetViews>
  <sheetFormatPr defaultRowHeight="12.75" x14ac:dyDescent="0.2"/>
  <cols>
    <col min="1" max="1" width="15.5703125" style="91" customWidth="1"/>
    <col min="2" max="2" width="14.140625" style="91" customWidth="1"/>
    <col min="3" max="3" width="1.85546875" style="91" customWidth="1"/>
    <col min="4" max="4" width="22.140625" style="91" customWidth="1"/>
    <col min="5" max="5" width="1.140625" style="91" customWidth="1"/>
    <col min="6" max="6" width="12" style="91" customWidth="1"/>
    <col min="7" max="7" width="11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1393</v>
      </c>
      <c r="G9" s="91" t="s">
        <v>8694</v>
      </c>
    </row>
    <row r="10" spans="1:8" x14ac:dyDescent="0.2">
      <c r="A10" s="91" t="s">
        <v>3107</v>
      </c>
      <c r="F10" s="92" t="s">
        <v>1356</v>
      </c>
      <c r="G10" s="92" t="s">
        <v>8688</v>
      </c>
    </row>
    <row r="11" spans="1:8" x14ac:dyDescent="0.2">
      <c r="A11" s="91" t="s">
        <v>3108</v>
      </c>
      <c r="F11" s="92" t="s">
        <v>1364</v>
      </c>
      <c r="G11" s="92" t="s">
        <v>1220</v>
      </c>
    </row>
    <row r="12" spans="1:8" x14ac:dyDescent="0.2">
      <c r="A12" s="91" t="s">
        <v>1245</v>
      </c>
      <c r="F12" s="92" t="s">
        <v>1394</v>
      </c>
      <c r="G12" s="92" t="s">
        <v>8695</v>
      </c>
    </row>
    <row r="13" spans="1:8" x14ac:dyDescent="0.2">
      <c r="A13" s="91" t="s">
        <v>3109</v>
      </c>
      <c r="F13" s="92"/>
      <c r="G13" s="91" t="s">
        <v>7931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5"/>
      <c r="H16" s="205" t="s">
        <v>18</v>
      </c>
    </row>
    <row r="18" spans="1:14" x14ac:dyDescent="0.2">
      <c r="A18" s="93"/>
      <c r="B18" s="93"/>
      <c r="C18" s="93"/>
      <c r="D18" s="2" t="s">
        <v>8587</v>
      </c>
      <c r="E18" s="2"/>
    </row>
    <row r="19" spans="1:14" x14ac:dyDescent="0.2">
      <c r="A19" s="94"/>
      <c r="D19" s="2" t="s">
        <v>8588</v>
      </c>
      <c r="E19" s="2"/>
    </row>
    <row r="20" spans="1:14" x14ac:dyDescent="0.2">
      <c r="A20" s="93"/>
      <c r="B20" s="93"/>
      <c r="C20" s="93"/>
      <c r="D20" s="2"/>
      <c r="E20" s="2"/>
    </row>
    <row r="21" spans="1:14" x14ac:dyDescent="0.2">
      <c r="A21" s="93" t="s">
        <v>8696</v>
      </c>
      <c r="B21" s="93" t="s">
        <v>8697</v>
      </c>
      <c r="D21" s="91" t="s">
        <v>8698</v>
      </c>
      <c r="H21" s="91">
        <v>275</v>
      </c>
      <c r="J21" s="91" t="s">
        <v>8589</v>
      </c>
      <c r="N21" s="91">
        <f>400+1800+1800+400</f>
        <v>4400</v>
      </c>
    </row>
    <row r="22" spans="1:14" x14ac:dyDescent="0.2">
      <c r="A22" s="92"/>
      <c r="B22" s="93"/>
      <c r="C22" s="93"/>
      <c r="J22" s="91" t="s">
        <v>8590</v>
      </c>
      <c r="N22" s="91">
        <v>500</v>
      </c>
    </row>
    <row r="23" spans="1:14" x14ac:dyDescent="0.2">
      <c r="A23" s="93" t="s">
        <v>8699</v>
      </c>
      <c r="B23" s="93" t="s">
        <v>8700</v>
      </c>
      <c r="C23" s="93"/>
      <c r="D23" s="91" t="s">
        <v>8701</v>
      </c>
      <c r="H23" s="91">
        <v>585</v>
      </c>
      <c r="J23" s="91" t="s">
        <v>8591</v>
      </c>
      <c r="N23" s="91">
        <f>374+371+371</f>
        <v>1116</v>
      </c>
    </row>
    <row r="24" spans="1:14" x14ac:dyDescent="0.2">
      <c r="A24" s="93"/>
      <c r="B24" s="99"/>
      <c r="C24" s="99"/>
      <c r="D24" s="91" t="s">
        <v>8702</v>
      </c>
      <c r="J24" s="91" t="s">
        <v>8592</v>
      </c>
      <c r="N24" s="91">
        <v>750</v>
      </c>
    </row>
    <row r="26" spans="1:14" x14ac:dyDescent="0.2">
      <c r="A26" s="93"/>
      <c r="B26" s="99"/>
      <c r="C26" s="99"/>
    </row>
    <row r="27" spans="1:14" x14ac:dyDescent="0.2">
      <c r="B27" s="94"/>
      <c r="C27" s="94"/>
    </row>
    <row r="28" spans="1:14" x14ac:dyDescent="0.2">
      <c r="B28" s="94"/>
      <c r="C28" s="94"/>
    </row>
    <row r="29" spans="1:14" x14ac:dyDescent="0.2">
      <c r="B29" s="94"/>
      <c r="C29" s="94"/>
    </row>
    <row r="30" spans="1:14" x14ac:dyDescent="0.2">
      <c r="B30" s="94"/>
      <c r="C30" s="94"/>
    </row>
    <row r="31" spans="1:14" x14ac:dyDescent="0.2">
      <c r="A31" s="93"/>
      <c r="B31" s="99"/>
      <c r="C31" s="99"/>
    </row>
    <row r="32" spans="1:14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5" spans="1:8" ht="13.5" thickBot="1" x14ac:dyDescent="0.25">
      <c r="H35" s="107">
        <f>SUM(H18:H33)</f>
        <v>860</v>
      </c>
    </row>
    <row r="36" spans="1:8" ht="13.5" thickTop="1" x14ac:dyDescent="0.2"/>
    <row r="37" spans="1:8" ht="20.100000000000001" customHeight="1" x14ac:dyDescent="0.2">
      <c r="A37" s="96" t="s">
        <v>1465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Hundred Sixty and NO/100 -----------</v>
      </c>
      <c r="C37" s="185"/>
      <c r="D37" s="97"/>
      <c r="E37" s="97"/>
      <c r="F37" s="97"/>
      <c r="G37" s="97"/>
      <c r="H37" s="206"/>
    </row>
    <row r="38" spans="1:8" x14ac:dyDescent="0.2">
      <c r="A38" s="94" t="s">
        <v>11</v>
      </c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D42" s="99"/>
      <c r="E42" s="99"/>
      <c r="F42" s="228"/>
      <c r="G42" s="229"/>
      <c r="H42" s="22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G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 topLeftCell="A16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2"/>
  <headerFooter alignWithMargins="0"/>
</worksheet>
</file>

<file path=xl/worksheets/sheet4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1-000000000000}">
  <sheetPr codeName="Sheet260"/>
  <dimension ref="A1:Q58"/>
  <sheetViews>
    <sheetView view="pageBreakPreview" zoomScaleNormal="100" zoomScaleSheetLayoutView="100" workbookViewId="0">
      <selection activeCell="G9" sqref="G9:G12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2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2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2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2" x14ac:dyDescent="0.2">
      <c r="A8" s="91" t="s">
        <v>32</v>
      </c>
      <c r="F8" s="22" t="s">
        <v>31</v>
      </c>
    </row>
    <row r="9" spans="1:12" x14ac:dyDescent="0.2">
      <c r="F9" s="92" t="s">
        <v>1317</v>
      </c>
      <c r="G9" s="91" t="s">
        <v>7629</v>
      </c>
      <c r="L9" s="371"/>
    </row>
    <row r="10" spans="1:12" x14ac:dyDescent="0.2">
      <c r="A10" s="91" t="s">
        <v>2656</v>
      </c>
      <c r="F10" s="92" t="s">
        <v>1329</v>
      </c>
      <c r="G10" s="92" t="s">
        <v>7615</v>
      </c>
    </row>
    <row r="11" spans="1:12" x14ac:dyDescent="0.2">
      <c r="A11" s="91" t="s">
        <v>2659</v>
      </c>
      <c r="F11" s="92" t="s">
        <v>1330</v>
      </c>
      <c r="G11" s="92" t="s">
        <v>1220</v>
      </c>
    </row>
    <row r="12" spans="1:12" x14ac:dyDescent="0.2">
      <c r="A12" s="91" t="s">
        <v>2657</v>
      </c>
      <c r="F12" s="92" t="s">
        <v>1224</v>
      </c>
      <c r="G12" s="92" t="s">
        <v>7642</v>
      </c>
    </row>
    <row r="13" spans="1:12" x14ac:dyDescent="0.2">
      <c r="A13" s="91" t="s">
        <v>1284</v>
      </c>
    </row>
    <row r="14" spans="1:12" x14ac:dyDescent="0.2">
      <c r="A14" s="91" t="s">
        <v>2658</v>
      </c>
    </row>
    <row r="16" spans="1:12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7" x14ac:dyDescent="0.2">
      <c r="A17" s="112"/>
    </row>
    <row r="18" spans="1:17" x14ac:dyDescent="0.2">
      <c r="A18" s="94" t="s">
        <v>11</v>
      </c>
      <c r="D18" s="2" t="s">
        <v>7630</v>
      </c>
      <c r="E18" s="2"/>
    </row>
    <row r="19" spans="1:17" x14ac:dyDescent="0.2">
      <c r="A19" s="99"/>
      <c r="B19" s="99"/>
      <c r="D19" s="2"/>
      <c r="E19" s="2"/>
    </row>
    <row r="20" spans="1:17" x14ac:dyDescent="0.2">
      <c r="A20" s="134" t="s">
        <v>7631</v>
      </c>
      <c r="B20" s="93" t="s">
        <v>7632</v>
      </c>
      <c r="C20" s="93"/>
      <c r="D20" s="91" t="s">
        <v>7633</v>
      </c>
      <c r="H20" s="91">
        <f>1550+70</f>
        <v>1620</v>
      </c>
      <c r="J20" s="93" t="s">
        <v>7274</v>
      </c>
      <c r="K20" s="93" t="s">
        <v>7275</v>
      </c>
      <c r="L20" s="93"/>
      <c r="M20" s="91" t="s">
        <v>7276</v>
      </c>
      <c r="N20" s="91"/>
      <c r="O20" s="91"/>
      <c r="P20" s="91"/>
      <c r="Q20" s="91">
        <f>20566+73</f>
        <v>20639</v>
      </c>
    </row>
    <row r="21" spans="1:17" x14ac:dyDescent="0.2">
      <c r="A21" s="93"/>
      <c r="B21" s="93"/>
      <c r="C21" s="93"/>
      <c r="D21" s="91" t="s">
        <v>7634</v>
      </c>
      <c r="J21" s="93"/>
      <c r="K21" s="426"/>
      <c r="L21" s="426"/>
      <c r="M21" s="91" t="s">
        <v>7277</v>
      </c>
      <c r="N21" s="91"/>
      <c r="O21" s="91"/>
      <c r="P21" s="91"/>
      <c r="Q21" s="91"/>
    </row>
    <row r="22" spans="1:17" x14ac:dyDescent="0.2">
      <c r="A22" s="93"/>
      <c r="B22" s="99"/>
      <c r="D22" s="2"/>
      <c r="J22" s="93"/>
      <c r="K22" s="426"/>
      <c r="L22" s="91"/>
      <c r="M22" s="91" t="s">
        <v>7276</v>
      </c>
      <c r="N22" s="91"/>
      <c r="O22" s="91"/>
      <c r="P22" s="91"/>
      <c r="Q22" s="91">
        <f>1876</f>
        <v>1876</v>
      </c>
    </row>
    <row r="23" spans="1:17" x14ac:dyDescent="0.2">
      <c r="A23" s="93"/>
      <c r="B23" s="93"/>
      <c r="C23" s="93"/>
      <c r="D23" s="91" t="s">
        <v>7635</v>
      </c>
      <c r="H23" s="91">
        <f>823+35</f>
        <v>858</v>
      </c>
      <c r="J23" s="91"/>
      <c r="K23" s="91"/>
      <c r="L23" s="91"/>
      <c r="M23" s="91" t="s">
        <v>7278</v>
      </c>
      <c r="N23" s="91"/>
      <c r="O23" s="91"/>
      <c r="P23" s="91"/>
      <c r="Q23" s="91"/>
    </row>
    <row r="24" spans="1:17" x14ac:dyDescent="0.2">
      <c r="A24" s="93"/>
      <c r="B24" s="99"/>
      <c r="C24" s="99"/>
      <c r="D24" s="91" t="s">
        <v>7634</v>
      </c>
      <c r="J24" s="94"/>
      <c r="K24" s="91"/>
      <c r="L24" s="91"/>
      <c r="M24" s="91" t="s">
        <v>7279</v>
      </c>
      <c r="N24" s="91"/>
      <c r="O24" s="91"/>
      <c r="P24" s="91"/>
      <c r="Q24" s="91">
        <v>10535</v>
      </c>
    </row>
    <row r="25" spans="1:17" x14ac:dyDescent="0.2">
      <c r="A25" s="93"/>
      <c r="B25" s="99"/>
      <c r="J25" s="93"/>
      <c r="K25" s="426"/>
      <c r="L25" s="91"/>
      <c r="M25" s="91"/>
      <c r="N25" s="91"/>
      <c r="O25" s="91"/>
      <c r="P25" s="91"/>
      <c r="Q25" s="91"/>
    </row>
    <row r="26" spans="1:17" x14ac:dyDescent="0.2">
      <c r="D26" s="91" t="s">
        <v>7285</v>
      </c>
      <c r="H26" s="91">
        <f>823+35</f>
        <v>858</v>
      </c>
      <c r="J26" s="93" t="s">
        <v>7280</v>
      </c>
      <c r="K26" s="426" t="s">
        <v>7281</v>
      </c>
      <c r="L26" s="91"/>
      <c r="M26" s="91" t="s">
        <v>7283</v>
      </c>
      <c r="N26" s="91"/>
      <c r="O26" s="91"/>
      <c r="P26" s="91"/>
      <c r="Q26" s="91">
        <v>9835</v>
      </c>
    </row>
    <row r="27" spans="1:17" x14ac:dyDescent="0.2">
      <c r="A27" s="94"/>
      <c r="D27" s="91" t="s">
        <v>7634</v>
      </c>
      <c r="J27" s="93"/>
      <c r="K27" s="426"/>
      <c r="L27" s="91"/>
      <c r="M27" s="91" t="s">
        <v>7282</v>
      </c>
      <c r="N27" s="91"/>
      <c r="O27" s="91"/>
      <c r="P27" s="91"/>
      <c r="Q27" s="91">
        <f>4973+73</f>
        <v>5046</v>
      </c>
    </row>
    <row r="28" spans="1:17" x14ac:dyDescent="0.2">
      <c r="A28" s="93"/>
      <c r="B28" s="99"/>
      <c r="J28" s="93"/>
      <c r="K28" s="426"/>
      <c r="L28" s="91"/>
      <c r="M28" s="91" t="s">
        <v>7277</v>
      </c>
      <c r="N28" s="91"/>
      <c r="O28" s="91"/>
      <c r="P28" s="91"/>
      <c r="Q28" s="91"/>
    </row>
    <row r="29" spans="1:17" x14ac:dyDescent="0.2">
      <c r="A29" s="93"/>
      <c r="B29" s="99"/>
      <c r="D29" s="91" t="s">
        <v>7636</v>
      </c>
      <c r="H29" s="91">
        <f>3360+1900</f>
        <v>5260</v>
      </c>
      <c r="J29" s="93"/>
      <c r="K29" s="426"/>
      <c r="L29" s="91"/>
      <c r="M29" s="91"/>
      <c r="N29" s="91"/>
      <c r="O29" s="91"/>
      <c r="P29" s="91"/>
      <c r="Q29" s="91"/>
    </row>
    <row r="30" spans="1:17" x14ac:dyDescent="0.2">
      <c r="A30" s="93"/>
      <c r="B30" s="99"/>
      <c r="D30" s="91" t="s">
        <v>7637</v>
      </c>
      <c r="J30" s="93"/>
      <c r="K30" s="426"/>
      <c r="L30" s="91"/>
      <c r="M30" s="91" t="s">
        <v>7282</v>
      </c>
      <c r="N30" s="91"/>
      <c r="O30" s="91"/>
      <c r="P30" s="91"/>
      <c r="Q30" s="91">
        <v>536</v>
      </c>
    </row>
    <row r="31" spans="1:17" x14ac:dyDescent="0.2">
      <c r="A31" s="93"/>
      <c r="B31" s="99"/>
      <c r="J31" s="93"/>
      <c r="K31" s="426"/>
      <c r="L31" s="91"/>
      <c r="M31" s="91" t="s">
        <v>7278</v>
      </c>
      <c r="N31" s="91"/>
      <c r="O31" s="91"/>
      <c r="P31" s="91"/>
      <c r="Q31" s="91"/>
    </row>
    <row r="32" spans="1:17" x14ac:dyDescent="0.2">
      <c r="A32" s="93"/>
      <c r="B32" s="99"/>
      <c r="D32" s="91" t="s">
        <v>7638</v>
      </c>
      <c r="H32" s="91">
        <f>130+180+180</f>
        <v>490</v>
      </c>
      <c r="J32" s="93"/>
      <c r="K32" s="426"/>
      <c r="L32" s="91"/>
      <c r="M32" s="91"/>
      <c r="N32" s="91"/>
      <c r="O32" s="91"/>
      <c r="P32" s="91"/>
      <c r="Q32" s="91"/>
    </row>
    <row r="33" spans="1:17" x14ac:dyDescent="0.2">
      <c r="A33" s="93"/>
      <c r="B33" s="99"/>
      <c r="J33" s="93" t="s">
        <v>7280</v>
      </c>
      <c r="K33" s="93" t="s">
        <v>7284</v>
      </c>
      <c r="L33" s="91"/>
      <c r="M33" s="91" t="s">
        <v>7285</v>
      </c>
      <c r="N33" s="91"/>
      <c r="O33" s="91"/>
      <c r="P33" s="91"/>
      <c r="Q33" s="91">
        <f>6218+73</f>
        <v>6291</v>
      </c>
    </row>
    <row r="34" spans="1:17" x14ac:dyDescent="0.2">
      <c r="A34" s="93"/>
      <c r="B34" s="99"/>
      <c r="D34" s="91" t="s">
        <v>7639</v>
      </c>
      <c r="H34" s="91">
        <v>900</v>
      </c>
      <c r="J34" s="93"/>
      <c r="K34" s="426"/>
      <c r="L34" s="91"/>
      <c r="M34" s="91" t="s">
        <v>7286</v>
      </c>
      <c r="N34" s="91"/>
      <c r="O34" s="91"/>
      <c r="P34" s="91"/>
      <c r="Q34" s="91"/>
    </row>
    <row r="35" spans="1:17" x14ac:dyDescent="0.2">
      <c r="A35" s="93"/>
      <c r="B35" s="99"/>
      <c r="J35" s="91"/>
      <c r="K35" s="91"/>
      <c r="L35" s="91"/>
      <c r="M35" s="91"/>
      <c r="N35" s="2"/>
      <c r="O35" s="91"/>
      <c r="P35" s="91"/>
      <c r="Q35" s="91"/>
    </row>
    <row r="36" spans="1:17" x14ac:dyDescent="0.2">
      <c r="A36" s="93" t="s">
        <v>7594</v>
      </c>
      <c r="B36" s="93" t="s">
        <v>7640</v>
      </c>
      <c r="D36" s="91" t="s">
        <v>7641</v>
      </c>
      <c r="H36" s="91">
        <f>738+35</f>
        <v>773</v>
      </c>
      <c r="J36" s="91"/>
      <c r="K36" s="91"/>
      <c r="L36" s="91"/>
      <c r="M36" s="91" t="s">
        <v>7285</v>
      </c>
      <c r="N36" s="2"/>
      <c r="O36" s="91"/>
      <c r="P36" s="91"/>
      <c r="Q36" s="91">
        <v>884</v>
      </c>
    </row>
    <row r="37" spans="1:17" x14ac:dyDescent="0.2">
      <c r="A37" s="93"/>
      <c r="B37" s="99"/>
      <c r="D37" s="91" t="s">
        <v>7634</v>
      </c>
      <c r="M37" s="91" t="s">
        <v>7287</v>
      </c>
      <c r="Q37" s="91"/>
    </row>
    <row r="38" spans="1:17" x14ac:dyDescent="0.2">
      <c r="A38" s="112"/>
    </row>
    <row r="39" spans="1:17" ht="13.5" thickBot="1" x14ac:dyDescent="0.25">
      <c r="A39" s="112"/>
      <c r="H39" s="95">
        <f>SUM(H20:H38)</f>
        <v>10759</v>
      </c>
    </row>
    <row r="40" spans="1:17" ht="13.5" thickTop="1" x14ac:dyDescent="0.2">
      <c r="A40" s="112"/>
      <c r="H40" s="238"/>
    </row>
    <row r="41" spans="1:17" ht="20.100000000000001" customHeight="1" x14ac:dyDescent="0.2">
      <c r="A41" s="96" t="s">
        <v>1347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Ten Thousand Seven Hundred Fifty-Nine and NO/100 -----------</v>
      </c>
      <c r="C41" s="185"/>
      <c r="D41" s="97"/>
      <c r="E41" s="97"/>
      <c r="F41" s="97"/>
      <c r="G41" s="97"/>
      <c r="H41" s="97"/>
    </row>
    <row r="42" spans="1:17" x14ac:dyDescent="0.2">
      <c r="A42" s="94"/>
    </row>
    <row r="43" spans="1:17" ht="25.5" x14ac:dyDescent="0.2">
      <c r="A43" s="91" t="s">
        <v>10</v>
      </c>
      <c r="F43" s="218" t="s">
        <v>3975</v>
      </c>
      <c r="G43" s="219"/>
      <c r="H43" s="220"/>
    </row>
    <row r="45" spans="1:17" x14ac:dyDescent="0.2">
      <c r="F45" s="227"/>
      <c r="G45" s="227"/>
      <c r="H45" s="227"/>
    </row>
    <row r="46" spans="1:17" x14ac:dyDescent="0.2">
      <c r="A46" s="98" t="s">
        <v>121</v>
      </c>
      <c r="D46" s="99"/>
      <c r="E46" s="99"/>
      <c r="F46" s="228"/>
      <c r="G46" s="229"/>
      <c r="H46" s="229"/>
    </row>
    <row r="47" spans="1:17" x14ac:dyDescent="0.2">
      <c r="A47" s="23"/>
      <c r="B47" s="101"/>
    </row>
    <row r="48" spans="1:17" x14ac:dyDescent="0.2">
      <c r="A48" s="98"/>
    </row>
    <row r="49" spans="1:8" x14ac:dyDescent="0.2">
      <c r="A49" s="98" t="s">
        <v>8</v>
      </c>
      <c r="D49" s="98" t="s">
        <v>8</v>
      </c>
      <c r="F49" s="98" t="s">
        <v>7</v>
      </c>
      <c r="H49" s="102"/>
    </row>
    <row r="50" spans="1:8" x14ac:dyDescent="0.2">
      <c r="A50" s="98"/>
      <c r="D50" s="98"/>
    </row>
    <row r="51" spans="1:8" x14ac:dyDescent="0.2">
      <c r="A51" s="98"/>
      <c r="D51" s="98"/>
    </row>
    <row r="52" spans="1:8" x14ac:dyDescent="0.2">
      <c r="A52" s="98"/>
      <c r="D52" s="98"/>
    </row>
    <row r="53" spans="1:8" x14ac:dyDescent="0.2">
      <c r="A53" s="100"/>
      <c r="B53" s="101"/>
      <c r="D53" s="100"/>
      <c r="F53" s="101"/>
      <c r="G53" s="101"/>
      <c r="H53" s="101"/>
    </row>
    <row r="54" spans="1:8" s="3" customFormat="1" ht="17.100000000000001" customHeight="1" x14ac:dyDescent="0.2">
      <c r="A54" s="103" t="s">
        <v>4047</v>
      </c>
      <c r="B54" s="104"/>
      <c r="C54" s="104"/>
      <c r="D54" s="103" t="s">
        <v>50</v>
      </c>
      <c r="E54" s="61"/>
      <c r="F54" s="61" t="s">
        <v>3</v>
      </c>
      <c r="G54" s="61"/>
      <c r="H54" s="61"/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customSheetViews>
    <customSheetView guid="{6428A7A0-B31B-40C1-A13E-AD0DCC619E51}" showPageBreaks="1" view="pageBreakPreview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5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1-000000000000}">
  <sheetPr codeName="Sheet205"/>
  <dimension ref="A1:F50"/>
  <sheetViews>
    <sheetView workbookViewId="0">
      <selection activeCell="F34" sqref="F34"/>
    </sheetView>
  </sheetViews>
  <sheetFormatPr defaultRowHeight="12.75" x14ac:dyDescent="0.2"/>
  <cols>
    <col min="1" max="1" width="16.28515625" style="153" customWidth="1"/>
    <col min="2" max="2" width="15.28515625" style="153" customWidth="1"/>
    <col min="3" max="3" width="20.28515625" style="153" customWidth="1"/>
    <col min="4" max="4" width="16.42578125" style="153" customWidth="1"/>
    <col min="5" max="5" width="10.140625" style="153" customWidth="1"/>
    <col min="6" max="6" width="11.8554687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2224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1517</v>
      </c>
      <c r="E9" s="153" t="s">
        <v>2226</v>
      </c>
    </row>
    <row r="10" spans="1:6" x14ac:dyDescent="0.2">
      <c r="A10" s="153" t="s">
        <v>2227</v>
      </c>
      <c r="D10" s="155" t="s">
        <v>1357</v>
      </c>
      <c r="E10" s="155" t="s">
        <v>2225</v>
      </c>
    </row>
    <row r="11" spans="1:6" x14ac:dyDescent="0.2">
      <c r="A11" s="153" t="s">
        <v>2228</v>
      </c>
      <c r="D11" s="155" t="s">
        <v>1330</v>
      </c>
      <c r="E11" s="155" t="s">
        <v>1220</v>
      </c>
    </row>
    <row r="12" spans="1:6" x14ac:dyDescent="0.2">
      <c r="D12" s="155" t="s">
        <v>1377</v>
      </c>
      <c r="E12" s="155" t="s">
        <v>770</v>
      </c>
    </row>
    <row r="16" spans="1:6" s="162" customFormat="1" ht="20.100000000000001" customHeight="1" x14ac:dyDescent="0.2">
      <c r="A16" s="157" t="s">
        <v>20</v>
      </c>
      <c r="B16" s="157"/>
      <c r="C16" s="159" t="s">
        <v>19</v>
      </c>
      <c r="D16" s="157"/>
      <c r="E16" s="160"/>
      <c r="F16" s="161" t="s">
        <v>18</v>
      </c>
    </row>
    <row r="18" spans="1:6" x14ac:dyDescent="0.2">
      <c r="A18" s="179"/>
      <c r="C18" s="163" t="s">
        <v>2229</v>
      </c>
    </row>
    <row r="19" spans="1:6" x14ac:dyDescent="0.2">
      <c r="C19" s="163"/>
      <c r="F19" s="110"/>
    </row>
    <row r="20" spans="1:6" x14ac:dyDescent="0.2">
      <c r="A20" s="168" t="s">
        <v>2230</v>
      </c>
      <c r="B20" s="168" t="s">
        <v>2231</v>
      </c>
      <c r="C20" s="153" t="s">
        <v>2232</v>
      </c>
      <c r="F20" s="110">
        <f>8000*0.4214</f>
        <v>3371.2</v>
      </c>
    </row>
    <row r="21" spans="1:6" x14ac:dyDescent="0.2">
      <c r="A21" s="180"/>
      <c r="B21" s="181"/>
      <c r="F21" s="110"/>
    </row>
    <row r="22" spans="1:6" x14ac:dyDescent="0.2">
      <c r="C22" s="153" t="s">
        <v>2233</v>
      </c>
      <c r="F22" s="110">
        <f>2000*0.4214</f>
        <v>842.8</v>
      </c>
    </row>
    <row r="23" spans="1:6" x14ac:dyDescent="0.2">
      <c r="A23" s="180"/>
      <c r="B23" s="169"/>
      <c r="C23" s="153" t="s">
        <v>2234</v>
      </c>
      <c r="F23" s="110"/>
    </row>
    <row r="24" spans="1:6" x14ac:dyDescent="0.2">
      <c r="A24" s="180"/>
    </row>
    <row r="25" spans="1:6" x14ac:dyDescent="0.2">
      <c r="A25" s="179"/>
      <c r="C25" s="153" t="s">
        <v>2235</v>
      </c>
      <c r="F25" s="153">
        <f>1000*0.4214</f>
        <v>421.4</v>
      </c>
    </row>
    <row r="27" spans="1:6" x14ac:dyDescent="0.2">
      <c r="A27" s="180"/>
      <c r="C27" s="153" t="s">
        <v>52</v>
      </c>
      <c r="F27" s="110">
        <v>30</v>
      </c>
    </row>
    <row r="30" spans="1:6" ht="13.5" thickBot="1" x14ac:dyDescent="0.25">
      <c r="F30" s="182">
        <f>SUM(F18:F29)</f>
        <v>4665.3999999999996</v>
      </c>
    </row>
    <row r="31" spans="1:6" ht="13.5" thickTop="1" x14ac:dyDescent="0.2"/>
    <row r="33" spans="1:6" ht="20.100000000000001" customHeight="1" x14ac:dyDescent="0.2">
      <c r="A33" s="171" t="s">
        <v>122</v>
      </c>
      <c r="B33" s="171" t="s">
        <v>2236</v>
      </c>
      <c r="C33" s="172"/>
      <c r="D33" s="172"/>
      <c r="E33" s="172"/>
      <c r="F33" s="172"/>
    </row>
    <row r="34" spans="1:6" ht="13.5" thickBot="1" x14ac:dyDescent="0.25">
      <c r="A34" s="169" t="s">
        <v>11</v>
      </c>
      <c r="F34" s="170"/>
    </row>
    <row r="35" spans="1:6" ht="13.5" thickTop="1" x14ac:dyDescent="0.2">
      <c r="A35" s="153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53" t="s">
        <v>121</v>
      </c>
      <c r="C39" s="173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5" spans="1:6" x14ac:dyDescent="0.2">
      <c r="A45" s="174" t="s">
        <v>120</v>
      </c>
      <c r="B45" s="174"/>
      <c r="D45" s="174"/>
      <c r="E45" s="174"/>
      <c r="F45" s="174"/>
    </row>
    <row r="46" spans="1:6" s="178" customFormat="1" ht="17.100000000000001" customHeight="1" x14ac:dyDescent="0.2">
      <c r="A46" s="177" t="s">
        <v>35</v>
      </c>
      <c r="B46" s="177"/>
      <c r="C46" s="156"/>
      <c r="D46" s="156" t="s">
        <v>3</v>
      </c>
      <c r="E46" s="156"/>
      <c r="F46" s="156"/>
    </row>
    <row r="47" spans="1:6" x14ac:dyDescent="0.2">
      <c r="A47" s="153" t="s">
        <v>3972</v>
      </c>
      <c r="D47" s="153" t="s">
        <v>2</v>
      </c>
    </row>
    <row r="49" spans="1:4" x14ac:dyDescent="0.2">
      <c r="A49" s="153" t="s">
        <v>4066</v>
      </c>
      <c r="D49" s="163" t="s">
        <v>1</v>
      </c>
    </row>
    <row r="50" spans="1:4" x14ac:dyDescent="0.2">
      <c r="D50" s="163" t="s">
        <v>0</v>
      </c>
    </row>
  </sheetData>
  <customSheetViews>
    <customSheetView guid="{6428A7A0-B31B-40C1-A13E-AD0DCC619E51}">
      <selection activeCell="E9" sqref="E9"/>
      <pageMargins left="0.74803149606299213" right="0.74803149606299213" top="0.98425196850393704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2"/>
  <headerFooter alignWithMargins="0"/>
</worksheet>
</file>

<file path=xl/worksheets/sheet4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1-000000000000}">
  <sheetPr codeName="Sheet18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3653</v>
      </c>
    </row>
    <row r="10" spans="1:6" x14ac:dyDescent="0.2">
      <c r="A10" s="91" t="s">
        <v>2040</v>
      </c>
      <c r="D10" s="92" t="s">
        <v>1444</v>
      </c>
      <c r="E10" s="92" t="s">
        <v>3654</v>
      </c>
    </row>
    <row r="11" spans="1:6" x14ac:dyDescent="0.2">
      <c r="A11" s="91" t="s">
        <v>3656</v>
      </c>
      <c r="D11" s="92" t="s">
        <v>1431</v>
      </c>
      <c r="E11" s="92" t="s">
        <v>1220</v>
      </c>
    </row>
    <row r="12" spans="1:6" x14ac:dyDescent="0.2">
      <c r="A12" s="91" t="s">
        <v>2041</v>
      </c>
      <c r="D12" s="92" t="s">
        <v>1268</v>
      </c>
      <c r="E12" s="92" t="s">
        <v>3655</v>
      </c>
    </row>
    <row r="13" spans="1:6" x14ac:dyDescent="0.2">
      <c r="A13" s="91" t="s">
        <v>1284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3659</v>
      </c>
    </row>
    <row r="19" spans="1:6" x14ac:dyDescent="0.2">
      <c r="C19" s="2"/>
    </row>
    <row r="20" spans="1:6" x14ac:dyDescent="0.2">
      <c r="A20" s="111" t="s">
        <v>3642</v>
      </c>
      <c r="B20" s="93" t="s">
        <v>3657</v>
      </c>
      <c r="C20" s="91" t="s">
        <v>3658</v>
      </c>
      <c r="F20" s="91">
        <v>882.45</v>
      </c>
    </row>
    <row r="21" spans="1:6" x14ac:dyDescent="0.2">
      <c r="F21" s="110"/>
    </row>
    <row r="22" spans="1:6" x14ac:dyDescent="0.2">
      <c r="F22" s="110"/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882.45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3660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1-000000000000}">
  <sheetPr codeName="Sheet129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1724</v>
      </c>
    </row>
    <row r="10" spans="1:6" x14ac:dyDescent="0.2">
      <c r="A10" s="91" t="s">
        <v>1726</v>
      </c>
      <c r="D10" s="92" t="s">
        <v>1329</v>
      </c>
      <c r="E10" s="105" t="s">
        <v>1725</v>
      </c>
    </row>
    <row r="11" spans="1:6" x14ac:dyDescent="0.2">
      <c r="A11" s="91" t="s">
        <v>1727</v>
      </c>
      <c r="D11" s="92" t="s">
        <v>1330</v>
      </c>
      <c r="E11" s="92" t="s">
        <v>1220</v>
      </c>
    </row>
    <row r="12" spans="1:6" x14ac:dyDescent="0.2">
      <c r="A12" s="91" t="s">
        <v>1728</v>
      </c>
      <c r="D12" s="92" t="s">
        <v>1331</v>
      </c>
      <c r="E12" s="92" t="s">
        <v>770</v>
      </c>
    </row>
    <row r="13" spans="1:6" x14ac:dyDescent="0.2">
      <c r="A13" s="91" t="s">
        <v>1729</v>
      </c>
    </row>
    <row r="14" spans="1:6" x14ac:dyDescent="0.2">
      <c r="A14" s="91" t="s">
        <v>1730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1732</v>
      </c>
    </row>
    <row r="19" spans="1:6" x14ac:dyDescent="0.2">
      <c r="C19" s="2" t="s">
        <v>1733</v>
      </c>
    </row>
    <row r="21" spans="1:6" x14ac:dyDescent="0.2">
      <c r="A21" s="93" t="s">
        <v>1731</v>
      </c>
      <c r="B21" s="93"/>
      <c r="C21" s="91" t="s">
        <v>1734</v>
      </c>
      <c r="F21" s="91">
        <f>2650*3.162</f>
        <v>8379.2999999999993</v>
      </c>
    </row>
    <row r="22" spans="1:6" x14ac:dyDescent="0.2">
      <c r="A22" s="106"/>
      <c r="C22" s="91" t="s">
        <v>1735</v>
      </c>
    </row>
    <row r="23" spans="1:6" x14ac:dyDescent="0.2">
      <c r="A23" s="106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SUM(F20:F28)</f>
        <v>8379.2999999999993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1736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1-000000000000}">
  <sheetPr codeName="Sheet130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4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1468</v>
      </c>
      <c r="D9" s="92" t="s">
        <v>1317</v>
      </c>
      <c r="E9" s="91" t="s">
        <v>1466</v>
      </c>
    </row>
    <row r="10" spans="1:6" x14ac:dyDescent="0.2">
      <c r="A10" s="91" t="s">
        <v>1469</v>
      </c>
      <c r="D10" s="92" t="s">
        <v>1329</v>
      </c>
      <c r="E10" s="92" t="s">
        <v>1449</v>
      </c>
    </row>
    <row r="11" spans="1:6" x14ac:dyDescent="0.2">
      <c r="A11" s="91" t="s">
        <v>1470</v>
      </c>
      <c r="D11" s="92" t="s">
        <v>1330</v>
      </c>
      <c r="E11" s="92" t="s">
        <v>1220</v>
      </c>
    </row>
    <row r="12" spans="1:6" x14ac:dyDescent="0.2">
      <c r="A12" s="91" t="s">
        <v>1471</v>
      </c>
      <c r="D12" s="92" t="s">
        <v>1224</v>
      </c>
      <c r="E12" s="92" t="s">
        <v>1467</v>
      </c>
    </row>
    <row r="13" spans="1:6" x14ac:dyDescent="0.2">
      <c r="A13" s="91" t="s">
        <v>1472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A18" s="93"/>
      <c r="B18" s="135"/>
      <c r="C18" s="2" t="s">
        <v>1473</v>
      </c>
    </row>
    <row r="19" spans="1:6" x14ac:dyDescent="0.2">
      <c r="A19" s="112"/>
      <c r="B19" s="93"/>
    </row>
    <row r="20" spans="1:6" x14ac:dyDescent="0.2">
      <c r="A20" s="134" t="s">
        <v>1458</v>
      </c>
      <c r="B20" s="92" t="s">
        <v>1474</v>
      </c>
      <c r="C20" s="91" t="s">
        <v>1476</v>
      </c>
      <c r="F20" s="91">
        <v>3600</v>
      </c>
    </row>
    <row r="21" spans="1:6" x14ac:dyDescent="0.2">
      <c r="A21" s="112"/>
      <c r="B21" s="91" t="s">
        <v>1475</v>
      </c>
      <c r="C21" s="91" t="s">
        <v>1477</v>
      </c>
    </row>
    <row r="22" spans="1:6" x14ac:dyDescent="0.2">
      <c r="A22" s="112"/>
    </row>
    <row r="23" spans="1:6" x14ac:dyDescent="0.2">
      <c r="A23" s="93"/>
      <c r="B23" s="93"/>
    </row>
    <row r="25" spans="1:6" x14ac:dyDescent="0.2">
      <c r="A25" s="93"/>
      <c r="B25" s="134"/>
    </row>
    <row r="26" spans="1:6" x14ac:dyDescent="0.2">
      <c r="B26" s="93"/>
    </row>
    <row r="27" spans="1:6" x14ac:dyDescent="0.2">
      <c r="A27" s="93"/>
      <c r="B27" s="134"/>
    </row>
    <row r="28" spans="1:6" x14ac:dyDescent="0.2">
      <c r="A28" s="112"/>
      <c r="B28" s="94"/>
    </row>
    <row r="29" spans="1:6" x14ac:dyDescent="0.2">
      <c r="A29" s="112"/>
    </row>
    <row r="30" spans="1:6" ht="13.5" thickBot="1" x14ac:dyDescent="0.25">
      <c r="A30" s="112"/>
      <c r="F30" s="95">
        <f>SUM(F18:F29)</f>
        <v>3600</v>
      </c>
    </row>
    <row r="31" spans="1:6" ht="13.5" thickTop="1" x14ac:dyDescent="0.2">
      <c r="A31" s="112"/>
    </row>
    <row r="32" spans="1:6" ht="20.100000000000001" customHeight="1" x14ac:dyDescent="0.2">
      <c r="A32" s="96" t="s">
        <v>1347</v>
      </c>
      <c r="B32" s="96" t="s">
        <v>1478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 t="s">
        <v>121</v>
      </c>
      <c r="C37" s="99"/>
    </row>
    <row r="38" spans="1:6" x14ac:dyDescent="0.2">
      <c r="A38" s="98"/>
      <c r="C38" s="99"/>
    </row>
    <row r="39" spans="1:6" x14ac:dyDescent="0.2">
      <c r="A39" s="100"/>
      <c r="B39" s="101"/>
      <c r="D39" s="227"/>
      <c r="E39" s="227"/>
      <c r="F39" s="227"/>
    </row>
    <row r="40" spans="1:6" x14ac:dyDescent="0.2">
      <c r="A40" s="98" t="s">
        <v>8</v>
      </c>
      <c r="D40" s="228"/>
      <c r="E40" s="229"/>
      <c r="F40" s="229"/>
    </row>
    <row r="41" spans="1:6" x14ac:dyDescent="0.2">
      <c r="A41" s="1"/>
    </row>
    <row r="42" spans="1:6" x14ac:dyDescent="0.2">
      <c r="A42" s="98"/>
    </row>
    <row r="43" spans="1:6" x14ac:dyDescent="0.2">
      <c r="A43" s="98"/>
    </row>
    <row r="44" spans="1:6" x14ac:dyDescent="0.2">
      <c r="A44" s="100" t="s">
        <v>658</v>
      </c>
      <c r="B44" s="101"/>
      <c r="D44" s="101"/>
      <c r="E44" s="101"/>
      <c r="F44" s="101"/>
    </row>
    <row r="45" spans="1:6" s="3" customFormat="1" ht="17.100000000000001" customHeight="1" x14ac:dyDescent="0.2">
      <c r="A45" s="103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1-000000000000}">
  <sheetPr codeName="Sheet13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2807</v>
      </c>
    </row>
    <row r="10" spans="1:6" x14ac:dyDescent="0.2">
      <c r="A10" s="91" t="s">
        <v>1348</v>
      </c>
      <c r="D10" s="92" t="s">
        <v>1329</v>
      </c>
      <c r="E10" s="113" t="s">
        <v>2806</v>
      </c>
    </row>
    <row r="11" spans="1:6" x14ac:dyDescent="0.2">
      <c r="A11" s="91" t="s">
        <v>1349</v>
      </c>
      <c r="D11" s="92" t="s">
        <v>1330</v>
      </c>
      <c r="E11" s="113" t="s">
        <v>1220</v>
      </c>
    </row>
    <row r="12" spans="1:6" x14ac:dyDescent="0.2">
      <c r="A12" s="91" t="s">
        <v>1350</v>
      </c>
      <c r="D12" s="92" t="s">
        <v>1224</v>
      </c>
      <c r="E12" s="113" t="s">
        <v>2808</v>
      </c>
    </row>
    <row r="13" spans="1:6" x14ac:dyDescent="0.2">
      <c r="A13" s="91" t="s">
        <v>1351</v>
      </c>
    </row>
    <row r="14" spans="1:6" x14ac:dyDescent="0.2">
      <c r="A14" s="91" t="s">
        <v>1352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A18" s="93" t="s">
        <v>2809</v>
      </c>
      <c r="B18" s="135" t="s">
        <v>2810</v>
      </c>
      <c r="C18" s="91" t="s">
        <v>2811</v>
      </c>
      <c r="F18" s="91">
        <v>50</v>
      </c>
    </row>
    <row r="19" spans="1:6" x14ac:dyDescent="0.2">
      <c r="A19" s="112"/>
      <c r="B19" s="93"/>
    </row>
    <row r="20" spans="1:6" x14ac:dyDescent="0.2">
      <c r="A20" s="112"/>
      <c r="B20" s="93"/>
      <c r="C20" s="91" t="s">
        <v>2812</v>
      </c>
      <c r="F20" s="91">
        <v>40</v>
      </c>
    </row>
    <row r="21" spans="1:6" x14ac:dyDescent="0.2">
      <c r="A21" s="112"/>
    </row>
    <row r="22" spans="1:6" x14ac:dyDescent="0.2">
      <c r="A22" s="112"/>
    </row>
    <row r="23" spans="1:6" x14ac:dyDescent="0.2">
      <c r="A23" s="93"/>
      <c r="B23" s="93"/>
    </row>
    <row r="25" spans="1:6" x14ac:dyDescent="0.2">
      <c r="A25" s="93"/>
      <c r="B25" s="134"/>
    </row>
    <row r="26" spans="1:6" x14ac:dyDescent="0.2">
      <c r="B26" s="93"/>
    </row>
    <row r="27" spans="1:6" x14ac:dyDescent="0.2">
      <c r="A27" s="93"/>
      <c r="B27" s="134"/>
    </row>
    <row r="28" spans="1:6" x14ac:dyDescent="0.2">
      <c r="A28" s="112"/>
      <c r="B28" s="94"/>
    </row>
    <row r="29" spans="1:6" x14ac:dyDescent="0.2">
      <c r="A29" s="112"/>
    </row>
    <row r="30" spans="1:6" ht="13.5" thickBot="1" x14ac:dyDescent="0.25">
      <c r="A30" s="112"/>
      <c r="F30" s="95">
        <f>SUM(F18:F29)</f>
        <v>90</v>
      </c>
    </row>
    <row r="31" spans="1:6" ht="13.5" thickTop="1" x14ac:dyDescent="0.2">
      <c r="A31" s="112"/>
    </row>
    <row r="32" spans="1:6" ht="20.100000000000001" customHeight="1" x14ac:dyDescent="0.2">
      <c r="A32" s="96" t="s">
        <v>1347</v>
      </c>
      <c r="B32" s="185" t="s">
        <v>2813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 t="s">
        <v>121</v>
      </c>
      <c r="C37" s="99"/>
    </row>
    <row r="38" spans="1:6" x14ac:dyDescent="0.2">
      <c r="A38" s="98"/>
      <c r="C38" s="99"/>
    </row>
    <row r="39" spans="1:6" x14ac:dyDescent="0.2">
      <c r="A39" s="100"/>
      <c r="B39" s="101"/>
      <c r="D39" s="227"/>
      <c r="E39" s="227"/>
      <c r="F39" s="227"/>
    </row>
    <row r="40" spans="1:6" x14ac:dyDescent="0.2">
      <c r="A40" s="98" t="s">
        <v>8</v>
      </c>
      <c r="D40" s="228"/>
      <c r="E40" s="229"/>
      <c r="F40" s="229"/>
    </row>
    <row r="41" spans="1:6" x14ac:dyDescent="0.2">
      <c r="A41" s="1"/>
    </row>
    <row r="42" spans="1:6" x14ac:dyDescent="0.2">
      <c r="A42" s="98"/>
    </row>
    <row r="43" spans="1:6" x14ac:dyDescent="0.2">
      <c r="A43" s="98"/>
    </row>
    <row r="44" spans="1:6" x14ac:dyDescent="0.2">
      <c r="A44" s="100" t="s">
        <v>658</v>
      </c>
      <c r="B44" s="101"/>
      <c r="D44" s="101"/>
      <c r="E44" s="101"/>
      <c r="F44" s="101"/>
    </row>
    <row r="45" spans="1:6" s="3" customFormat="1" ht="17.100000000000001" customHeight="1" x14ac:dyDescent="0.2">
      <c r="A45" s="103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4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1-000000000000}">
  <sheetPr codeName="Sheet133">
    <pageSetUpPr fitToPage="1"/>
  </sheetPr>
  <dimension ref="A1:F49"/>
  <sheetViews>
    <sheetView topLeftCell="A22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</row>
    <row r="10" spans="1:6" x14ac:dyDescent="0.2">
      <c r="A10" s="91" t="s">
        <v>1348</v>
      </c>
      <c r="D10" s="92" t="s">
        <v>1329</v>
      </c>
      <c r="E10" s="92"/>
    </row>
    <row r="11" spans="1:6" x14ac:dyDescent="0.2">
      <c r="A11" s="91" t="s">
        <v>1349</v>
      </c>
      <c r="D11" s="92" t="s">
        <v>1330</v>
      </c>
      <c r="E11" s="92" t="s">
        <v>1220</v>
      </c>
    </row>
    <row r="12" spans="1:6" x14ac:dyDescent="0.2">
      <c r="A12" s="91" t="s">
        <v>1350</v>
      </c>
      <c r="D12" s="92" t="s">
        <v>1224</v>
      </c>
      <c r="E12" s="92"/>
    </row>
    <row r="13" spans="1:6" x14ac:dyDescent="0.2">
      <c r="A13" s="91" t="s">
        <v>1351</v>
      </c>
    </row>
    <row r="14" spans="1:6" x14ac:dyDescent="0.2">
      <c r="A14" s="91" t="s">
        <v>1352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A18" s="93"/>
      <c r="B18" s="93"/>
      <c r="C18" s="2" t="s">
        <v>1365</v>
      </c>
    </row>
    <row r="23" spans="1:6" x14ac:dyDescent="0.2">
      <c r="A23" s="112"/>
    </row>
    <row r="24" spans="1:6" x14ac:dyDescent="0.2">
      <c r="A24" s="93"/>
      <c r="B24" s="93"/>
    </row>
    <row r="26" spans="1:6" x14ac:dyDescent="0.2">
      <c r="A26" s="112"/>
    </row>
    <row r="27" spans="1:6" x14ac:dyDescent="0.2">
      <c r="A27" s="112"/>
      <c r="B27" s="94"/>
    </row>
    <row r="28" spans="1:6" x14ac:dyDescent="0.2">
      <c r="A28" s="112"/>
      <c r="B28" s="94"/>
    </row>
    <row r="29" spans="1:6" x14ac:dyDescent="0.2">
      <c r="A29" s="112"/>
    </row>
    <row r="30" spans="1:6" ht="13.5" thickBot="1" x14ac:dyDescent="0.25">
      <c r="A30" s="112"/>
      <c r="F30" s="95">
        <f>SUM(F18:F29)</f>
        <v>0</v>
      </c>
    </row>
    <row r="31" spans="1:6" ht="13.5" thickTop="1" x14ac:dyDescent="0.2">
      <c r="A31" s="112"/>
    </row>
    <row r="32" spans="1:6" ht="20.100000000000001" customHeight="1" x14ac:dyDescent="0.2">
      <c r="A32" s="96" t="s">
        <v>1347</v>
      </c>
      <c r="B32" s="96" t="s">
        <v>1366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 t="s">
        <v>121</v>
      </c>
      <c r="C37" s="99"/>
    </row>
    <row r="38" spans="1:6" x14ac:dyDescent="0.2">
      <c r="A38" s="98"/>
      <c r="C38" s="99"/>
    </row>
    <row r="39" spans="1:6" x14ac:dyDescent="0.2">
      <c r="A39" s="100"/>
      <c r="B39" s="101"/>
      <c r="D39" s="227"/>
      <c r="E39" s="227"/>
      <c r="F39" s="227"/>
    </row>
    <row r="40" spans="1:6" x14ac:dyDescent="0.2">
      <c r="A40" s="98" t="s">
        <v>8</v>
      </c>
      <c r="D40" s="228"/>
      <c r="E40" s="229"/>
      <c r="F40" s="229"/>
    </row>
    <row r="41" spans="1:6" x14ac:dyDescent="0.2">
      <c r="A41" s="1"/>
    </row>
    <row r="42" spans="1:6" x14ac:dyDescent="0.2">
      <c r="A42" s="98"/>
    </row>
    <row r="43" spans="1:6" x14ac:dyDescent="0.2">
      <c r="A43" s="98"/>
    </row>
    <row r="44" spans="1:6" x14ac:dyDescent="0.2">
      <c r="A44" s="100" t="s">
        <v>658</v>
      </c>
      <c r="B44" s="101"/>
      <c r="D44" s="101"/>
      <c r="E44" s="101"/>
      <c r="F44" s="101"/>
    </row>
    <row r="45" spans="1:6" s="3" customFormat="1" ht="17.100000000000001" customHeight="1" x14ac:dyDescent="0.2">
      <c r="A45" s="103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1">
    <pageSetUpPr fitToPage="1"/>
  </sheetPr>
  <dimension ref="A1:H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0.85546875" style="1" customWidth="1"/>
    <col min="4" max="4" width="18.7109375" style="1" customWidth="1"/>
    <col min="5" max="5" width="1.425781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91" t="s">
        <v>6065</v>
      </c>
    </row>
    <row r="10" spans="1:8" s="91" customFormat="1" x14ac:dyDescent="0.2">
      <c r="A10" s="91" t="s">
        <v>5697</v>
      </c>
      <c r="F10" s="92" t="s">
        <v>1706</v>
      </c>
      <c r="G10" s="92" t="s">
        <v>6066</v>
      </c>
    </row>
    <row r="11" spans="1:8" s="91" customFormat="1" x14ac:dyDescent="0.2">
      <c r="A11" s="91" t="s">
        <v>5698</v>
      </c>
      <c r="F11" s="92" t="s">
        <v>1707</v>
      </c>
      <c r="G11" s="92" t="s">
        <v>1220</v>
      </c>
    </row>
    <row r="12" spans="1:8" s="91" customFormat="1" x14ac:dyDescent="0.2">
      <c r="A12" s="91" t="s">
        <v>5699</v>
      </c>
      <c r="F12" s="92" t="s">
        <v>1355</v>
      </c>
      <c r="G12" s="92" t="s">
        <v>770</v>
      </c>
    </row>
    <row r="13" spans="1:8" s="91" customFormat="1" x14ac:dyDescent="0.2">
      <c r="A13" s="91" t="s">
        <v>1362</v>
      </c>
    </row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9"/>
      <c r="C18" s="99"/>
      <c r="D18" s="2" t="s">
        <v>5700</v>
      </c>
      <c r="E18" s="2"/>
    </row>
    <row r="19" spans="1:8" s="91" customFormat="1" x14ac:dyDescent="0.2"/>
    <row r="20" spans="1:8" s="91" customFormat="1" x14ac:dyDescent="0.2">
      <c r="A20" s="93" t="s">
        <v>6067</v>
      </c>
      <c r="B20" s="93" t="s">
        <v>6068</v>
      </c>
      <c r="C20" s="93"/>
      <c r="D20" s="91" t="s">
        <v>6069</v>
      </c>
      <c r="H20" s="91">
        <f>3.1384*19495.4</f>
        <v>61184.363360000003</v>
      </c>
    </row>
    <row r="21" spans="1:8" s="91" customFormat="1" x14ac:dyDescent="0.2"/>
    <row r="22" spans="1:8" s="91" customFormat="1" x14ac:dyDescent="0.2">
      <c r="A22" s="93"/>
      <c r="B22" s="93"/>
      <c r="C22" s="93"/>
      <c r="D22" s="91" t="s">
        <v>6096</v>
      </c>
    </row>
    <row r="23" spans="1:8" s="91" customFormat="1" x14ac:dyDescent="0.2"/>
    <row r="24" spans="1:8" s="91" customFormat="1" x14ac:dyDescent="0.2">
      <c r="A24" s="93"/>
      <c r="B24" s="93"/>
      <c r="C24" s="93"/>
      <c r="D24" s="91" t="s">
        <v>52</v>
      </c>
      <c r="H24" s="91">
        <v>10</v>
      </c>
    </row>
    <row r="25" spans="1:8" s="91" customFormat="1" x14ac:dyDescent="0.2"/>
    <row r="26" spans="1:8" s="91" customFormat="1" x14ac:dyDescent="0.2">
      <c r="D26" s="91" t="s">
        <v>2147</v>
      </c>
      <c r="H26" s="91">
        <f>H24*6%</f>
        <v>0.6</v>
      </c>
    </row>
    <row r="27" spans="1:8" s="91" customFormat="1" x14ac:dyDescent="0.2">
      <c r="B27" s="94"/>
      <c r="C27" s="94"/>
    </row>
    <row r="28" spans="1:8" s="91" customFormat="1" x14ac:dyDescent="0.2">
      <c r="B28" s="94"/>
      <c r="C28" s="94"/>
    </row>
    <row r="29" spans="1:8" s="91" customFormat="1" x14ac:dyDescent="0.2">
      <c r="B29" s="94"/>
      <c r="C29" s="94"/>
    </row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ht="13.5" thickBot="1" x14ac:dyDescent="0.25">
      <c r="H33" s="95">
        <f>SUM(H18:H31)</f>
        <v>61194.963360000002</v>
      </c>
    </row>
    <row r="34" spans="1:8" s="91" customFormat="1" ht="13.5" thickTop="1" x14ac:dyDescent="0.2">
      <c r="H34" s="101"/>
    </row>
    <row r="35" spans="1:8" s="91" customFormat="1" ht="20.100000000000001" customHeight="1" x14ac:dyDescent="0.2">
      <c r="A35" s="96" t="s">
        <v>336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Sixty-One Thousand One Hundred Ninety-Four and 96/100 -----------</v>
      </c>
      <c r="C35" s="185"/>
      <c r="D35" s="97"/>
      <c r="E35" s="97"/>
      <c r="F35" s="97"/>
      <c r="G35" s="97"/>
      <c r="H35" s="207"/>
    </row>
    <row r="36" spans="1:8" s="91" customFormat="1" x14ac:dyDescent="0.2">
      <c r="A36" s="94" t="s">
        <v>11</v>
      </c>
    </row>
    <row r="37" spans="1:8" s="91" customFormat="1" ht="25.5" x14ac:dyDescent="0.2">
      <c r="A37" s="91" t="s">
        <v>10</v>
      </c>
      <c r="F37" s="218" t="s">
        <v>3975</v>
      </c>
      <c r="G37" s="219"/>
      <c r="H37" s="220"/>
    </row>
    <row r="38" spans="1:8" s="91" customFormat="1" x14ac:dyDescent="0.2"/>
    <row r="39" spans="1:8" s="91" customFormat="1" x14ac:dyDescent="0.2">
      <c r="F39" s="227"/>
      <c r="G39" s="227"/>
      <c r="H39" s="227"/>
    </row>
    <row r="40" spans="1:8" s="91" customFormat="1" x14ac:dyDescent="0.2">
      <c r="F40" s="228"/>
      <c r="G40" s="229"/>
      <c r="H40" s="229"/>
    </row>
    <row r="41" spans="1:8" s="91" customFormat="1" x14ac:dyDescent="0.2">
      <c r="A41" s="101"/>
      <c r="B41" s="101"/>
    </row>
    <row r="42" spans="1:8" s="91" customFormat="1" x14ac:dyDescent="0.2"/>
    <row r="43" spans="1:8" s="91" customFormat="1" x14ac:dyDescent="0.2">
      <c r="A43" s="98" t="s">
        <v>8</v>
      </c>
      <c r="D43" s="98" t="s">
        <v>8</v>
      </c>
      <c r="F43" s="98" t="s">
        <v>7</v>
      </c>
      <c r="H43" s="102"/>
    </row>
    <row r="44" spans="1:8" s="91" customFormat="1" x14ac:dyDescent="0.2"/>
    <row r="45" spans="1:8" s="91" customFormat="1" x14ac:dyDescent="0.2"/>
    <row r="46" spans="1:8" s="91" customFormat="1" x14ac:dyDescent="0.2"/>
    <row r="47" spans="1:8" s="91" customFormat="1" x14ac:dyDescent="0.2">
      <c r="A47" s="101"/>
      <c r="B47" s="101"/>
      <c r="D47" s="101"/>
      <c r="F47" s="101"/>
      <c r="G47" s="101"/>
      <c r="H47" s="101"/>
    </row>
    <row r="48" spans="1:8" s="61" customFormat="1" ht="17.100000000000001" customHeight="1" x14ac:dyDescent="0.2">
      <c r="A48" s="103" t="s">
        <v>4047</v>
      </c>
      <c r="B48" s="104"/>
      <c r="C48" s="104"/>
      <c r="D48" s="103" t="s">
        <v>50</v>
      </c>
      <c r="F48" s="61" t="s">
        <v>3</v>
      </c>
    </row>
    <row r="49" spans="6:6" s="91" customFormat="1" x14ac:dyDescent="0.2">
      <c r="F49" s="91" t="s">
        <v>2</v>
      </c>
    </row>
    <row r="50" spans="6:6" s="91" customFormat="1" x14ac:dyDescent="0.2"/>
    <row r="51" spans="6:6" s="91" customFormat="1" x14ac:dyDescent="0.2">
      <c r="F51" s="2" t="s">
        <v>1</v>
      </c>
    </row>
    <row r="52" spans="6:6" s="91" customFormat="1" x14ac:dyDescent="0.2">
      <c r="F52" s="2" t="s">
        <v>0</v>
      </c>
    </row>
    <row r="53" spans="6:6" s="91" customFormat="1" x14ac:dyDescent="0.2"/>
    <row r="54" spans="6:6" s="91" customFormat="1" x14ac:dyDescent="0.2"/>
    <row r="55" spans="6:6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1-000000000000}">
  <sheetPr codeName="Sheet301">
    <pageSetUpPr fitToPage="1"/>
  </sheetPr>
  <dimension ref="A1:H53"/>
  <sheetViews>
    <sheetView workbookViewId="0">
      <selection activeCell="G8" sqref="G8:G12"/>
    </sheetView>
  </sheetViews>
  <sheetFormatPr defaultRowHeight="12.75" x14ac:dyDescent="0.2"/>
  <cols>
    <col min="1" max="1" width="15.85546875" style="1" customWidth="1"/>
    <col min="2" max="2" width="14.28515625" style="1" customWidth="1"/>
    <col min="3" max="3" width="0.85546875" style="1" customWidth="1"/>
    <col min="4" max="4" width="19.5703125" style="1" customWidth="1"/>
    <col min="5" max="5" width="0.570312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>
      <c r="A7" s="91" t="s">
        <v>32</v>
      </c>
      <c r="F7" s="22" t="s">
        <v>31</v>
      </c>
    </row>
    <row r="8" spans="1:8" s="91" customFormat="1" x14ac:dyDescent="0.2">
      <c r="F8" s="92" t="s">
        <v>1300</v>
      </c>
      <c r="G8" s="155" t="s">
        <v>8689</v>
      </c>
    </row>
    <row r="9" spans="1:8" s="91" customFormat="1" x14ac:dyDescent="0.2">
      <c r="A9" s="91" t="s">
        <v>2304</v>
      </c>
      <c r="F9" s="92" t="s">
        <v>1356</v>
      </c>
      <c r="G9" s="155" t="s">
        <v>8688</v>
      </c>
    </row>
    <row r="10" spans="1:8" s="91" customFormat="1" x14ac:dyDescent="0.2">
      <c r="A10" s="91" t="s">
        <v>2305</v>
      </c>
      <c r="F10" s="92" t="s">
        <v>1364</v>
      </c>
      <c r="G10" s="155" t="s">
        <v>1220</v>
      </c>
    </row>
    <row r="11" spans="1:8" s="91" customFormat="1" x14ac:dyDescent="0.2">
      <c r="A11" s="91" t="s">
        <v>1271</v>
      </c>
      <c r="F11" s="92" t="s">
        <v>1224</v>
      </c>
      <c r="G11" s="91" t="s">
        <v>8690</v>
      </c>
    </row>
    <row r="12" spans="1:8" s="91" customFormat="1" x14ac:dyDescent="0.2">
      <c r="G12" s="91" t="s">
        <v>7931</v>
      </c>
    </row>
    <row r="13" spans="1:8" s="91" customFormat="1" x14ac:dyDescent="0.2"/>
    <row r="14" spans="1:8" s="91" customFormat="1" x14ac:dyDescent="0.2"/>
    <row r="15" spans="1:8" s="14" customFormat="1" ht="20.100000000000001" customHeight="1" x14ac:dyDescent="0.2">
      <c r="A15" s="17" t="s">
        <v>1261</v>
      </c>
      <c r="B15" s="31" t="s">
        <v>1262</v>
      </c>
      <c r="C15" s="405"/>
      <c r="D15" s="18" t="s">
        <v>19</v>
      </c>
      <c r="E15" s="18"/>
      <c r="F15" s="17"/>
      <c r="G15" s="16"/>
      <c r="H15" s="15" t="s">
        <v>18</v>
      </c>
    </row>
    <row r="16" spans="1:8" s="14" customFormat="1" x14ac:dyDescent="0.2">
      <c r="A16" s="34"/>
      <c r="B16" s="34"/>
      <c r="C16" s="34"/>
      <c r="D16" s="35"/>
      <c r="E16" s="35"/>
      <c r="F16" s="34"/>
      <c r="G16" s="33"/>
      <c r="H16" s="32"/>
    </row>
    <row r="17" spans="1:8" s="14" customFormat="1" x14ac:dyDescent="0.2">
      <c r="A17" s="34"/>
      <c r="B17" s="34"/>
      <c r="C17" s="34"/>
      <c r="D17" s="34" t="s">
        <v>5084</v>
      </c>
      <c r="E17" s="34"/>
      <c r="F17" s="34"/>
      <c r="G17" s="33"/>
      <c r="H17" s="32"/>
    </row>
    <row r="18" spans="1:8" s="14" customFormat="1" x14ac:dyDescent="0.2">
      <c r="A18" s="34"/>
      <c r="B18" s="34"/>
      <c r="C18" s="34"/>
      <c r="D18" s="2"/>
      <c r="E18" s="2"/>
      <c r="F18" s="34"/>
      <c r="G18" s="33"/>
      <c r="H18" s="32"/>
    </row>
    <row r="19" spans="1:8" s="91" customFormat="1" x14ac:dyDescent="0.2">
      <c r="A19" s="93" t="s">
        <v>8691</v>
      </c>
      <c r="B19" s="93" t="s">
        <v>8692</v>
      </c>
      <c r="C19" s="93"/>
      <c r="D19" s="91" t="s">
        <v>8693</v>
      </c>
      <c r="H19" s="91">
        <v>1200</v>
      </c>
    </row>
    <row r="20" spans="1:8" s="91" customFormat="1" x14ac:dyDescent="0.2">
      <c r="D20" s="94" t="s">
        <v>7553</v>
      </c>
      <c r="E20" s="94"/>
    </row>
    <row r="21" spans="1:8" s="91" customFormat="1" x14ac:dyDescent="0.2"/>
    <row r="22" spans="1:8" s="91" customFormat="1" x14ac:dyDescent="0.2">
      <c r="D22" s="2"/>
      <c r="E22" s="2"/>
    </row>
    <row r="23" spans="1:8" s="91" customFormat="1" x14ac:dyDescent="0.2">
      <c r="D23" s="146"/>
      <c r="E23" s="146"/>
    </row>
    <row r="24" spans="1:8" s="91" customFormat="1" x14ac:dyDescent="0.2">
      <c r="D24" s="146"/>
      <c r="E24" s="146"/>
    </row>
    <row r="25" spans="1:8" s="91" customFormat="1" x14ac:dyDescent="0.2">
      <c r="B25" s="94"/>
      <c r="C25" s="94"/>
    </row>
    <row r="26" spans="1:8" s="91" customFormat="1" x14ac:dyDescent="0.2"/>
    <row r="27" spans="1:8" s="91" customFormat="1" x14ac:dyDescent="0.2">
      <c r="A27" s="94"/>
      <c r="B27" s="94"/>
      <c r="C27" s="94"/>
    </row>
    <row r="28" spans="1:8" s="91" customFormat="1" x14ac:dyDescent="0.2">
      <c r="B28" s="94"/>
      <c r="C28" s="94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ht="13.5" thickBot="1" x14ac:dyDescent="0.25">
      <c r="H32" s="107">
        <f>SUM(H19:H30)</f>
        <v>1200</v>
      </c>
    </row>
    <row r="33" spans="1:8" s="91" customFormat="1" ht="13.5" thickTop="1" x14ac:dyDescent="0.2"/>
    <row r="34" spans="1:8" s="91" customFormat="1" ht="20.100000000000001" customHeight="1" x14ac:dyDescent="0.2">
      <c r="A34" s="96" t="s">
        <v>122</v>
      </c>
      <c r="B34" s="185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One Thousand Two Hundred and NO/100 -----------</v>
      </c>
      <c r="C34" s="185"/>
      <c r="D34" s="97"/>
      <c r="E34" s="97"/>
      <c r="F34" s="97"/>
      <c r="G34" s="97"/>
      <c r="H34" s="97"/>
    </row>
    <row r="35" spans="1:8" s="91" customFormat="1" x14ac:dyDescent="0.2">
      <c r="A35" s="94" t="s">
        <v>11</v>
      </c>
    </row>
    <row r="36" spans="1:8" s="91" customFormat="1" ht="25.5" x14ac:dyDescent="0.2">
      <c r="A36" s="91" t="s">
        <v>10</v>
      </c>
      <c r="F36" s="218" t="s">
        <v>3975</v>
      </c>
      <c r="G36" s="219"/>
      <c r="H36" s="220"/>
    </row>
    <row r="37" spans="1:8" s="91" customFormat="1" x14ac:dyDescent="0.2"/>
    <row r="38" spans="1:8" s="91" customFormat="1" x14ac:dyDescent="0.2"/>
    <row r="39" spans="1:8" s="91" customFormat="1" x14ac:dyDescent="0.2">
      <c r="F39" s="227"/>
      <c r="G39" s="227"/>
      <c r="H39" s="227"/>
    </row>
    <row r="40" spans="1:8" s="91" customFormat="1" x14ac:dyDescent="0.2">
      <c r="A40" s="101"/>
      <c r="B40" s="101"/>
      <c r="C40" s="386"/>
      <c r="F40" s="228"/>
      <c r="G40" s="229"/>
      <c r="H40" s="229"/>
    </row>
    <row r="41" spans="1:8" s="91" customFormat="1" x14ac:dyDescent="0.2">
      <c r="F41" s="98" t="s">
        <v>7</v>
      </c>
      <c r="H41" s="102"/>
    </row>
    <row r="42" spans="1:8" s="91" customFormat="1" x14ac:dyDescent="0.2">
      <c r="A42" s="98" t="s">
        <v>8</v>
      </c>
      <c r="D42" s="98" t="s">
        <v>8</v>
      </c>
      <c r="F42" s="98"/>
      <c r="H42" s="102"/>
    </row>
    <row r="43" spans="1:8" s="91" customFormat="1" x14ac:dyDescent="0.2"/>
    <row r="44" spans="1:8" s="91" customFormat="1" x14ac:dyDescent="0.2"/>
    <row r="45" spans="1:8" s="91" customFormat="1" x14ac:dyDescent="0.2"/>
    <row r="46" spans="1:8" s="91" customFormat="1" x14ac:dyDescent="0.2">
      <c r="A46" s="101"/>
      <c r="B46" s="101"/>
      <c r="C46" s="386"/>
      <c r="D46" s="101"/>
      <c r="F46" s="101"/>
      <c r="G46" s="101"/>
      <c r="H46" s="101"/>
    </row>
    <row r="47" spans="1:8" s="61" customFormat="1" ht="17.100000000000001" customHeight="1" x14ac:dyDescent="0.2">
      <c r="A47" s="91" t="s">
        <v>4066</v>
      </c>
      <c r="B47" s="104"/>
      <c r="C47" s="104"/>
      <c r="D47" s="91" t="s">
        <v>50</v>
      </c>
      <c r="F47" s="61" t="s">
        <v>3</v>
      </c>
    </row>
    <row r="48" spans="1:8" s="91" customFormat="1" x14ac:dyDescent="0.2">
      <c r="F48" s="91" t="s">
        <v>2</v>
      </c>
    </row>
    <row r="49" spans="6:6" s="91" customFormat="1" x14ac:dyDescent="0.2"/>
    <row r="50" spans="6:6" s="91" customFormat="1" x14ac:dyDescent="0.2">
      <c r="F50" s="2" t="s">
        <v>1</v>
      </c>
    </row>
    <row r="51" spans="6:6" s="91" customFormat="1" x14ac:dyDescent="0.2">
      <c r="F51" s="2" t="s">
        <v>0</v>
      </c>
    </row>
    <row r="52" spans="6:6" s="91" customFormat="1" x14ac:dyDescent="0.2"/>
    <row r="53" spans="6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4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1-000000000000}">
  <sheetPr codeName="Sheet311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511</v>
      </c>
    </row>
    <row r="10" spans="1:6" x14ac:dyDescent="0.2">
      <c r="A10" s="1" t="s">
        <v>510</v>
      </c>
      <c r="D10" s="20" t="s">
        <v>27</v>
      </c>
      <c r="E10" s="20" t="s">
        <v>509</v>
      </c>
    </row>
    <row r="11" spans="1:6" x14ac:dyDescent="0.2">
      <c r="A11" s="1" t="s">
        <v>508</v>
      </c>
      <c r="D11" s="20" t="s">
        <v>24</v>
      </c>
      <c r="E11" s="20" t="s">
        <v>23</v>
      </c>
    </row>
    <row r="12" spans="1:6" x14ac:dyDescent="0.2">
      <c r="A12" s="1" t="s">
        <v>507</v>
      </c>
      <c r="D12" s="20" t="s">
        <v>22</v>
      </c>
      <c r="E12" s="20" t="s">
        <v>506</v>
      </c>
    </row>
    <row r="13" spans="1:6" x14ac:dyDescent="0.2">
      <c r="A13" s="1" t="s">
        <v>505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2" spans="1:6" x14ac:dyDescent="0.2">
      <c r="A22" s="1" t="s">
        <v>504</v>
      </c>
      <c r="C22" s="1" t="s">
        <v>503</v>
      </c>
      <c r="F22" s="1">
        <v>1100</v>
      </c>
    </row>
    <row r="23" spans="1:6" x14ac:dyDescent="0.2">
      <c r="C23" s="1" t="s">
        <v>502</v>
      </c>
    </row>
    <row r="24" spans="1:6" x14ac:dyDescent="0.2">
      <c r="C24" s="1" t="s">
        <v>501</v>
      </c>
    </row>
    <row r="32" spans="1:6" ht="13.5" thickBot="1" x14ac:dyDescent="0.25">
      <c r="F32" s="11">
        <f>SUM(F18:F31)</f>
        <v>1100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500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1-000000000000}">
  <sheetPr codeName="Sheet201">
    <pageSetUpPr fitToPage="1"/>
  </sheetPr>
  <dimension ref="A1:F52"/>
  <sheetViews>
    <sheetView topLeftCell="A25" workbookViewId="0">
      <selection activeCell="F34" sqref="F34"/>
    </sheetView>
  </sheetViews>
  <sheetFormatPr defaultRowHeight="12.75" x14ac:dyDescent="0.2"/>
  <cols>
    <col min="1" max="2" width="15.57031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1749</v>
      </c>
    </row>
    <row r="10" spans="1:6" x14ac:dyDescent="0.2">
      <c r="A10" s="91" t="s">
        <v>1558</v>
      </c>
      <c r="D10" s="92" t="s">
        <v>1357</v>
      </c>
      <c r="E10" s="105" t="s">
        <v>1738</v>
      </c>
    </row>
    <row r="11" spans="1:6" x14ac:dyDescent="0.2">
      <c r="A11" s="91" t="s">
        <v>1559</v>
      </c>
      <c r="D11" s="92" t="s">
        <v>1330</v>
      </c>
      <c r="E11" s="92" t="s">
        <v>1220</v>
      </c>
    </row>
    <row r="12" spans="1:6" x14ac:dyDescent="0.2">
      <c r="A12" s="91" t="s">
        <v>1560</v>
      </c>
      <c r="D12" s="92" t="s">
        <v>1224</v>
      </c>
      <c r="E12" s="92" t="s">
        <v>1750</v>
      </c>
    </row>
    <row r="13" spans="1:6" x14ac:dyDescent="0.2">
      <c r="A13" s="91" t="s">
        <v>1561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1751</v>
      </c>
      <c r="B19" s="94" t="s">
        <v>1752</v>
      </c>
      <c r="C19" s="91" t="s">
        <v>1753</v>
      </c>
      <c r="F19" s="91">
        <v>400</v>
      </c>
    </row>
    <row r="20" spans="1:6" x14ac:dyDescent="0.2">
      <c r="C20" s="91" t="s">
        <v>1754</v>
      </c>
    </row>
    <row r="21" spans="1:6" x14ac:dyDescent="0.2">
      <c r="C21" s="91" t="s">
        <v>1755</v>
      </c>
    </row>
    <row r="22" spans="1:6" x14ac:dyDescent="0.2">
      <c r="B22" s="94"/>
    </row>
    <row r="23" spans="1:6" x14ac:dyDescent="0.2">
      <c r="C23" s="94" t="s">
        <v>1562</v>
      </c>
      <c r="F23" s="91">
        <f>F19*6%</f>
        <v>24</v>
      </c>
    </row>
    <row r="24" spans="1:6" x14ac:dyDescent="0.2">
      <c r="B24" s="94"/>
      <c r="C24" s="94"/>
    </row>
    <row r="25" spans="1:6" x14ac:dyDescent="0.2">
      <c r="B25" s="94"/>
      <c r="C25" s="91" t="s">
        <v>562</v>
      </c>
      <c r="F25" s="91">
        <v>26</v>
      </c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2" spans="1:6" ht="13.5" thickBot="1" x14ac:dyDescent="0.25">
      <c r="F32" s="107">
        <f>SUM(F18:F31)</f>
        <v>450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1756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4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1-000000000000}">
  <sheetPr codeName="Sheet321">
    <pageSetUpPr fitToPage="1"/>
  </sheetPr>
  <dimension ref="A1:F52"/>
  <sheetViews>
    <sheetView workbookViewId="0">
      <selection activeCell="A36" sqref="A36:XFD36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4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1" t="s">
        <v>3722</v>
      </c>
    </row>
    <row r="10" spans="1:6" x14ac:dyDescent="0.2">
      <c r="A10" s="91" t="s">
        <v>1564</v>
      </c>
      <c r="D10" s="92" t="s">
        <v>1356</v>
      </c>
      <c r="E10" s="98" t="s">
        <v>3710</v>
      </c>
    </row>
    <row r="11" spans="1:6" x14ac:dyDescent="0.2">
      <c r="A11" s="91" t="s">
        <v>1565</v>
      </c>
      <c r="D11" s="92" t="s">
        <v>1364</v>
      </c>
      <c r="E11" s="92" t="s">
        <v>1220</v>
      </c>
    </row>
    <row r="12" spans="1:6" x14ac:dyDescent="0.2">
      <c r="A12" s="91" t="s">
        <v>1560</v>
      </c>
      <c r="D12" s="92" t="s">
        <v>1224</v>
      </c>
      <c r="E12" s="92" t="s">
        <v>3723</v>
      </c>
    </row>
    <row r="13" spans="1:6" x14ac:dyDescent="0.2">
      <c r="A13" s="91" t="s">
        <v>1561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3724</v>
      </c>
      <c r="B19" s="94" t="s">
        <v>3725</v>
      </c>
      <c r="C19" s="91" t="s">
        <v>3726</v>
      </c>
      <c r="F19" s="91">
        <v>5000</v>
      </c>
    </row>
    <row r="21" spans="1:6" x14ac:dyDescent="0.2">
      <c r="C21" s="91" t="s">
        <v>1562</v>
      </c>
      <c r="F21" s="91">
        <f>F19*6%</f>
        <v>300</v>
      </c>
    </row>
    <row r="22" spans="1:6" x14ac:dyDescent="0.2">
      <c r="B22" s="94"/>
    </row>
    <row r="23" spans="1:6" x14ac:dyDescent="0.2">
      <c r="C23" s="94" t="s">
        <v>562</v>
      </c>
      <c r="F23" s="91">
        <v>591</v>
      </c>
    </row>
    <row r="24" spans="1:6" x14ac:dyDescent="0.2">
      <c r="B24" s="94"/>
    </row>
    <row r="25" spans="1:6" x14ac:dyDescent="0.2">
      <c r="B25" s="94"/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2" spans="1:6" ht="13.5" thickBot="1" x14ac:dyDescent="0.25">
      <c r="F32" s="107">
        <f>SUM(F18:F31)</f>
        <v>5891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2112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1-000000000000}">
  <sheetPr codeName="Sheet66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421</v>
      </c>
    </row>
    <row r="10" spans="1:6" x14ac:dyDescent="0.2">
      <c r="A10" s="1" t="s">
        <v>420</v>
      </c>
      <c r="D10" s="20" t="s">
        <v>27</v>
      </c>
      <c r="E10" s="20" t="s">
        <v>419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418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417</v>
      </c>
    </row>
    <row r="20" spans="1:6" x14ac:dyDescent="0.2">
      <c r="C20" s="13" t="s">
        <v>416</v>
      </c>
    </row>
    <row r="22" spans="1:6" x14ac:dyDescent="0.2">
      <c r="A22" s="1" t="s">
        <v>413</v>
      </c>
      <c r="C22" s="21" t="s">
        <v>415</v>
      </c>
      <c r="F22" s="1">
        <v>3150</v>
      </c>
    </row>
    <row r="23" spans="1:6" x14ac:dyDescent="0.2">
      <c r="C23" s="1" t="s">
        <v>414</v>
      </c>
    </row>
    <row r="26" spans="1:6" x14ac:dyDescent="0.2">
      <c r="A26" s="21" t="s">
        <v>413</v>
      </c>
      <c r="C26" s="1" t="s">
        <v>412</v>
      </c>
      <c r="F26" s="1">
        <v>200</v>
      </c>
    </row>
    <row r="32" spans="1:6" ht="13.5" thickBot="1" x14ac:dyDescent="0.25">
      <c r="F32" s="11">
        <f>SUM(F18:F31)</f>
        <v>3350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411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1-000000000000}">
  <sheetPr codeName="Sheet4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916</v>
      </c>
    </row>
    <row r="10" spans="1:6" x14ac:dyDescent="0.2">
      <c r="A10" s="1" t="s">
        <v>915</v>
      </c>
      <c r="D10" s="20" t="s">
        <v>27</v>
      </c>
      <c r="E10" s="20" t="s">
        <v>914</v>
      </c>
    </row>
    <row r="11" spans="1:6" x14ac:dyDescent="0.2">
      <c r="A11" s="1" t="s">
        <v>913</v>
      </c>
      <c r="D11" s="20" t="s">
        <v>24</v>
      </c>
      <c r="E11" s="20" t="s">
        <v>23</v>
      </c>
    </row>
    <row r="12" spans="1:6" x14ac:dyDescent="0.2">
      <c r="A12" s="1" t="s">
        <v>524</v>
      </c>
      <c r="D12" s="20" t="s">
        <v>22</v>
      </c>
      <c r="E12" s="20" t="s">
        <v>912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2:6" x14ac:dyDescent="0.2">
      <c r="C19" s="13" t="s">
        <v>911</v>
      </c>
    </row>
    <row r="20" spans="2:6" x14ac:dyDescent="0.2">
      <c r="C20" s="13" t="s">
        <v>910</v>
      </c>
    </row>
    <row r="21" spans="2:6" x14ac:dyDescent="0.2">
      <c r="C21" s="13" t="s">
        <v>909</v>
      </c>
    </row>
    <row r="24" spans="2:6" x14ac:dyDescent="0.2">
      <c r="C24" s="1" t="s">
        <v>908</v>
      </c>
      <c r="F24" s="1">
        <v>5000</v>
      </c>
    </row>
    <row r="25" spans="2:6" x14ac:dyDescent="0.2">
      <c r="C25" s="21"/>
    </row>
    <row r="26" spans="2:6" x14ac:dyDescent="0.2">
      <c r="C26" s="21"/>
    </row>
    <row r="27" spans="2:6" x14ac:dyDescent="0.2">
      <c r="C27" s="21"/>
    </row>
    <row r="29" spans="2:6" x14ac:dyDescent="0.2">
      <c r="B29" s="8"/>
    </row>
    <row r="30" spans="2:6" x14ac:dyDescent="0.2">
      <c r="B30" s="8"/>
    </row>
    <row r="31" spans="2:6" x14ac:dyDescent="0.2">
      <c r="B31" s="8"/>
    </row>
    <row r="33" spans="1:6" ht="13.5" thickBot="1" x14ac:dyDescent="0.25">
      <c r="F33" s="25">
        <f>SUM(F19:F32)</f>
        <v>5000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225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1-000000000000}">
  <sheetPr codeName="Sheet4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1187</v>
      </c>
    </row>
    <row r="10" spans="1:6" x14ac:dyDescent="0.2">
      <c r="A10" s="1" t="s">
        <v>1186</v>
      </c>
      <c r="D10" s="20" t="s">
        <v>27</v>
      </c>
      <c r="E10" s="20" t="s">
        <v>260</v>
      </c>
    </row>
    <row r="11" spans="1:6" x14ac:dyDescent="0.2">
      <c r="A11" s="1" t="s">
        <v>1185</v>
      </c>
      <c r="D11" s="20" t="s">
        <v>24</v>
      </c>
      <c r="E11" s="20" t="s">
        <v>23</v>
      </c>
    </row>
    <row r="12" spans="1:6" x14ac:dyDescent="0.2">
      <c r="A12" s="1" t="s">
        <v>342</v>
      </c>
      <c r="D12" s="20" t="s">
        <v>22</v>
      </c>
      <c r="E12" s="20" t="s">
        <v>1184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1167</v>
      </c>
    </row>
    <row r="21" spans="1:6" x14ac:dyDescent="0.2">
      <c r="C21" s="21"/>
    </row>
    <row r="22" spans="1:6" x14ac:dyDescent="0.2">
      <c r="C22" s="21"/>
    </row>
    <row r="23" spans="1:6" x14ac:dyDescent="0.2">
      <c r="C23" s="12"/>
    </row>
    <row r="24" spans="1:6" x14ac:dyDescent="0.2">
      <c r="A24" s="1" t="s">
        <v>1183</v>
      </c>
      <c r="C24" s="1" t="s">
        <v>1165</v>
      </c>
      <c r="F24" s="1">
        <v>993.6</v>
      </c>
    </row>
    <row r="28" spans="1:6" x14ac:dyDescent="0.2"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993.6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1182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1-000000000000}">
  <sheetPr codeName="Sheet49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1004</v>
      </c>
    </row>
    <row r="10" spans="1:6" x14ac:dyDescent="0.2">
      <c r="A10" s="1" t="s">
        <v>1003</v>
      </c>
      <c r="D10" s="20" t="s">
        <v>27</v>
      </c>
      <c r="E10" s="20" t="s">
        <v>589</v>
      </c>
    </row>
    <row r="11" spans="1:6" x14ac:dyDescent="0.2">
      <c r="A11" s="1" t="s">
        <v>1002</v>
      </c>
      <c r="D11" s="20" t="s">
        <v>24</v>
      </c>
      <c r="E11" s="20" t="s">
        <v>23</v>
      </c>
    </row>
    <row r="12" spans="1:6" x14ac:dyDescent="0.2">
      <c r="A12" s="1" t="s">
        <v>1001</v>
      </c>
      <c r="D12" s="20" t="s">
        <v>22</v>
      </c>
      <c r="E12" s="20" t="s">
        <v>1000</v>
      </c>
    </row>
    <row r="13" spans="1:6" x14ac:dyDescent="0.2">
      <c r="A13" s="1" t="s">
        <v>999</v>
      </c>
    </row>
    <row r="14" spans="1:6" x14ac:dyDescent="0.2">
      <c r="A14" s="1" t="s">
        <v>998</v>
      </c>
    </row>
    <row r="17" spans="1:6" s="67" customFormat="1" ht="20.100000000000001" customHeight="1" x14ac:dyDescent="0.2">
      <c r="A17" s="70" t="s">
        <v>20</v>
      </c>
      <c r="B17" s="70"/>
      <c r="C17" s="71" t="s">
        <v>19</v>
      </c>
      <c r="D17" s="70"/>
      <c r="E17" s="69"/>
      <c r="F17" s="68" t="s">
        <v>18</v>
      </c>
    </row>
    <row r="20" spans="1:6" x14ac:dyDescent="0.2">
      <c r="C20" s="13" t="s">
        <v>997</v>
      </c>
    </row>
    <row r="21" spans="1:6" x14ac:dyDescent="0.2">
      <c r="C21" s="13" t="s">
        <v>996</v>
      </c>
    </row>
    <row r="22" spans="1:6" x14ac:dyDescent="0.2">
      <c r="C22" s="21"/>
    </row>
    <row r="23" spans="1:6" x14ac:dyDescent="0.2">
      <c r="A23" s="1" t="s">
        <v>995</v>
      </c>
      <c r="C23" s="1" t="s">
        <v>994</v>
      </c>
      <c r="F23" s="1">
        <v>2580.6</v>
      </c>
    </row>
    <row r="24" spans="1:6" x14ac:dyDescent="0.2">
      <c r="C24" s="1" t="s">
        <v>993</v>
      </c>
      <c r="F24" s="1">
        <v>3870.9</v>
      </c>
    </row>
    <row r="25" spans="1:6" x14ac:dyDescent="0.2">
      <c r="C25" s="21"/>
    </row>
    <row r="26" spans="1:6" x14ac:dyDescent="0.2">
      <c r="A26" s="1" t="s">
        <v>992</v>
      </c>
      <c r="C26" s="1" t="s">
        <v>991</v>
      </c>
      <c r="F26" s="1">
        <v>1935.45</v>
      </c>
    </row>
    <row r="27" spans="1:6" x14ac:dyDescent="0.2">
      <c r="C27" s="21"/>
      <c r="F27" s="13"/>
    </row>
    <row r="28" spans="1:6" x14ac:dyDescent="0.2">
      <c r="B28" s="8"/>
    </row>
    <row r="29" spans="1:6" x14ac:dyDescent="0.2">
      <c r="B29" s="8"/>
    </row>
    <row r="31" spans="1:6" ht="13.5" thickBot="1" x14ac:dyDescent="0.25">
      <c r="F31" s="25">
        <f>SUM(F20:F30)</f>
        <v>8386.9500000000007</v>
      </c>
    </row>
    <row r="32" spans="1:6" ht="13.5" thickTop="1" x14ac:dyDescent="0.2"/>
    <row r="33" spans="1:6" ht="20.100000000000001" customHeight="1" x14ac:dyDescent="0.2">
      <c r="A33" s="10" t="s">
        <v>990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1-000000000000}">
  <sheetPr codeName="Sheet50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1014</v>
      </c>
    </row>
    <row r="10" spans="1:6" x14ac:dyDescent="0.2">
      <c r="A10" s="1" t="s">
        <v>1013</v>
      </c>
      <c r="D10" s="20" t="s">
        <v>27</v>
      </c>
      <c r="E10" s="20" t="s">
        <v>100</v>
      </c>
    </row>
    <row r="11" spans="1:6" x14ac:dyDescent="0.2">
      <c r="A11" s="1" t="s">
        <v>1012</v>
      </c>
      <c r="D11" s="20" t="s">
        <v>24</v>
      </c>
      <c r="E11" s="20" t="s">
        <v>23</v>
      </c>
    </row>
    <row r="12" spans="1:6" x14ac:dyDescent="0.2">
      <c r="A12" s="1" t="s">
        <v>1011</v>
      </c>
      <c r="D12" s="20" t="s">
        <v>22</v>
      </c>
      <c r="E12" s="19" t="s">
        <v>1010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1" spans="1:6" x14ac:dyDescent="0.2">
      <c r="C21" s="13" t="s">
        <v>1009</v>
      </c>
    </row>
    <row r="22" spans="1:6" x14ac:dyDescent="0.2">
      <c r="C22" s="13" t="s">
        <v>1008</v>
      </c>
    </row>
    <row r="23" spans="1:6" x14ac:dyDescent="0.2">
      <c r="C23" s="21"/>
    </row>
    <row r="24" spans="1:6" x14ac:dyDescent="0.2">
      <c r="C24" s="1" t="s">
        <v>1007</v>
      </c>
      <c r="F24" s="1">
        <v>8000</v>
      </c>
    </row>
    <row r="25" spans="1:6" x14ac:dyDescent="0.2">
      <c r="C25" s="21" t="s">
        <v>1006</v>
      </c>
    </row>
    <row r="27" spans="1:6" x14ac:dyDescent="0.2">
      <c r="B27" s="8"/>
    </row>
    <row r="28" spans="1:6" x14ac:dyDescent="0.2">
      <c r="B28" s="8"/>
    </row>
    <row r="30" spans="1:6" ht="13.5" thickBot="1" x14ac:dyDescent="0.25">
      <c r="F30" s="25">
        <f>SUM(F21:F29)</f>
        <v>8000</v>
      </c>
    </row>
    <row r="31" spans="1:6" ht="13.5" thickTop="1" x14ac:dyDescent="0.2"/>
    <row r="32" spans="1:6" ht="20.100000000000001" customHeight="1" x14ac:dyDescent="0.2">
      <c r="A32" s="10" t="s">
        <v>1005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1-000000000000}">
  <sheetPr codeName="Sheet51">
    <pageSetUpPr fitToPage="1"/>
  </sheetPr>
  <dimension ref="A1:J57"/>
  <sheetViews>
    <sheetView view="pageBreakPreview" zoomScaleNormal="100" zoomScaleSheetLayoutView="100" workbookViewId="0">
      <selection activeCell="E11" sqref="E11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</row>
    <row r="2" spans="1:10" x14ac:dyDescent="0.2">
      <c r="A2" s="522" t="s">
        <v>33</v>
      </c>
      <c r="B2" s="522"/>
      <c r="C2" s="522"/>
      <c r="D2" s="522"/>
      <c r="E2" s="522"/>
      <c r="F2" s="522"/>
    </row>
    <row r="3" spans="1:10" x14ac:dyDescent="0.2">
      <c r="A3" s="522" t="s">
        <v>1829</v>
      </c>
      <c r="B3" s="522"/>
      <c r="C3" s="522"/>
      <c r="D3" s="522"/>
      <c r="E3" s="522"/>
      <c r="F3" s="522"/>
    </row>
    <row r="4" spans="1:10" x14ac:dyDescent="0.2">
      <c r="A4" s="522" t="s">
        <v>1828</v>
      </c>
      <c r="B4" s="522"/>
      <c r="C4" s="522"/>
      <c r="D4" s="522"/>
      <c r="E4" s="522"/>
      <c r="F4" s="522"/>
    </row>
    <row r="8" spans="1:10" x14ac:dyDescent="0.2">
      <c r="A8" s="91" t="s">
        <v>32</v>
      </c>
      <c r="D8" s="362" t="s">
        <v>31</v>
      </c>
    </row>
    <row r="9" spans="1:10" x14ac:dyDescent="0.2">
      <c r="D9" s="92" t="s">
        <v>1317</v>
      </c>
      <c r="E9" s="155" t="s">
        <v>7507</v>
      </c>
    </row>
    <row r="10" spans="1:10" x14ac:dyDescent="0.2">
      <c r="A10" s="91" t="s">
        <v>5537</v>
      </c>
      <c r="D10" s="92" t="s">
        <v>1329</v>
      </c>
      <c r="E10" s="155" t="s">
        <v>7500</v>
      </c>
    </row>
    <row r="11" spans="1:10" x14ac:dyDescent="0.2">
      <c r="A11" s="91" t="s">
        <v>5538</v>
      </c>
      <c r="D11" s="92" t="s">
        <v>1330</v>
      </c>
      <c r="E11" s="155" t="s">
        <v>1220</v>
      </c>
    </row>
    <row r="12" spans="1:10" x14ac:dyDescent="0.2">
      <c r="A12" s="91" t="s">
        <v>1016</v>
      </c>
      <c r="D12" s="92" t="s">
        <v>1224</v>
      </c>
      <c r="E12" s="91" t="s">
        <v>7508</v>
      </c>
      <c r="J12" s="91" t="s">
        <v>6201</v>
      </c>
    </row>
    <row r="13" spans="1:10" x14ac:dyDescent="0.2">
      <c r="A13" s="91" t="s">
        <v>1015</v>
      </c>
    </row>
    <row r="14" spans="1:10" x14ac:dyDescent="0.2">
      <c r="A14" s="91" t="s">
        <v>1346</v>
      </c>
      <c r="J14" s="91" t="s">
        <v>6252</v>
      </c>
    </row>
    <row r="16" spans="1:10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C18" s="2" t="s">
        <v>7509</v>
      </c>
    </row>
    <row r="19" spans="1:6" x14ac:dyDescent="0.2">
      <c r="C19" s="2"/>
    </row>
    <row r="20" spans="1:6" x14ac:dyDescent="0.2">
      <c r="A20" s="93" t="s">
        <v>7499</v>
      </c>
      <c r="B20" s="93" t="s">
        <v>7510</v>
      </c>
      <c r="C20" s="91" t="s">
        <v>7511</v>
      </c>
      <c r="F20" s="91">
        <v>21</v>
      </c>
    </row>
    <row r="22" spans="1:6" x14ac:dyDescent="0.2">
      <c r="A22" s="134"/>
      <c r="B22" s="93"/>
      <c r="C22" s="2"/>
    </row>
    <row r="23" spans="1:6" x14ac:dyDescent="0.2">
      <c r="A23" s="134"/>
      <c r="B23" s="93"/>
    </row>
    <row r="24" spans="1:6" x14ac:dyDescent="0.2">
      <c r="A24" s="93"/>
      <c r="B24" s="93"/>
    </row>
    <row r="25" spans="1:6" x14ac:dyDescent="0.2">
      <c r="A25" s="112"/>
    </row>
    <row r="26" spans="1:6" x14ac:dyDescent="0.2">
      <c r="A26" s="112"/>
    </row>
    <row r="27" spans="1:6" x14ac:dyDescent="0.2">
      <c r="A27" s="112"/>
    </row>
    <row r="28" spans="1:6" x14ac:dyDescent="0.2">
      <c r="A28" s="112"/>
    </row>
    <row r="29" spans="1:6" x14ac:dyDescent="0.2">
      <c r="A29" s="112"/>
    </row>
    <row r="31" spans="1:6" x14ac:dyDescent="0.2">
      <c r="A31" s="134"/>
      <c r="B31" s="93"/>
    </row>
    <row r="33" spans="1:6" x14ac:dyDescent="0.2">
      <c r="A33" s="134"/>
      <c r="B33" s="93"/>
    </row>
    <row r="34" spans="1:6" s="91" customFormat="1" ht="13.5" thickBot="1" x14ac:dyDescent="0.25">
      <c r="F34" s="107">
        <f>SUM(F18:F32)</f>
        <v>21</v>
      </c>
    </row>
    <row r="35" spans="1:6" s="91" customFormat="1" ht="13.5" thickTop="1" x14ac:dyDescent="0.2">
      <c r="F35" s="101"/>
    </row>
    <row r="36" spans="1:6" s="91" customFormat="1" ht="20.100000000000001" customHeight="1" x14ac:dyDescent="0.2">
      <c r="A36" s="96" t="s">
        <v>122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Twenty-One and NO/100 -----------</v>
      </c>
      <c r="C36" s="97"/>
      <c r="D36" s="97"/>
      <c r="E36" s="97"/>
      <c r="F36" s="207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/>
    <row r="40" spans="1:6" s="91" customFormat="1" x14ac:dyDescent="0.2">
      <c r="D40" s="227"/>
      <c r="E40" s="227"/>
      <c r="F40" s="227"/>
    </row>
    <row r="41" spans="1:6" s="91" customFormat="1" x14ac:dyDescent="0.2">
      <c r="C41" s="99"/>
      <c r="D41" s="228"/>
      <c r="E41" s="229"/>
      <c r="F41" s="229"/>
    </row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91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  <row r="56" spans="1:4" s="91" customFormat="1" x14ac:dyDescent="0.2"/>
    <row r="57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34"/>
  <dimension ref="A1:H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71093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6366</v>
      </c>
      <c r="F9" s="92" t="s">
        <v>1317</v>
      </c>
      <c r="G9" s="91" t="s">
        <v>6361</v>
      </c>
    </row>
    <row r="10" spans="1:8" x14ac:dyDescent="0.2">
      <c r="A10" s="91" t="s">
        <v>6367</v>
      </c>
      <c r="F10" s="92" t="s">
        <v>1329</v>
      </c>
      <c r="G10" s="91" t="s">
        <v>6356</v>
      </c>
    </row>
    <row r="11" spans="1:8" x14ac:dyDescent="0.2">
      <c r="A11" s="91" t="s">
        <v>6368</v>
      </c>
      <c r="F11" s="92" t="s">
        <v>1330</v>
      </c>
      <c r="G11" s="91" t="s">
        <v>1220</v>
      </c>
    </row>
    <row r="12" spans="1:8" x14ac:dyDescent="0.2">
      <c r="F12" s="92" t="s">
        <v>1331</v>
      </c>
      <c r="G12" s="94" t="s">
        <v>770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6364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6362</v>
      </c>
      <c r="B20" s="93" t="s">
        <v>6363</v>
      </c>
      <c r="C20" s="93"/>
      <c r="D20" s="91" t="s">
        <v>6365</v>
      </c>
      <c r="H20" s="91">
        <f>18000*4.9032</f>
        <v>88257.600000000006</v>
      </c>
    </row>
    <row r="21" spans="1:8" x14ac:dyDescent="0.2">
      <c r="A21" s="93"/>
      <c r="B21" s="94"/>
      <c r="C21" s="94"/>
      <c r="D21" s="91" t="s">
        <v>6369</v>
      </c>
    </row>
    <row r="22" spans="1:8" x14ac:dyDescent="0.2">
      <c r="A22" s="93"/>
      <c r="B22" s="99"/>
      <c r="C22" s="99"/>
    </row>
    <row r="23" spans="1:8" x14ac:dyDescent="0.2">
      <c r="D23" s="91" t="s">
        <v>52</v>
      </c>
      <c r="H23" s="91">
        <v>30</v>
      </c>
    </row>
    <row r="25" spans="1:8" x14ac:dyDescent="0.2">
      <c r="A25" s="137"/>
      <c r="B25" s="99"/>
      <c r="C25" s="99"/>
      <c r="D25" s="91" t="s">
        <v>2147</v>
      </c>
      <c r="H25" s="91">
        <v>1.8</v>
      </c>
    </row>
    <row r="28" spans="1:8" x14ac:dyDescent="0.2">
      <c r="D28" s="2"/>
      <c r="E28" s="2"/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</row>
    <row r="31" spans="1:8" x14ac:dyDescent="0.2">
      <c r="A31" s="99"/>
    </row>
    <row r="32" spans="1:8" x14ac:dyDescent="0.2">
      <c r="A32" s="137"/>
      <c r="B32" s="94"/>
      <c r="C32" s="94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88289.400000000009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Eighty-Eight Thousand Two Hundred Eighty-Nine and 40/100 -----------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A39" s="1"/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  <c r="B41" s="1"/>
      <c r="C41" s="1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7" spans="1:8" x14ac:dyDescent="0.2">
      <c r="A47" s="1"/>
      <c r="D47" s="1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1-000000000000}">
  <sheetPr codeName="Sheet5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5" style="1" customWidth="1"/>
    <col min="2" max="2" width="1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1024</v>
      </c>
    </row>
    <row r="10" spans="1:6" x14ac:dyDescent="0.2">
      <c r="A10" s="21" t="s">
        <v>1023</v>
      </c>
      <c r="D10" s="20" t="s">
        <v>27</v>
      </c>
      <c r="E10" s="19" t="s">
        <v>131</v>
      </c>
    </row>
    <row r="11" spans="1:6" x14ac:dyDescent="0.2">
      <c r="A11" s="21" t="s">
        <v>1017</v>
      </c>
      <c r="D11" s="20" t="s">
        <v>24</v>
      </c>
      <c r="E11" s="20" t="s">
        <v>23</v>
      </c>
    </row>
    <row r="12" spans="1:6" x14ac:dyDescent="0.2">
      <c r="A12" s="21" t="s">
        <v>1016</v>
      </c>
      <c r="D12" s="20" t="s">
        <v>22</v>
      </c>
      <c r="E12" s="19" t="s">
        <v>1022</v>
      </c>
    </row>
    <row r="13" spans="1:6" x14ac:dyDescent="0.2">
      <c r="A13" s="21" t="s">
        <v>1015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7" spans="1:6" x14ac:dyDescent="0.2">
      <c r="A17" s="75"/>
    </row>
    <row r="18" spans="1:6" x14ac:dyDescent="0.2">
      <c r="A18" s="75"/>
    </row>
    <row r="19" spans="1:6" x14ac:dyDescent="0.2">
      <c r="A19" s="75"/>
      <c r="C19" s="21"/>
    </row>
    <row r="20" spans="1:6" x14ac:dyDescent="0.2">
      <c r="A20" s="76">
        <v>40583</v>
      </c>
      <c r="B20" s="54" t="s">
        <v>1021</v>
      </c>
      <c r="C20" s="13" t="s">
        <v>1020</v>
      </c>
    </row>
    <row r="21" spans="1:6" x14ac:dyDescent="0.2">
      <c r="A21" s="75"/>
      <c r="C21" s="21" t="s">
        <v>1019</v>
      </c>
      <c r="F21" s="1">
        <v>1200</v>
      </c>
    </row>
    <row r="23" spans="1:6" x14ac:dyDescent="0.2">
      <c r="A23" s="75"/>
      <c r="B23" s="54"/>
      <c r="C23" s="13"/>
    </row>
    <row r="24" spans="1:6" x14ac:dyDescent="0.2">
      <c r="A24" s="76"/>
      <c r="C24" s="21"/>
    </row>
    <row r="25" spans="1:6" x14ac:dyDescent="0.2">
      <c r="A25" s="75"/>
      <c r="C25" s="21"/>
      <c r="F25" s="21"/>
    </row>
    <row r="26" spans="1:6" x14ac:dyDescent="0.2">
      <c r="A26" s="75"/>
    </row>
    <row r="27" spans="1:6" x14ac:dyDescent="0.2">
      <c r="A27" s="75"/>
      <c r="B27" s="8"/>
      <c r="C27" s="21"/>
    </row>
    <row r="28" spans="1:6" x14ac:dyDescent="0.2">
      <c r="A28" s="75"/>
      <c r="B28" s="8"/>
    </row>
    <row r="29" spans="1:6" x14ac:dyDescent="0.2">
      <c r="A29" s="75"/>
    </row>
    <row r="30" spans="1:6" ht="13.5" thickBot="1" x14ac:dyDescent="0.25">
      <c r="A30" s="75"/>
      <c r="F30" s="25">
        <f>SUM(F19:F29)</f>
        <v>1200</v>
      </c>
    </row>
    <row r="31" spans="1:6" ht="13.5" thickTop="1" x14ac:dyDescent="0.2">
      <c r="A31" s="75"/>
    </row>
    <row r="32" spans="1:6" ht="20.100000000000001" customHeight="1" x14ac:dyDescent="0.2">
      <c r="A32" s="24" t="s">
        <v>1018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A36" s="6"/>
      <c r="D36" s="218" t="s">
        <v>3975</v>
      </c>
      <c r="E36" s="219"/>
      <c r="F36" s="220"/>
    </row>
    <row r="37" spans="1:6" x14ac:dyDescent="0.2">
      <c r="A37" s="41" t="s">
        <v>121</v>
      </c>
      <c r="C37" s="7"/>
    </row>
    <row r="38" spans="1:6" x14ac:dyDescent="0.2">
      <c r="A38" s="41"/>
      <c r="C38" s="7"/>
    </row>
    <row r="39" spans="1:6" x14ac:dyDescent="0.2">
      <c r="A39" s="74"/>
      <c r="B39" s="23"/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2" spans="1:6" x14ac:dyDescent="0.2">
      <c r="A42" s="6"/>
    </row>
    <row r="43" spans="1:6" x14ac:dyDescent="0.2">
      <c r="A43" s="6"/>
    </row>
    <row r="44" spans="1:6" x14ac:dyDescent="0.2">
      <c r="A44" s="73" t="s">
        <v>658</v>
      </c>
      <c r="B44" s="23"/>
      <c r="D44" s="23"/>
      <c r="E44" s="53"/>
      <c r="F44" s="23"/>
    </row>
    <row r="45" spans="1:6" s="3" customFormat="1" ht="17.100000000000001" customHeight="1" x14ac:dyDescent="0.2">
      <c r="A45" s="72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4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1-000000000000}">
  <sheetPr codeName="Sheet55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1034</v>
      </c>
    </row>
    <row r="10" spans="1:6" x14ac:dyDescent="0.2">
      <c r="A10" s="1" t="s">
        <v>1033</v>
      </c>
      <c r="D10" s="20" t="s">
        <v>27</v>
      </c>
      <c r="E10" s="20" t="s">
        <v>48</v>
      </c>
    </row>
    <row r="11" spans="1:6" x14ac:dyDescent="0.2">
      <c r="A11" s="1" t="s">
        <v>1032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1031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8" spans="1:6" x14ac:dyDescent="0.2">
      <c r="C18" s="21"/>
    </row>
    <row r="19" spans="1:6" x14ac:dyDescent="0.2">
      <c r="C19" s="13" t="s">
        <v>1030</v>
      </c>
    </row>
    <row r="20" spans="1:6" x14ac:dyDescent="0.2">
      <c r="C20" s="13" t="s">
        <v>1029</v>
      </c>
    </row>
    <row r="22" spans="1:6" x14ac:dyDescent="0.2">
      <c r="C22" s="8"/>
    </row>
    <row r="23" spans="1:6" x14ac:dyDescent="0.2">
      <c r="A23" s="1" t="s">
        <v>1028</v>
      </c>
      <c r="C23" s="1" t="s">
        <v>1027</v>
      </c>
      <c r="F23" s="1">
        <v>3960</v>
      </c>
    </row>
    <row r="24" spans="1:6" x14ac:dyDescent="0.2">
      <c r="C24" s="1" t="s">
        <v>1026</v>
      </c>
    </row>
    <row r="32" spans="1:6" ht="13.5" thickBot="1" x14ac:dyDescent="0.25">
      <c r="F32" s="11">
        <f>SUM(F19:F31)</f>
        <v>3960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1025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1-000000000000}">
  <sheetPr codeName="Sheet591"/>
  <dimension ref="A1:H61"/>
  <sheetViews>
    <sheetView view="pageBreakPreview" zoomScaleNormal="100" zoomScaleSheetLayoutView="100" workbookViewId="0">
      <selection activeCell="D42" sqref="D42"/>
    </sheetView>
  </sheetViews>
  <sheetFormatPr defaultRowHeight="12.75" x14ac:dyDescent="0.2"/>
  <cols>
    <col min="1" max="1" width="15.140625" style="1" customWidth="1"/>
    <col min="2" max="2" width="14" style="1" customWidth="1"/>
    <col min="3" max="3" width="1.42578125" style="1" customWidth="1"/>
    <col min="4" max="4" width="20.7109375" style="1" customWidth="1"/>
    <col min="5" max="5" width="1.140625" style="1" customWidth="1"/>
    <col min="6" max="6" width="14.1406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91" t="s">
        <v>8544</v>
      </c>
    </row>
    <row r="10" spans="1:8" s="91" customFormat="1" x14ac:dyDescent="0.2">
      <c r="A10" s="91" t="s">
        <v>2671</v>
      </c>
      <c r="F10" s="92" t="s">
        <v>1357</v>
      </c>
      <c r="G10" s="92" t="s">
        <v>8546</v>
      </c>
    </row>
    <row r="11" spans="1:8" s="91" customFormat="1" x14ac:dyDescent="0.2">
      <c r="A11" s="91" t="s">
        <v>2670</v>
      </c>
      <c r="F11" s="92" t="s">
        <v>1330</v>
      </c>
      <c r="G11" s="92" t="s">
        <v>1220</v>
      </c>
    </row>
    <row r="12" spans="1:8" s="91" customFormat="1" x14ac:dyDescent="0.2">
      <c r="A12" s="91" t="s">
        <v>1659</v>
      </c>
      <c r="F12" s="92" t="s">
        <v>1224</v>
      </c>
      <c r="G12" s="92" t="s">
        <v>8545</v>
      </c>
    </row>
    <row r="13" spans="1:8" s="91" customFormat="1" x14ac:dyDescent="0.2">
      <c r="A13" s="91" t="s">
        <v>2672</v>
      </c>
    </row>
    <row r="14" spans="1:8" s="91" customFormat="1" x14ac:dyDescent="0.2">
      <c r="A14" s="91" t="s">
        <v>2673</v>
      </c>
    </row>
    <row r="15" spans="1:8" s="91" customFormat="1" x14ac:dyDescent="0.2"/>
    <row r="16" spans="1:8" s="91" customFormat="1" x14ac:dyDescent="0.2"/>
    <row r="17" spans="1:8" s="14" customFormat="1" ht="20.100000000000001" customHeight="1" x14ac:dyDescent="0.2">
      <c r="A17" s="17" t="s">
        <v>1261</v>
      </c>
      <c r="B17" s="31" t="s">
        <v>1262</v>
      </c>
      <c r="C17" s="414"/>
      <c r="D17" s="18" t="s">
        <v>19</v>
      </c>
      <c r="E17" s="18"/>
      <c r="F17" s="17"/>
      <c r="G17" s="16"/>
      <c r="H17" s="15" t="s">
        <v>18</v>
      </c>
    </row>
    <row r="18" spans="1:8" s="91" customFormat="1" x14ac:dyDescent="0.2"/>
    <row r="19" spans="1:8" s="91" customFormat="1" x14ac:dyDescent="0.2">
      <c r="A19" s="93" t="s">
        <v>8520</v>
      </c>
      <c r="B19" s="93" t="s">
        <v>8547</v>
      </c>
      <c r="C19" s="93"/>
      <c r="D19" s="91" t="s">
        <v>8548</v>
      </c>
      <c r="E19" s="2"/>
      <c r="H19" s="91">
        <v>190</v>
      </c>
    </row>
    <row r="20" spans="1:8" s="91" customFormat="1" x14ac:dyDescent="0.2">
      <c r="D20" s="2"/>
      <c r="E20" s="2"/>
    </row>
    <row r="21" spans="1:8" s="91" customFormat="1" x14ac:dyDescent="0.2">
      <c r="A21" s="93"/>
      <c r="B21" s="93"/>
      <c r="C21" s="93"/>
    </row>
    <row r="22" spans="1:8" s="91" customFormat="1" x14ac:dyDescent="0.2">
      <c r="A22" s="93"/>
      <c r="B22" s="93"/>
      <c r="C22" s="93"/>
    </row>
    <row r="23" spans="1:8" s="91" customFormat="1" x14ac:dyDescent="0.2">
      <c r="A23" s="93"/>
      <c r="B23" s="415"/>
      <c r="C23" s="415"/>
    </row>
    <row r="24" spans="1:8" s="91" customFormat="1" x14ac:dyDescent="0.2"/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</row>
    <row r="27" spans="1:8" s="91" customFormat="1" x14ac:dyDescent="0.2">
      <c r="A27" s="93"/>
      <c r="B27" s="93"/>
      <c r="C27" s="93"/>
    </row>
    <row r="28" spans="1:8" s="91" customFormat="1" x14ac:dyDescent="0.2">
      <c r="A28" s="93"/>
      <c r="B28" s="93"/>
      <c r="C28" s="93"/>
    </row>
    <row r="29" spans="1:8" s="91" customFormat="1" x14ac:dyDescent="0.2">
      <c r="A29" s="93"/>
      <c r="B29" s="93"/>
      <c r="C29" s="93"/>
    </row>
    <row r="30" spans="1:8" s="91" customFormat="1" x14ac:dyDescent="0.2">
      <c r="A30" s="93"/>
      <c r="B30" s="93"/>
      <c r="C30" s="93"/>
    </row>
    <row r="31" spans="1:8" s="91" customFormat="1" x14ac:dyDescent="0.2">
      <c r="A31" s="93"/>
      <c r="B31" s="93"/>
      <c r="C31" s="93"/>
    </row>
    <row r="32" spans="1:8" s="91" customFormat="1" x14ac:dyDescent="0.2">
      <c r="A32" s="93"/>
      <c r="B32" s="93"/>
      <c r="C32" s="93"/>
    </row>
    <row r="33" spans="1:8" s="91" customFormat="1" x14ac:dyDescent="0.2">
      <c r="A33" s="93"/>
      <c r="B33" s="93"/>
      <c r="C33" s="93"/>
    </row>
    <row r="34" spans="1:8" s="91" customFormat="1" x14ac:dyDescent="0.2">
      <c r="A34" s="93"/>
      <c r="B34" s="93"/>
      <c r="C34" s="93"/>
    </row>
    <row r="35" spans="1:8" s="91" customFormat="1" hidden="1" x14ac:dyDescent="0.2">
      <c r="A35" s="93"/>
      <c r="B35" s="93"/>
      <c r="C35" s="93"/>
    </row>
    <row r="36" spans="1:8" s="91" customFormat="1" x14ac:dyDescent="0.2">
      <c r="A36" s="93"/>
      <c r="B36" s="93"/>
      <c r="C36" s="93"/>
    </row>
    <row r="37" spans="1:8" s="91" customFormat="1" x14ac:dyDescent="0.2"/>
    <row r="38" spans="1:8" s="91" customFormat="1" ht="13.5" thickBot="1" x14ac:dyDescent="0.25">
      <c r="H38" s="107">
        <f>SUM(H19:H37)</f>
        <v>190</v>
      </c>
    </row>
    <row r="39" spans="1:8" s="91" customFormat="1" ht="13.5" thickTop="1" x14ac:dyDescent="0.2"/>
    <row r="40" spans="1:8" s="91" customFormat="1" ht="20.100000000000001" customHeight="1" x14ac:dyDescent="0.2">
      <c r="A40" s="96" t="s">
        <v>2674</v>
      </c>
      <c r="B40" s="96" t="s">
        <v>2675</v>
      </c>
      <c r="C40" s="96"/>
      <c r="D40" s="97"/>
      <c r="E40" s="97"/>
      <c r="F40" s="206"/>
      <c r="G40" s="206"/>
      <c r="H40" s="206"/>
    </row>
    <row r="41" spans="1:8" s="91" customFormat="1" x14ac:dyDescent="0.2">
      <c r="A41" s="94" t="s">
        <v>11</v>
      </c>
    </row>
    <row r="42" spans="1:8" s="91" customFormat="1" ht="25.5" x14ac:dyDescent="0.2">
      <c r="A42" s="91" t="s">
        <v>10</v>
      </c>
      <c r="F42" s="218" t="s">
        <v>3975</v>
      </c>
      <c r="G42" s="219"/>
      <c r="H42" s="220"/>
    </row>
    <row r="43" spans="1:8" s="91" customFormat="1" x14ac:dyDescent="0.2">
      <c r="F43" s="227"/>
      <c r="G43" s="227"/>
      <c r="H43" s="227"/>
    </row>
    <row r="44" spans="1:8" s="91" customFormat="1" x14ac:dyDescent="0.2">
      <c r="F44" s="228"/>
      <c r="G44" s="229"/>
      <c r="H44" s="229"/>
    </row>
    <row r="45" spans="1:8" s="91" customFormat="1" x14ac:dyDescent="0.2"/>
    <row r="46" spans="1:8" s="91" customFormat="1" x14ac:dyDescent="0.2">
      <c r="A46" s="101"/>
      <c r="B46" s="101"/>
      <c r="C46" s="386"/>
    </row>
    <row r="47" spans="1:8" s="91" customFormat="1" x14ac:dyDescent="0.2"/>
    <row r="48" spans="1:8" s="91" customFormat="1" x14ac:dyDescent="0.2">
      <c r="A48" s="98" t="s">
        <v>8</v>
      </c>
      <c r="D48" s="98" t="s">
        <v>8</v>
      </c>
      <c r="F48" s="98" t="s">
        <v>7</v>
      </c>
      <c r="H48" s="102"/>
    </row>
    <row r="49" spans="1:8" s="91" customFormat="1" x14ac:dyDescent="0.2"/>
    <row r="50" spans="1:8" s="91" customFormat="1" x14ac:dyDescent="0.2"/>
    <row r="51" spans="1:8" s="91" customFormat="1" x14ac:dyDescent="0.2"/>
    <row r="52" spans="1:8" s="91" customFormat="1" x14ac:dyDescent="0.2"/>
    <row r="53" spans="1:8" s="91" customFormat="1" x14ac:dyDescent="0.2">
      <c r="A53" s="101"/>
      <c r="B53" s="101"/>
      <c r="C53" s="386"/>
      <c r="D53" s="101"/>
      <c r="F53" s="101"/>
      <c r="G53" s="101"/>
      <c r="H53" s="101"/>
    </row>
    <row r="54" spans="1:8" s="61" customFormat="1" ht="17.100000000000001" customHeight="1" x14ac:dyDescent="0.2">
      <c r="A54" s="103" t="s">
        <v>4066</v>
      </c>
      <c r="B54" s="104"/>
      <c r="C54" s="104"/>
      <c r="D54" s="103" t="s">
        <v>50</v>
      </c>
      <c r="F54" s="61" t="s">
        <v>3</v>
      </c>
    </row>
    <row r="55" spans="1:8" s="91" customFormat="1" x14ac:dyDescent="0.2">
      <c r="F55" s="91" t="s">
        <v>2</v>
      </c>
    </row>
    <row r="56" spans="1:8" s="91" customFormat="1" x14ac:dyDescent="0.2"/>
    <row r="57" spans="1:8" s="91" customFormat="1" x14ac:dyDescent="0.2">
      <c r="F57" s="2" t="s">
        <v>1</v>
      </c>
    </row>
    <row r="58" spans="1:8" s="91" customFormat="1" x14ac:dyDescent="0.2">
      <c r="F58" s="2" t="s">
        <v>0</v>
      </c>
    </row>
    <row r="59" spans="1:8" s="91" customFormat="1" x14ac:dyDescent="0.2"/>
    <row r="60" spans="1:8" s="91" customFormat="1" x14ac:dyDescent="0.2"/>
    <row r="61" spans="1:8" s="91" customFormat="1" x14ac:dyDescent="0.2"/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4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1-000000000000}">
  <sheetPr codeName="Sheet593">
    <pageSetUpPr fitToPage="1"/>
  </sheetPr>
  <dimension ref="A1:P59"/>
  <sheetViews>
    <sheetView topLeftCell="A7"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A9" s="91" t="s">
        <v>5794</v>
      </c>
      <c r="F9" s="92" t="s">
        <v>1317</v>
      </c>
      <c r="G9" s="155" t="s">
        <v>6757</v>
      </c>
    </row>
    <row r="10" spans="1:16" x14ac:dyDescent="0.2">
      <c r="A10" s="91" t="s">
        <v>5795</v>
      </c>
      <c r="F10" s="92" t="s">
        <v>1329</v>
      </c>
      <c r="G10" s="155" t="s">
        <v>6755</v>
      </c>
    </row>
    <row r="11" spans="1:16" x14ac:dyDescent="0.2">
      <c r="A11" s="91" t="s">
        <v>5796</v>
      </c>
      <c r="F11" s="92" t="s">
        <v>1330</v>
      </c>
      <c r="G11" s="155" t="s">
        <v>1220</v>
      </c>
    </row>
    <row r="12" spans="1:16" x14ac:dyDescent="0.2">
      <c r="A12" s="91" t="s">
        <v>5797</v>
      </c>
      <c r="F12" s="92" t="s">
        <v>1331</v>
      </c>
      <c r="G12" s="91" t="s">
        <v>770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5798</v>
      </c>
      <c r="E18" s="2"/>
      <c r="M18" s="91"/>
      <c r="N18" s="91"/>
      <c r="O18" s="91"/>
      <c r="P18" s="91"/>
    </row>
    <row r="19" spans="1:16" x14ac:dyDescent="0.2">
      <c r="A19" s="93"/>
      <c r="B19" s="93"/>
      <c r="C19" s="93"/>
      <c r="M19" s="91"/>
      <c r="N19" s="91"/>
      <c r="O19" s="91"/>
      <c r="P19" s="91"/>
    </row>
    <row r="20" spans="1:16" x14ac:dyDescent="0.2">
      <c r="A20" s="93" t="s">
        <v>6732</v>
      </c>
      <c r="B20" s="93" t="s">
        <v>6758</v>
      </c>
      <c r="C20" s="93"/>
      <c r="D20" s="91" t="s">
        <v>6759</v>
      </c>
      <c r="H20" s="91">
        <f>2470*4.1393</f>
        <v>10224.071000000002</v>
      </c>
      <c r="M20" s="91"/>
      <c r="N20" s="91"/>
      <c r="O20" s="91"/>
      <c r="P20" s="91"/>
    </row>
    <row r="21" spans="1:16" x14ac:dyDescent="0.2">
      <c r="A21" s="93"/>
      <c r="B21" s="93"/>
      <c r="C21" s="93"/>
      <c r="D21" s="91" t="s">
        <v>6760</v>
      </c>
      <c r="M21" s="91"/>
      <c r="N21" s="91"/>
      <c r="O21" s="91"/>
      <c r="P21" s="91"/>
    </row>
    <row r="22" spans="1:16" x14ac:dyDescent="0.2">
      <c r="A22" s="93"/>
      <c r="B22" s="93"/>
      <c r="C22" s="93"/>
      <c r="M22" s="91"/>
      <c r="N22" s="91"/>
      <c r="O22" s="91"/>
      <c r="P22" s="91"/>
    </row>
    <row r="23" spans="1:16" x14ac:dyDescent="0.2">
      <c r="A23" s="93"/>
      <c r="B23" s="93"/>
      <c r="C23" s="93"/>
      <c r="M23" s="91"/>
      <c r="N23" s="91"/>
      <c r="O23" s="91"/>
      <c r="P23" s="91"/>
    </row>
    <row r="24" spans="1:16" x14ac:dyDescent="0.2">
      <c r="M24" s="91"/>
      <c r="N24" s="91"/>
      <c r="O24" s="91"/>
      <c r="P24" s="91"/>
    </row>
    <row r="25" spans="1:16" x14ac:dyDescent="0.2">
      <c r="A25" s="93"/>
      <c r="B25" s="93"/>
      <c r="C25" s="93"/>
      <c r="M25" s="91"/>
      <c r="N25" s="91"/>
      <c r="O25" s="91"/>
      <c r="P25" s="91"/>
    </row>
    <row r="26" spans="1:16" x14ac:dyDescent="0.2">
      <c r="A26" s="93"/>
      <c r="B26" s="93"/>
      <c r="C26" s="93"/>
    </row>
    <row r="33" spans="1:8" x14ac:dyDescent="0.2">
      <c r="A33" s="106"/>
      <c r="H33" s="1"/>
    </row>
    <row r="34" spans="1:8" ht="13.5" thickBot="1" x14ac:dyDescent="0.25">
      <c r="A34" s="106"/>
      <c r="H34" s="107">
        <f>SUM(H18:H33)</f>
        <v>10224.071000000002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Ten Thousand Two Hundred Twenty-Four and 7/100 -----------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61" t="s">
        <v>4066</v>
      </c>
      <c r="B49" s="104"/>
      <c r="C49" s="104"/>
      <c r="D49" s="6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  <row r="59" spans="1:8" x14ac:dyDescent="0.2">
      <c r="F59" s="91" t="s">
        <v>6730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E41CE-0A50-4CEC-A740-EE320A851572}">
  <sheetPr codeName="Sheet700">
    <pageSetUpPr fitToPage="1"/>
  </sheetPr>
  <dimension ref="A1:S56"/>
  <sheetViews>
    <sheetView view="pageBreakPreview" topLeftCell="A4" zoomScaleNormal="100" zoomScaleSheetLayoutView="100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140625" style="91" customWidth="1"/>
    <col min="3" max="3" width="0.5703125" style="91" customWidth="1"/>
    <col min="4" max="4" width="23" style="91" customWidth="1"/>
    <col min="5" max="5" width="1" style="91" customWidth="1"/>
    <col min="6" max="6" width="13.5703125" style="91" customWidth="1"/>
    <col min="7" max="7" width="9.5703125" style="91" customWidth="1"/>
    <col min="8" max="8" width="13" style="91" customWidth="1"/>
    <col min="9" max="18" width="9.140625" style="91"/>
    <col min="19" max="19" width="10.85546875" style="91" bestFit="1" customWidth="1"/>
    <col min="20" max="16384" width="9.140625" style="9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F8" s="22" t="s">
        <v>31</v>
      </c>
    </row>
    <row r="9" spans="1:19" x14ac:dyDescent="0.2">
      <c r="F9" s="92" t="s">
        <v>1221</v>
      </c>
      <c r="G9" s="91" t="s">
        <v>7191</v>
      </c>
    </row>
    <row r="10" spans="1:19" x14ac:dyDescent="0.2">
      <c r="A10" s="91" t="s">
        <v>7190</v>
      </c>
      <c r="F10" s="92" t="s">
        <v>1335</v>
      </c>
      <c r="G10" s="92" t="s">
        <v>7176</v>
      </c>
    </row>
    <row r="11" spans="1:19" x14ac:dyDescent="0.2">
      <c r="A11" s="91" t="s">
        <v>7189</v>
      </c>
      <c r="F11" s="92" t="s">
        <v>1354</v>
      </c>
      <c r="G11" s="92" t="s">
        <v>1220</v>
      </c>
    </row>
    <row r="12" spans="1:19" x14ac:dyDescent="0.2">
      <c r="A12" s="91" t="s">
        <v>7188</v>
      </c>
      <c r="F12" s="92" t="s">
        <v>1377</v>
      </c>
      <c r="G12" s="92" t="s">
        <v>770</v>
      </c>
    </row>
    <row r="13" spans="1:19" x14ac:dyDescent="0.2">
      <c r="A13" s="91" t="s">
        <v>7187</v>
      </c>
      <c r="L13" s="93"/>
      <c r="M13" s="93"/>
      <c r="N13" s="93"/>
      <c r="O13" s="2" t="s">
        <v>7177</v>
      </c>
      <c r="P13" s="2"/>
    </row>
    <row r="15" spans="1:19" x14ac:dyDescent="0.2">
      <c r="L15" s="93" t="s">
        <v>7068</v>
      </c>
      <c r="M15" s="195" t="s">
        <v>7178</v>
      </c>
      <c r="N15" s="99"/>
      <c r="O15" s="91" t="s">
        <v>7179</v>
      </c>
      <c r="S15" s="91">
        <f>63000000*0.000306</f>
        <v>19278</v>
      </c>
    </row>
    <row r="16" spans="1:19" s="14" customFormat="1" ht="20.100000000000001" customHeight="1" x14ac:dyDescent="0.2">
      <c r="A16" s="17" t="s">
        <v>1261</v>
      </c>
      <c r="B16" s="31" t="s">
        <v>1262</v>
      </c>
      <c r="C16" s="31"/>
      <c r="D16" s="528" t="s">
        <v>19</v>
      </c>
      <c r="E16" s="528"/>
      <c r="F16" s="528"/>
      <c r="G16" s="16"/>
      <c r="H16" s="15" t="s">
        <v>18</v>
      </c>
      <c r="L16" s="93"/>
      <c r="M16" s="93"/>
      <c r="N16" s="99"/>
      <c r="O16" s="91" t="s">
        <v>7180</v>
      </c>
      <c r="P16" s="91"/>
      <c r="Q16" s="91"/>
      <c r="R16" s="91"/>
      <c r="S16" s="91"/>
    </row>
    <row r="17" spans="1:19" x14ac:dyDescent="0.2">
      <c r="P17" s="2"/>
    </row>
    <row r="18" spans="1:19" x14ac:dyDescent="0.2">
      <c r="A18" s="93"/>
      <c r="B18" s="93"/>
      <c r="C18" s="93"/>
      <c r="D18" s="2" t="s">
        <v>7059</v>
      </c>
      <c r="E18" s="2"/>
      <c r="L18" s="93" t="s">
        <v>7181</v>
      </c>
      <c r="M18" s="195" t="s">
        <v>7182</v>
      </c>
      <c r="N18" s="93"/>
      <c r="O18" s="91" t="s">
        <v>7183</v>
      </c>
      <c r="S18" s="91">
        <f>63000000*0.000306</f>
        <v>19278</v>
      </c>
    </row>
    <row r="19" spans="1:19" x14ac:dyDescent="0.2">
      <c r="L19" s="93"/>
      <c r="M19" s="93"/>
      <c r="N19" s="99"/>
      <c r="O19" s="91" t="s">
        <v>7180</v>
      </c>
    </row>
    <row r="20" spans="1:19" x14ac:dyDescent="0.2">
      <c r="A20" s="93" t="s">
        <v>7143</v>
      </c>
      <c r="B20" s="195" t="s">
        <v>7186</v>
      </c>
      <c r="C20" s="99"/>
      <c r="D20" s="91" t="s">
        <v>7185</v>
      </c>
      <c r="H20" s="91">
        <f>300000*0.039018</f>
        <v>11705.4</v>
      </c>
      <c r="L20" s="93"/>
      <c r="M20" s="93"/>
      <c r="N20" s="99"/>
    </row>
    <row r="21" spans="1:19" x14ac:dyDescent="0.2">
      <c r="A21" s="93"/>
      <c r="B21" s="93"/>
      <c r="C21" s="99"/>
      <c r="D21" s="91" t="s">
        <v>7184</v>
      </c>
      <c r="L21" s="93"/>
      <c r="M21" s="99"/>
      <c r="N21" s="99"/>
      <c r="O21" s="91" t="s">
        <v>52</v>
      </c>
      <c r="S21" s="91">
        <v>20</v>
      </c>
    </row>
    <row r="22" spans="1:19" x14ac:dyDescent="0.2">
      <c r="E22" s="2"/>
    </row>
    <row r="23" spans="1:19" x14ac:dyDescent="0.2">
      <c r="A23" s="93"/>
      <c r="B23" s="195"/>
      <c r="C23" s="93"/>
      <c r="D23" s="91" t="s">
        <v>52</v>
      </c>
      <c r="H23" s="91">
        <v>30</v>
      </c>
    </row>
    <row r="24" spans="1:19" x14ac:dyDescent="0.2">
      <c r="A24" s="93"/>
      <c r="B24" s="93"/>
      <c r="C24" s="99"/>
    </row>
    <row r="25" spans="1:19" x14ac:dyDescent="0.2">
      <c r="A25" s="93"/>
      <c r="B25" s="93"/>
      <c r="C25" s="99"/>
    </row>
    <row r="26" spans="1:19" x14ac:dyDescent="0.2">
      <c r="A26" s="93"/>
      <c r="B26" s="195"/>
      <c r="C26" s="99"/>
    </row>
    <row r="31" spans="1:19" x14ac:dyDescent="0.2">
      <c r="A31" s="93"/>
      <c r="B31" s="99"/>
    </row>
    <row r="37" spans="1:8" ht="13.5" thickBot="1" x14ac:dyDescent="0.25">
      <c r="H37" s="107">
        <f>SUM(H18:H36)</f>
        <v>11735.4</v>
      </c>
    </row>
    <row r="38" spans="1:8" ht="13.5" thickTop="1" x14ac:dyDescent="0.2"/>
    <row r="39" spans="1:8" ht="20.100000000000001" customHeight="1" x14ac:dyDescent="0.2">
      <c r="A39" s="96" t="s">
        <v>122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Eleven Thousand Seven Hundred Thirty-Five and 40/100 -----------</v>
      </c>
      <c r="C39" s="185"/>
      <c r="D39" s="97"/>
      <c r="E39" s="97"/>
      <c r="F39" s="97"/>
      <c r="G39" s="97"/>
      <c r="H39" s="97"/>
    </row>
    <row r="40" spans="1:8" x14ac:dyDescent="0.2">
      <c r="A40" s="94" t="s">
        <v>11</v>
      </c>
    </row>
    <row r="41" spans="1:8" ht="25.5" x14ac:dyDescent="0.2">
      <c r="A41" s="91" t="s">
        <v>10</v>
      </c>
      <c r="F41" s="218" t="s">
        <v>3975</v>
      </c>
      <c r="G41" s="219" t="s">
        <v>4535</v>
      </c>
      <c r="H41" s="220"/>
    </row>
    <row r="43" spans="1:8" x14ac:dyDescent="0.2">
      <c r="A43" s="61"/>
    </row>
    <row r="44" spans="1:8" x14ac:dyDescent="0.2">
      <c r="D44" s="99"/>
      <c r="E44" s="99"/>
    </row>
    <row r="45" spans="1:8" x14ac:dyDescent="0.2">
      <c r="A45" s="101"/>
      <c r="B45" s="101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51" spans="1:8" x14ac:dyDescent="0.2">
      <c r="A51" s="101"/>
      <c r="B51" s="101"/>
      <c r="D51" s="101"/>
      <c r="F51" s="101"/>
      <c r="G51" s="101"/>
      <c r="H51" s="101"/>
    </row>
    <row r="52" spans="1:8" s="61" customFormat="1" ht="17.100000000000001" customHeight="1" x14ac:dyDescent="0.2">
      <c r="A52" s="91" t="s">
        <v>4066</v>
      </c>
      <c r="B52" s="104"/>
      <c r="C52" s="104"/>
      <c r="D52" s="91" t="s">
        <v>50</v>
      </c>
      <c r="F52" s="61" t="s">
        <v>3</v>
      </c>
    </row>
    <row r="53" spans="1:8" x14ac:dyDescent="0.2">
      <c r="F53" s="91" t="s">
        <v>2</v>
      </c>
    </row>
    <row r="54" spans="1:8" x14ac:dyDescent="0.2">
      <c r="A54" s="103"/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0428-9D83-43C3-B20A-B8CCA0A9AFF9}">
  <sheetPr codeName="Sheet765"/>
  <dimension ref="A1:H59"/>
  <sheetViews>
    <sheetView view="pageBreakPreview" zoomScaleNormal="100" zoomScaleSheetLayoutView="100" workbookViewId="0">
      <selection activeCell="D19" sqref="D19"/>
    </sheetView>
  </sheetViews>
  <sheetFormatPr defaultRowHeight="12.75" x14ac:dyDescent="0.2"/>
  <cols>
    <col min="1" max="1" width="15.7109375" style="1" customWidth="1"/>
    <col min="2" max="2" width="12.28515625" style="1" customWidth="1"/>
    <col min="3" max="3" width="1.42578125" style="1" customWidth="1"/>
    <col min="4" max="4" width="20.5703125" style="1" customWidth="1"/>
    <col min="5" max="5" width="1.85546875" style="1" customWidth="1"/>
    <col min="6" max="6" width="15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3183</v>
      </c>
      <c r="G9" s="155" t="s">
        <v>8358</v>
      </c>
    </row>
    <row r="10" spans="1:8" s="91" customFormat="1" x14ac:dyDescent="0.2">
      <c r="A10" s="91" t="s">
        <v>8399</v>
      </c>
      <c r="F10" s="92" t="s">
        <v>3184</v>
      </c>
      <c r="G10" s="155" t="s">
        <v>8332</v>
      </c>
    </row>
    <row r="11" spans="1:8" s="91" customFormat="1" x14ac:dyDescent="0.2">
      <c r="A11" s="91" t="s">
        <v>8360</v>
      </c>
      <c r="F11" s="92" t="s">
        <v>3185</v>
      </c>
      <c r="G11" s="155" t="s">
        <v>1220</v>
      </c>
    </row>
    <row r="12" spans="1:8" s="91" customFormat="1" x14ac:dyDescent="0.2">
      <c r="A12" s="91" t="s">
        <v>1578</v>
      </c>
      <c r="F12" s="92" t="s">
        <v>3186</v>
      </c>
      <c r="G12" s="91" t="s">
        <v>8359</v>
      </c>
    </row>
    <row r="13" spans="1:8" s="91" customFormat="1" x14ac:dyDescent="0.2">
      <c r="A13" s="91" t="s">
        <v>1314</v>
      </c>
      <c r="G13" s="91" t="s">
        <v>8348</v>
      </c>
    </row>
    <row r="14" spans="1:8" s="91" customFormat="1" x14ac:dyDescent="0.2">
      <c r="A14" s="91" t="s">
        <v>8361</v>
      </c>
    </row>
    <row r="15" spans="1:8" s="91" customFormat="1" x14ac:dyDescent="0.2"/>
    <row r="16" spans="1:8" s="14" customFormat="1" ht="20.100000000000001" customHeight="1" x14ac:dyDescent="0.2">
      <c r="A16" s="17" t="s">
        <v>1261</v>
      </c>
      <c r="B16" s="487" t="s">
        <v>1262</v>
      </c>
      <c r="C16" s="487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D18" s="2" t="s">
        <v>8362</v>
      </c>
      <c r="E18" s="2"/>
    </row>
    <row r="19" spans="1:8" s="91" customFormat="1" x14ac:dyDescent="0.2"/>
    <row r="20" spans="1:8" s="91" customFormat="1" x14ac:dyDescent="0.2">
      <c r="A20" s="93" t="s">
        <v>8351</v>
      </c>
      <c r="B20" s="93" t="s">
        <v>8363</v>
      </c>
      <c r="C20" s="488"/>
      <c r="D20" s="91" t="s">
        <v>8364</v>
      </c>
      <c r="H20" s="91">
        <v>1500</v>
      </c>
    </row>
    <row r="21" spans="1:8" s="91" customFormat="1" x14ac:dyDescent="0.2">
      <c r="D21" s="91" t="s">
        <v>8365</v>
      </c>
    </row>
    <row r="22" spans="1:8" s="91" customFormat="1" x14ac:dyDescent="0.2">
      <c r="A22" s="93"/>
      <c r="B22" s="488"/>
      <c r="C22" s="488"/>
    </row>
    <row r="23" spans="1:8" s="91" customFormat="1" x14ac:dyDescent="0.2">
      <c r="A23" s="93"/>
      <c r="B23" s="488"/>
      <c r="C23" s="488"/>
    </row>
    <row r="24" spans="1:8" s="91" customFormat="1" x14ac:dyDescent="0.2">
      <c r="A24" s="93"/>
      <c r="B24" s="488"/>
      <c r="C24" s="488"/>
    </row>
    <row r="25" spans="1:8" s="91" customFormat="1" x14ac:dyDescent="0.2"/>
    <row r="26" spans="1:8" s="91" customFormat="1" x14ac:dyDescent="0.2">
      <c r="A26" s="93"/>
      <c r="B26" s="488"/>
      <c r="C26" s="488"/>
    </row>
    <row r="27" spans="1:8" s="91" customFormat="1" x14ac:dyDescent="0.2"/>
    <row r="28" spans="1:8" s="91" customFormat="1" x14ac:dyDescent="0.2"/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x14ac:dyDescent="0.2"/>
    <row r="35" spans="1:8" s="91" customFormat="1" ht="13.5" thickBot="1" x14ac:dyDescent="0.25">
      <c r="H35" s="107">
        <f>SUM(H18:H33)</f>
        <v>1500</v>
      </c>
    </row>
    <row r="36" spans="1:8" s="91" customFormat="1" ht="13.5" thickTop="1" x14ac:dyDescent="0.2">
      <c r="H36" s="101"/>
    </row>
    <row r="37" spans="1:8" s="91" customFormat="1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Five Hundred and NO/100 -----------</v>
      </c>
      <c r="C37" s="185"/>
      <c r="D37" s="97"/>
      <c r="E37" s="97"/>
      <c r="F37" s="97"/>
      <c r="G37" s="97"/>
      <c r="H37" s="207"/>
    </row>
    <row r="38" spans="1:8" s="91" customFormat="1" x14ac:dyDescent="0.2">
      <c r="A38" s="94" t="s">
        <v>11</v>
      </c>
    </row>
    <row r="39" spans="1:8" s="91" customFormat="1" ht="25.5" x14ac:dyDescent="0.2">
      <c r="A39" s="91" t="s">
        <v>10</v>
      </c>
      <c r="F39" s="218" t="s">
        <v>3975</v>
      </c>
      <c r="G39" s="219"/>
      <c r="H39" s="220"/>
    </row>
    <row r="40" spans="1:8" s="91" customFormat="1" x14ac:dyDescent="0.2"/>
    <row r="41" spans="1:8" s="91" customFormat="1" x14ac:dyDescent="0.2">
      <c r="F41" s="227"/>
      <c r="G41" s="227"/>
      <c r="H41" s="227"/>
    </row>
    <row r="42" spans="1:8" s="91" customFormat="1" x14ac:dyDescent="0.2">
      <c r="D42" s="488"/>
      <c r="E42" s="488"/>
      <c r="F42" s="228"/>
      <c r="G42" s="229"/>
      <c r="H42" s="229"/>
    </row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  <row r="58" spans="1:8" s="91" customFormat="1" x14ac:dyDescent="0.2"/>
    <row r="59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6C03-8B5A-4802-8B38-F7E4ACFCD6FA}">
  <sheetPr codeName="Sheet669"/>
  <dimension ref="A1:L56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2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2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2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2" x14ac:dyDescent="0.2">
      <c r="A8" s="91" t="s">
        <v>32</v>
      </c>
      <c r="F8" s="22" t="s">
        <v>31</v>
      </c>
    </row>
    <row r="9" spans="1:12" x14ac:dyDescent="0.2">
      <c r="F9" s="92" t="s">
        <v>1317</v>
      </c>
      <c r="G9" s="91" t="s">
        <v>6803</v>
      </c>
      <c r="L9" s="371"/>
    </row>
    <row r="10" spans="1:12" x14ac:dyDescent="0.2">
      <c r="A10" s="91" t="s">
        <v>6767</v>
      </c>
      <c r="F10" s="92" t="s">
        <v>1329</v>
      </c>
      <c r="G10" s="92" t="s">
        <v>6791</v>
      </c>
    </row>
    <row r="11" spans="1:12" x14ac:dyDescent="0.2">
      <c r="A11" s="91" t="s">
        <v>6768</v>
      </c>
      <c r="F11" s="92" t="s">
        <v>1330</v>
      </c>
      <c r="G11" s="92" t="s">
        <v>1220</v>
      </c>
    </row>
    <row r="12" spans="1:12" x14ac:dyDescent="0.2">
      <c r="A12" s="91" t="s">
        <v>6769</v>
      </c>
      <c r="F12" s="92" t="s">
        <v>1224</v>
      </c>
      <c r="G12" s="94" t="s">
        <v>6804</v>
      </c>
    </row>
    <row r="13" spans="1:12" x14ac:dyDescent="0.2">
      <c r="A13" s="91" t="s">
        <v>6770</v>
      </c>
    </row>
    <row r="14" spans="1:12" x14ac:dyDescent="0.2">
      <c r="A14" s="91" t="s">
        <v>6771</v>
      </c>
    </row>
    <row r="16" spans="1:12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6772</v>
      </c>
      <c r="E18" s="2"/>
    </row>
    <row r="19" spans="1:8" x14ac:dyDescent="0.2">
      <c r="D19" s="2"/>
      <c r="E19" s="2"/>
    </row>
    <row r="20" spans="1:8" x14ac:dyDescent="0.2">
      <c r="A20" s="134" t="s">
        <v>6756</v>
      </c>
      <c r="B20" s="93" t="s">
        <v>6773</v>
      </c>
      <c r="C20" s="93"/>
      <c r="D20" s="91" t="s">
        <v>6774</v>
      </c>
      <c r="H20" s="91">
        <v>2052</v>
      </c>
    </row>
    <row r="21" spans="1:8" x14ac:dyDescent="0.2">
      <c r="A21" s="93"/>
      <c r="B21" s="93"/>
      <c r="C21" s="93"/>
      <c r="D21" s="91" t="s">
        <v>6775</v>
      </c>
      <c r="H21" s="91">
        <v>2200</v>
      </c>
    </row>
    <row r="22" spans="1:8" x14ac:dyDescent="0.2">
      <c r="D22" s="91" t="s">
        <v>6776</v>
      </c>
      <c r="H22" s="91">
        <v>2400</v>
      </c>
    </row>
    <row r="23" spans="1:8" x14ac:dyDescent="0.2">
      <c r="A23" s="93"/>
      <c r="B23" s="93"/>
      <c r="C23" s="93"/>
      <c r="D23" s="91" t="s">
        <v>6777</v>
      </c>
      <c r="H23" s="91">
        <v>800</v>
      </c>
    </row>
    <row r="24" spans="1:8" x14ac:dyDescent="0.2">
      <c r="A24" s="93"/>
      <c r="C24" s="99"/>
    </row>
    <row r="25" spans="1:8" x14ac:dyDescent="0.2">
      <c r="A25" s="93" t="s">
        <v>6756</v>
      </c>
      <c r="B25" s="99" t="s">
        <v>6778</v>
      </c>
      <c r="D25" s="91" t="s">
        <v>6780</v>
      </c>
      <c r="H25" s="91">
        <v>320</v>
      </c>
    </row>
    <row r="26" spans="1:8" x14ac:dyDescent="0.2">
      <c r="B26" s="99" t="s">
        <v>6779</v>
      </c>
    </row>
    <row r="27" spans="1:8" x14ac:dyDescent="0.2">
      <c r="A27" s="94"/>
      <c r="B27" s="99"/>
    </row>
    <row r="28" spans="1:8" x14ac:dyDescent="0.2">
      <c r="A28" s="93" t="s">
        <v>6756</v>
      </c>
      <c r="B28" s="99" t="s">
        <v>6778</v>
      </c>
      <c r="D28" s="91" t="s">
        <v>6782</v>
      </c>
      <c r="H28" s="91">
        <v>8000</v>
      </c>
    </row>
    <row r="29" spans="1:8" x14ac:dyDescent="0.2">
      <c r="A29" s="93"/>
      <c r="B29" s="99" t="s">
        <v>6781</v>
      </c>
    </row>
    <row r="30" spans="1:8" x14ac:dyDescent="0.2">
      <c r="A30" s="93"/>
      <c r="B30" s="99"/>
    </row>
    <row r="31" spans="1:8" x14ac:dyDescent="0.2">
      <c r="A31" s="93"/>
      <c r="B31" s="99"/>
    </row>
    <row r="32" spans="1:8" x14ac:dyDescent="0.2">
      <c r="E32" s="2"/>
    </row>
    <row r="33" spans="1:8" x14ac:dyDescent="0.2">
      <c r="E33" s="2"/>
    </row>
    <row r="34" spans="1:8" x14ac:dyDescent="0.2">
      <c r="A34" s="1"/>
      <c r="B34" s="1"/>
      <c r="C34" s="1"/>
      <c r="E34" s="1"/>
      <c r="F34" s="1"/>
      <c r="G34" s="1"/>
    </row>
    <row r="35" spans="1:8" x14ac:dyDescent="0.2">
      <c r="A35" s="93"/>
      <c r="B35" s="99"/>
      <c r="C35" s="1"/>
      <c r="E35" s="1"/>
      <c r="F35" s="1"/>
      <c r="G35" s="1"/>
    </row>
    <row r="36" spans="1:8" x14ac:dyDescent="0.2">
      <c r="A36" s="112"/>
    </row>
    <row r="37" spans="1:8" ht="13.5" thickBot="1" x14ac:dyDescent="0.25">
      <c r="A37" s="112"/>
      <c r="H37" s="95">
        <f>SUM(H20:H36)</f>
        <v>15772</v>
      </c>
    </row>
    <row r="38" spans="1:8" ht="13.5" thickTop="1" x14ac:dyDescent="0.2">
      <c r="A38" s="112"/>
      <c r="H38" s="238"/>
    </row>
    <row r="39" spans="1:8" ht="20.100000000000001" customHeight="1" x14ac:dyDescent="0.2">
      <c r="A39" s="96" t="s">
        <v>1347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Fifteen Thousand Seven Hundred Seventy-Two and NO/100 -----------</v>
      </c>
      <c r="C39" s="185"/>
      <c r="D39" s="97"/>
      <c r="E39" s="97"/>
      <c r="F39" s="97"/>
      <c r="G39" s="97"/>
      <c r="H39" s="97"/>
    </row>
    <row r="40" spans="1:8" x14ac:dyDescent="0.2">
      <c r="A40" s="94"/>
    </row>
    <row r="41" spans="1:8" ht="25.5" x14ac:dyDescent="0.2">
      <c r="A41" s="91" t="s">
        <v>10</v>
      </c>
      <c r="F41" s="218" t="s">
        <v>3975</v>
      </c>
      <c r="G41" s="219"/>
      <c r="H41" s="220"/>
    </row>
    <row r="43" spans="1:8" x14ac:dyDescent="0.2">
      <c r="F43" s="227"/>
      <c r="G43" s="227"/>
      <c r="H43" s="227"/>
    </row>
    <row r="44" spans="1:8" x14ac:dyDescent="0.2">
      <c r="A44" s="98" t="s">
        <v>121</v>
      </c>
      <c r="D44" s="99"/>
      <c r="E44" s="99"/>
      <c r="F44" s="228"/>
      <c r="G44" s="229"/>
      <c r="H44" s="229"/>
    </row>
    <row r="45" spans="1:8" x14ac:dyDescent="0.2">
      <c r="A45" s="23"/>
      <c r="B45" s="101"/>
    </row>
    <row r="46" spans="1:8" x14ac:dyDescent="0.2">
      <c r="A46" s="98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100"/>
      <c r="B51" s="101"/>
      <c r="D51" s="100"/>
      <c r="F51" s="101"/>
      <c r="G51" s="101"/>
      <c r="H51" s="101"/>
    </row>
    <row r="52" spans="1:8" s="3" customFormat="1" ht="17.100000000000001" customHeight="1" x14ac:dyDescent="0.2">
      <c r="A52" s="103" t="s">
        <v>4047</v>
      </c>
      <c r="B52" s="104"/>
      <c r="C52" s="104"/>
      <c r="D52" s="103" t="s">
        <v>50</v>
      </c>
      <c r="E52" s="61"/>
      <c r="F52" s="61" t="s">
        <v>3</v>
      </c>
      <c r="G52" s="61"/>
      <c r="H52" s="61"/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1-000000000000}">
  <sheetPr codeName="Sheet639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6.42578125" style="153" customWidth="1"/>
    <col min="3" max="3" width="21" style="153" customWidth="1"/>
    <col min="4" max="4" width="16.42578125" style="153" customWidth="1"/>
    <col min="5" max="5" width="9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s="1" customFormat="1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s="1" customFormat="1" x14ac:dyDescent="0.2">
      <c r="A9" s="91"/>
      <c r="B9" s="91"/>
      <c r="C9" s="91"/>
      <c r="D9" s="92" t="s">
        <v>1317</v>
      </c>
      <c r="E9" s="91" t="s">
        <v>6371</v>
      </c>
      <c r="F9" s="91"/>
    </row>
    <row r="10" spans="1:6" s="1" customFormat="1" x14ac:dyDescent="0.2">
      <c r="A10" s="91" t="s">
        <v>6373</v>
      </c>
      <c r="B10" s="91"/>
      <c r="C10" s="91"/>
      <c r="D10" s="92" t="s">
        <v>1329</v>
      </c>
      <c r="E10" s="92" t="s">
        <v>6370</v>
      </c>
      <c r="F10" s="91"/>
    </row>
    <row r="11" spans="1:6" s="1" customFormat="1" x14ac:dyDescent="0.2">
      <c r="A11" s="91" t="s">
        <v>6374</v>
      </c>
      <c r="B11" s="91"/>
      <c r="C11" s="91"/>
      <c r="D11" s="92" t="s">
        <v>1330</v>
      </c>
      <c r="E11" s="92" t="s">
        <v>1220</v>
      </c>
      <c r="F11" s="91"/>
    </row>
    <row r="12" spans="1:6" s="1" customFormat="1" x14ac:dyDescent="0.2">
      <c r="A12" s="91" t="s">
        <v>6375</v>
      </c>
      <c r="B12" s="91"/>
      <c r="C12" s="91"/>
      <c r="D12" s="92" t="s">
        <v>1331</v>
      </c>
      <c r="E12" s="94" t="s">
        <v>6372</v>
      </c>
      <c r="F12" s="91"/>
    </row>
    <row r="13" spans="1:6" s="1" customFormat="1" x14ac:dyDescent="0.2">
      <c r="A13" s="91" t="s">
        <v>6376</v>
      </c>
      <c r="B13" s="91"/>
      <c r="C13" s="91"/>
      <c r="D13" s="91"/>
      <c r="E13" s="91"/>
      <c r="F13" s="91"/>
    </row>
    <row r="14" spans="1:6" s="1" customFormat="1" x14ac:dyDescent="0.2">
      <c r="A14" s="91" t="s">
        <v>6377</v>
      </c>
      <c r="B14" s="91"/>
      <c r="C14" s="91"/>
      <c r="D14" s="91"/>
      <c r="E14" s="91"/>
      <c r="F14" s="91"/>
    </row>
    <row r="15" spans="1:6" s="1" customFormat="1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s="1" customFormat="1" x14ac:dyDescent="0.2">
      <c r="A17" s="106"/>
      <c r="B17" s="91"/>
      <c r="C17" s="91"/>
      <c r="D17" s="91"/>
      <c r="E17" s="91"/>
      <c r="F17" s="91"/>
    </row>
    <row r="18" spans="1:6" s="1" customFormat="1" x14ac:dyDescent="0.2">
      <c r="A18" s="93"/>
      <c r="B18" s="93"/>
      <c r="C18" s="2" t="s">
        <v>4118</v>
      </c>
      <c r="D18" s="91"/>
      <c r="E18" s="91"/>
      <c r="F18" s="91"/>
    </row>
    <row r="19" spans="1:6" s="1" customFormat="1" x14ac:dyDescent="0.2">
      <c r="A19" s="106"/>
      <c r="B19" s="91"/>
      <c r="C19" s="91"/>
      <c r="D19" s="91"/>
      <c r="E19" s="91"/>
      <c r="F19" s="91"/>
    </row>
    <row r="20" spans="1:6" s="1" customFormat="1" x14ac:dyDescent="0.2">
      <c r="A20" s="93" t="s">
        <v>6333</v>
      </c>
      <c r="B20" s="93" t="s">
        <v>6378</v>
      </c>
      <c r="C20" s="91" t="s">
        <v>6379</v>
      </c>
      <c r="D20" s="91"/>
      <c r="E20" s="91"/>
      <c r="F20" s="91">
        <f>25*93</f>
        <v>2325</v>
      </c>
    </row>
    <row r="21" spans="1:6" s="1" customFormat="1" x14ac:dyDescent="0.2">
      <c r="A21" s="93"/>
      <c r="B21" s="94"/>
      <c r="C21" s="91" t="s">
        <v>6381</v>
      </c>
      <c r="D21" s="91"/>
      <c r="E21" s="91"/>
      <c r="F21" s="91">
        <f>55*7</f>
        <v>385</v>
      </c>
    </row>
    <row r="22" spans="1:6" s="1" customFormat="1" x14ac:dyDescent="0.2">
      <c r="A22" s="93"/>
      <c r="B22" s="99"/>
      <c r="C22" s="91" t="s">
        <v>6380</v>
      </c>
      <c r="D22" s="91"/>
      <c r="E22" s="91"/>
      <c r="F22" s="91">
        <f>72</f>
        <v>72</v>
      </c>
    </row>
    <row r="23" spans="1:6" s="1" customFormat="1" x14ac:dyDescent="0.2">
      <c r="A23" s="91"/>
      <c r="B23" s="91"/>
      <c r="C23" s="91" t="s">
        <v>6382</v>
      </c>
      <c r="D23" s="91"/>
      <c r="E23" s="91"/>
      <c r="F23" s="91">
        <v>40</v>
      </c>
    </row>
    <row r="24" spans="1:6" s="1" customFormat="1" x14ac:dyDescent="0.2">
      <c r="A24" s="91"/>
      <c r="B24" s="91"/>
      <c r="C24" s="91" t="s">
        <v>6383</v>
      </c>
      <c r="D24" s="91"/>
      <c r="E24" s="91"/>
      <c r="F24" s="91">
        <v>85</v>
      </c>
    </row>
    <row r="25" spans="1:6" s="1" customFormat="1" x14ac:dyDescent="0.2">
      <c r="A25" s="137"/>
      <c r="B25" s="99"/>
      <c r="C25" s="91" t="s">
        <v>6384</v>
      </c>
      <c r="D25" s="91"/>
      <c r="E25" s="91"/>
      <c r="F25" s="91">
        <f>150*1</f>
        <v>150</v>
      </c>
    </row>
    <row r="26" spans="1:6" s="1" customFormat="1" x14ac:dyDescent="0.2">
      <c r="A26" s="91"/>
      <c r="B26" s="91"/>
      <c r="C26" s="91" t="s">
        <v>2147</v>
      </c>
      <c r="D26" s="91"/>
      <c r="E26" s="91"/>
      <c r="F26" s="91">
        <f>SUM(F20+F21+F22+F23+F24+F25)*6%</f>
        <v>183.42</v>
      </c>
    </row>
    <row r="27" spans="1:6" s="1" customFormat="1" x14ac:dyDescent="0.2">
      <c r="A27" s="91"/>
      <c r="B27" s="91"/>
      <c r="C27" s="91" t="s">
        <v>6385</v>
      </c>
      <c r="D27" s="91"/>
      <c r="E27" s="91"/>
      <c r="F27" s="91">
        <v>-0.02</v>
      </c>
    </row>
    <row r="28" spans="1:6" s="1" customFormat="1" x14ac:dyDescent="0.2">
      <c r="A28" s="91"/>
      <c r="B28" s="91"/>
      <c r="C28" s="2"/>
      <c r="D28" s="91"/>
      <c r="E28" s="91"/>
      <c r="F28" s="91"/>
    </row>
    <row r="29" spans="1:6" s="1" customFormat="1" x14ac:dyDescent="0.2">
      <c r="A29" s="93" t="s">
        <v>6386</v>
      </c>
      <c r="B29" s="93" t="s">
        <v>6387</v>
      </c>
      <c r="C29" s="91" t="s">
        <v>6388</v>
      </c>
      <c r="D29" s="91"/>
      <c r="E29" s="91"/>
      <c r="F29" s="91">
        <f>25*2</f>
        <v>50</v>
      </c>
    </row>
    <row r="30" spans="1:6" s="1" customFormat="1" x14ac:dyDescent="0.2">
      <c r="A30" s="93"/>
      <c r="B30" s="99"/>
      <c r="C30" s="91" t="s">
        <v>6389</v>
      </c>
      <c r="D30" s="91"/>
      <c r="E30" s="91"/>
      <c r="F30" s="91">
        <f>4*2</f>
        <v>8</v>
      </c>
    </row>
    <row r="31" spans="1:6" s="1" customFormat="1" x14ac:dyDescent="0.2">
      <c r="A31" s="99"/>
      <c r="B31" s="91"/>
      <c r="C31" s="91" t="s">
        <v>6390</v>
      </c>
      <c r="D31" s="91"/>
      <c r="E31" s="91"/>
      <c r="F31" s="91">
        <v>60</v>
      </c>
    </row>
    <row r="32" spans="1:6" s="1" customFormat="1" x14ac:dyDescent="0.2">
      <c r="A32" s="99"/>
      <c r="B32" s="91"/>
      <c r="C32" s="91" t="s">
        <v>6156</v>
      </c>
      <c r="D32" s="91"/>
      <c r="E32" s="91"/>
      <c r="F32" s="91">
        <v>200</v>
      </c>
    </row>
    <row r="33" spans="1:6" s="1" customFormat="1" x14ac:dyDescent="0.2">
      <c r="A33" s="137"/>
      <c r="B33" s="94"/>
      <c r="C33" s="91" t="s">
        <v>2147</v>
      </c>
      <c r="D33" s="91"/>
      <c r="E33" s="91"/>
      <c r="F33" s="91">
        <f>SUM(F29+F30+F31+F32)*6%</f>
        <v>19.079999999999998</v>
      </c>
    </row>
    <row r="34" spans="1:6" s="1" customFormat="1" x14ac:dyDescent="0.2">
      <c r="A34" s="137"/>
      <c r="B34" s="94"/>
      <c r="C34" s="91" t="s">
        <v>5714</v>
      </c>
      <c r="D34" s="91"/>
      <c r="E34" s="91"/>
      <c r="F34" s="91">
        <v>0.02</v>
      </c>
    </row>
    <row r="35" spans="1:6" s="1" customFormat="1" x14ac:dyDescent="0.2">
      <c r="A35" s="7"/>
    </row>
    <row r="36" spans="1:6" s="1" customFormat="1" ht="13.5" thickBot="1" x14ac:dyDescent="0.25">
      <c r="A36" s="106"/>
      <c r="B36" s="91"/>
      <c r="C36" s="91"/>
      <c r="D36" s="91"/>
      <c r="E36" s="91"/>
      <c r="F36" s="107">
        <f>SUM(F18:F35)</f>
        <v>3577.5</v>
      </c>
    </row>
    <row r="37" spans="1:6" s="1" customFormat="1" ht="13.5" thickTop="1" x14ac:dyDescent="0.2">
      <c r="A37" s="106"/>
      <c r="B37" s="91"/>
      <c r="C37" s="91"/>
      <c r="D37" s="91"/>
      <c r="E37" s="91"/>
      <c r="F37" s="91"/>
    </row>
    <row r="38" spans="1:6" s="1" customFormat="1" ht="20.100000000000001" customHeight="1" x14ac:dyDescent="0.2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Three Thousand Five Hundred Seventy-Seven and 50/100 -----------</v>
      </c>
      <c r="C38" s="97"/>
      <c r="D38" s="206"/>
      <c r="E38" s="206"/>
      <c r="F38" s="206"/>
    </row>
    <row r="39" spans="1:6" s="1" customFormat="1" x14ac:dyDescent="0.2">
      <c r="A39" s="94"/>
      <c r="B39" s="91"/>
      <c r="C39" s="91"/>
      <c r="D39" s="91"/>
      <c r="E39" s="91"/>
      <c r="F39" s="91"/>
    </row>
    <row r="40" spans="1:6" s="1" customFormat="1" ht="25.5" x14ac:dyDescent="0.2">
      <c r="A40" s="91" t="s">
        <v>10</v>
      </c>
      <c r="B40" s="91"/>
      <c r="C40" s="91"/>
      <c r="D40" s="218" t="s">
        <v>3975</v>
      </c>
      <c r="E40" s="219"/>
      <c r="F40" s="220"/>
    </row>
    <row r="41" spans="1:6" s="1" customFormat="1" x14ac:dyDescent="0.2">
      <c r="A41" s="91"/>
      <c r="B41" s="91"/>
      <c r="C41" s="91"/>
      <c r="D41" s="227"/>
      <c r="E41" s="227"/>
      <c r="F41" s="227"/>
    </row>
    <row r="42" spans="1:6" s="1" customFormat="1" x14ac:dyDescent="0.2">
      <c r="A42" s="91"/>
      <c r="B42" s="91"/>
      <c r="C42" s="91"/>
      <c r="D42" s="228"/>
      <c r="E42" s="229"/>
      <c r="F42" s="229"/>
    </row>
    <row r="43" spans="1:6" s="1" customFormat="1" x14ac:dyDescent="0.2">
      <c r="B43" s="91"/>
      <c r="C43" s="91"/>
      <c r="D43" s="91"/>
      <c r="E43" s="91"/>
      <c r="F43" s="91"/>
    </row>
    <row r="44" spans="1:6" s="1" customFormat="1" x14ac:dyDescent="0.2">
      <c r="A44" s="101"/>
      <c r="B44" s="101"/>
      <c r="C44" s="91"/>
      <c r="D44" s="91"/>
      <c r="E44" s="91"/>
      <c r="F44" s="91"/>
    </row>
    <row r="45" spans="1:6" s="1" customFormat="1" x14ac:dyDescent="0.2">
      <c r="A45" s="91"/>
      <c r="B45" s="91"/>
      <c r="C45" s="91"/>
      <c r="D45" s="91"/>
      <c r="E45" s="91"/>
      <c r="F45" s="91"/>
    </row>
    <row r="46" spans="1:6" s="1" customFormat="1" x14ac:dyDescent="0.2">
      <c r="A46" s="91" t="s">
        <v>8</v>
      </c>
      <c r="B46" s="91"/>
      <c r="C46" s="91"/>
      <c r="D46" s="98" t="s">
        <v>7</v>
      </c>
      <c r="E46" s="91"/>
      <c r="F46" s="102"/>
    </row>
    <row r="47" spans="1:6" s="1" customFormat="1" x14ac:dyDescent="0.2">
      <c r="A47" s="91"/>
      <c r="B47" s="91"/>
      <c r="C47" s="91"/>
      <c r="D47" s="91"/>
      <c r="E47" s="91"/>
      <c r="F47" s="91"/>
    </row>
    <row r="48" spans="1:6" s="1" customFormat="1" x14ac:dyDescent="0.2">
      <c r="A48" s="91"/>
      <c r="B48" s="91"/>
      <c r="C48" s="91"/>
      <c r="D48" s="91"/>
      <c r="E48" s="91"/>
      <c r="F48" s="91"/>
    </row>
    <row r="49" spans="1:6" s="1" customFormat="1" x14ac:dyDescent="0.2">
      <c r="A49" s="91"/>
      <c r="B49" s="91"/>
      <c r="C49" s="91"/>
      <c r="D49" s="91"/>
      <c r="E49" s="91"/>
      <c r="F49" s="91"/>
    </row>
    <row r="50" spans="1:6" s="1" customFormat="1" x14ac:dyDescent="0.2">
      <c r="A50" s="101" t="s">
        <v>120</v>
      </c>
      <c r="B50" s="101"/>
      <c r="C50" s="91"/>
      <c r="D50" s="101"/>
      <c r="E50" s="101"/>
      <c r="F50" s="101"/>
    </row>
    <row r="51" spans="1:6" s="3" customFormat="1" ht="17.100000000000001" customHeight="1" x14ac:dyDescent="0.2">
      <c r="A51" s="61" t="s">
        <v>4066</v>
      </c>
      <c r="B51" s="104"/>
      <c r="C51" s="61"/>
      <c r="D51" s="61" t="s">
        <v>3</v>
      </c>
      <c r="E51" s="61"/>
      <c r="F51" s="61"/>
    </row>
    <row r="52" spans="1:6" s="1" customFormat="1" x14ac:dyDescent="0.2">
      <c r="A52" s="91"/>
      <c r="B52" s="91"/>
      <c r="C52" s="91"/>
      <c r="D52" s="91" t="s">
        <v>2</v>
      </c>
      <c r="E52" s="91"/>
      <c r="F52" s="91"/>
    </row>
    <row r="53" spans="1:6" s="1" customFormat="1" x14ac:dyDescent="0.2">
      <c r="A53" s="91"/>
      <c r="B53" s="91"/>
      <c r="C53" s="91"/>
      <c r="D53" s="91"/>
      <c r="E53" s="91"/>
      <c r="F53" s="91"/>
    </row>
    <row r="54" spans="1:6" s="1" customFormat="1" x14ac:dyDescent="0.2">
      <c r="A54" s="91"/>
      <c r="B54" s="91"/>
      <c r="C54" s="91"/>
      <c r="D54" s="2" t="s">
        <v>1</v>
      </c>
      <c r="E54" s="91"/>
      <c r="F54" s="91"/>
    </row>
    <row r="55" spans="1:6" s="1" customFormat="1" x14ac:dyDescent="0.2">
      <c r="A55" s="91"/>
      <c r="B55" s="91"/>
      <c r="C55" s="91"/>
      <c r="D55" s="2" t="s">
        <v>0</v>
      </c>
      <c r="E55" s="91"/>
      <c r="F55" s="91"/>
    </row>
    <row r="56" spans="1:6" s="1" customFormat="1" x14ac:dyDescent="0.2">
      <c r="A56" s="91"/>
      <c r="B56" s="91"/>
      <c r="C56" s="91"/>
      <c r="D56" s="91"/>
      <c r="E56" s="91"/>
      <c r="F56" s="9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1-000000000000}">
  <sheetPr codeName="Sheet626">
    <pageSetUpPr fitToPage="1"/>
  </sheetPr>
  <dimension ref="A1:H56"/>
  <sheetViews>
    <sheetView workbookViewId="0">
      <selection activeCell="G9" sqref="G9:G12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3" t="s">
        <v>8609</v>
      </c>
    </row>
    <row r="10" spans="1:8" x14ac:dyDescent="0.2">
      <c r="A10" s="91" t="s">
        <v>6159</v>
      </c>
      <c r="F10" s="92" t="s">
        <v>1444</v>
      </c>
      <c r="G10" s="155" t="s">
        <v>8559</v>
      </c>
    </row>
    <row r="11" spans="1:8" x14ac:dyDescent="0.2">
      <c r="A11" s="94" t="s">
        <v>6160</v>
      </c>
      <c r="F11" s="92" t="s">
        <v>1431</v>
      </c>
      <c r="G11" s="155" t="s">
        <v>1220</v>
      </c>
    </row>
    <row r="12" spans="1:8" x14ac:dyDescent="0.2">
      <c r="A12" s="91" t="s">
        <v>6161</v>
      </c>
      <c r="F12" s="92" t="s">
        <v>1268</v>
      </c>
      <c r="G12" s="155" t="s">
        <v>8610</v>
      </c>
    </row>
    <row r="13" spans="1:8" x14ac:dyDescent="0.2">
      <c r="A13" s="91" t="s">
        <v>1015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/>
      <c r="E18" s="2"/>
    </row>
    <row r="19" spans="1:8" x14ac:dyDescent="0.2">
      <c r="A19" s="93" t="s">
        <v>8349</v>
      </c>
      <c r="B19" s="93" t="s">
        <v>8611</v>
      </c>
      <c r="D19" s="91" t="s">
        <v>8612</v>
      </c>
      <c r="E19" s="2"/>
      <c r="H19" s="91">
        <v>19000</v>
      </c>
    </row>
    <row r="20" spans="1:8" x14ac:dyDescent="0.2">
      <c r="A20" s="93"/>
      <c r="B20" s="93"/>
      <c r="D20" s="91" t="s">
        <v>8613</v>
      </c>
    </row>
    <row r="21" spans="1:8" x14ac:dyDescent="0.2">
      <c r="A21" s="93"/>
      <c r="B21" s="93"/>
      <c r="C21" s="93"/>
    </row>
    <row r="22" spans="1:8" x14ac:dyDescent="0.2">
      <c r="A22" s="93"/>
      <c r="B22" s="93"/>
      <c r="C22" s="93"/>
      <c r="D22" s="91" t="s">
        <v>6886</v>
      </c>
      <c r="H22" s="91">
        <f>H19*6%</f>
        <v>1140</v>
      </c>
    </row>
    <row r="23" spans="1:8" x14ac:dyDescent="0.2">
      <c r="A23" s="93"/>
      <c r="B23" s="99"/>
      <c r="C23" s="99"/>
    </row>
    <row r="24" spans="1:8" x14ac:dyDescent="0.2">
      <c r="A24" s="93"/>
      <c r="B24" s="99"/>
      <c r="C24" s="99"/>
    </row>
    <row r="25" spans="1:8" x14ac:dyDescent="0.2">
      <c r="A25" s="93"/>
      <c r="B25" s="99"/>
      <c r="C25" s="99"/>
    </row>
    <row r="26" spans="1:8" x14ac:dyDescent="0.2">
      <c r="A26" s="93"/>
      <c r="B26" s="99"/>
      <c r="C26" s="99"/>
    </row>
    <row r="27" spans="1:8" x14ac:dyDescent="0.2">
      <c r="A27" s="93"/>
      <c r="B27" s="99"/>
      <c r="C27" s="99"/>
    </row>
    <row r="28" spans="1:8" x14ac:dyDescent="0.2">
      <c r="A28" s="93"/>
      <c r="B28" s="99"/>
      <c r="C28" s="99"/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  <c r="H30" s="94"/>
    </row>
    <row r="31" spans="1:8" x14ac:dyDescent="0.2">
      <c r="A31" s="93"/>
      <c r="B31" s="99"/>
      <c r="C31" s="99"/>
    </row>
    <row r="32" spans="1:8" x14ac:dyDescent="0.2">
      <c r="A32" s="93"/>
      <c r="B32" s="99"/>
      <c r="C32" s="99"/>
    </row>
    <row r="33" spans="1:8" x14ac:dyDescent="0.2">
      <c r="A33" s="93"/>
      <c r="B33" s="99"/>
      <c r="C33" s="99"/>
    </row>
    <row r="34" spans="1:8" x14ac:dyDescent="0.2">
      <c r="A34" s="93"/>
      <c r="B34" s="99"/>
      <c r="C34" s="99"/>
    </row>
    <row r="35" spans="1:8" x14ac:dyDescent="0.2">
      <c r="A35" s="93"/>
      <c r="B35" s="99"/>
      <c r="C35" s="99"/>
    </row>
    <row r="36" spans="1:8" x14ac:dyDescent="0.2">
      <c r="A36" s="93"/>
      <c r="B36" s="99"/>
      <c r="C36" s="99"/>
    </row>
    <row r="37" spans="1:8" ht="13.5" thickBot="1" x14ac:dyDescent="0.25">
      <c r="H37" s="107">
        <f>SUM(H18:H36)</f>
        <v>20140</v>
      </c>
    </row>
    <row r="38" spans="1:8" ht="13.5" thickTop="1" x14ac:dyDescent="0.2"/>
    <row r="39" spans="1:8" ht="18" customHeight="1" x14ac:dyDescent="0.2">
      <c r="A39" s="96" t="s">
        <v>336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Twenty Thousand One Hundred Forty and NO/100 -----------</v>
      </c>
      <c r="C39" s="185"/>
      <c r="D39" s="97"/>
      <c r="E39" s="97"/>
      <c r="F39" s="237"/>
      <c r="G39" s="237"/>
      <c r="H39" s="237"/>
    </row>
    <row r="41" spans="1:8" ht="25.5" x14ac:dyDescent="0.2">
      <c r="A41" s="91" t="s">
        <v>10</v>
      </c>
      <c r="F41" s="218" t="s">
        <v>3975</v>
      </c>
      <c r="G41" s="219"/>
      <c r="H41" s="220"/>
    </row>
    <row r="44" spans="1:8" x14ac:dyDescent="0.2">
      <c r="A44" s="91" t="s">
        <v>121</v>
      </c>
      <c r="D44" s="99"/>
      <c r="E44" s="99"/>
    </row>
    <row r="45" spans="1:8" x14ac:dyDescent="0.2">
      <c r="A45" s="101"/>
      <c r="B45" s="101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51" spans="1:8" x14ac:dyDescent="0.2">
      <c r="A51" s="101" t="s">
        <v>120</v>
      </c>
      <c r="B51" s="101"/>
      <c r="D51" s="101" t="s">
        <v>120</v>
      </c>
      <c r="F51" s="101"/>
      <c r="G51" s="101"/>
      <c r="H51" s="101"/>
    </row>
    <row r="52" spans="1:8" s="61" customFormat="1" ht="17.100000000000001" customHeight="1" x14ac:dyDescent="0.2">
      <c r="A52" s="91" t="s">
        <v>4066</v>
      </c>
      <c r="B52" s="104"/>
      <c r="C52" s="104"/>
      <c r="D52" s="91" t="s">
        <v>50</v>
      </c>
      <c r="F52" s="61" t="s">
        <v>3</v>
      </c>
    </row>
    <row r="53" spans="1:8" x14ac:dyDescent="0.2">
      <c r="F53" s="91" t="s">
        <v>2</v>
      </c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1-000000000000}">
  <sheetPr codeName="Sheet34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3396</v>
      </c>
    </row>
    <row r="10" spans="1:6" x14ac:dyDescent="0.2">
      <c r="A10" s="91" t="s">
        <v>3373</v>
      </c>
      <c r="D10" s="92" t="s">
        <v>1329</v>
      </c>
      <c r="E10" s="92" t="s">
        <v>3383</v>
      </c>
    </row>
    <row r="11" spans="1:6" x14ac:dyDescent="0.2">
      <c r="A11" s="91" t="s">
        <v>3374</v>
      </c>
      <c r="D11" s="92" t="s">
        <v>1330</v>
      </c>
      <c r="E11" s="92" t="s">
        <v>1220</v>
      </c>
    </row>
    <row r="12" spans="1:6" x14ac:dyDescent="0.2">
      <c r="A12" s="91" t="s">
        <v>3398</v>
      </c>
      <c r="D12" s="92" t="s">
        <v>1224</v>
      </c>
      <c r="E12" s="92" t="s">
        <v>3397</v>
      </c>
    </row>
    <row r="13" spans="1:6" x14ac:dyDescent="0.2">
      <c r="A13" s="91" t="s">
        <v>3399</v>
      </c>
    </row>
    <row r="14" spans="1:6" x14ac:dyDescent="0.2">
      <c r="A14" s="91" t="s">
        <v>3400</v>
      </c>
    </row>
    <row r="15" spans="1:6" x14ac:dyDescent="0.2">
      <c r="A15" s="91" t="s">
        <v>3401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A18" s="93"/>
      <c r="B18" s="188"/>
      <c r="C18" s="2" t="s">
        <v>3402</v>
      </c>
    </row>
    <row r="19" spans="1:6" x14ac:dyDescent="0.2">
      <c r="A19" s="112"/>
      <c r="B19" s="93"/>
      <c r="C19" s="2" t="s">
        <v>3403</v>
      </c>
    </row>
    <row r="21" spans="1:6" x14ac:dyDescent="0.2">
      <c r="A21" s="134" t="s">
        <v>3380</v>
      </c>
      <c r="B21" s="93"/>
      <c r="C21" s="91" t="s">
        <v>3404</v>
      </c>
      <c r="F21" s="91">
        <v>25000</v>
      </c>
    </row>
    <row r="22" spans="1:6" x14ac:dyDescent="0.2">
      <c r="A22" s="134"/>
      <c r="C22" s="91" t="s">
        <v>3381</v>
      </c>
    </row>
    <row r="23" spans="1:6" x14ac:dyDescent="0.2">
      <c r="A23" s="93"/>
      <c r="B23" s="93"/>
    </row>
    <row r="26" spans="1:6" x14ac:dyDescent="0.2">
      <c r="A26" s="93"/>
      <c r="B26" s="134"/>
    </row>
    <row r="27" spans="1:6" x14ac:dyDescent="0.2">
      <c r="B27" s="93"/>
    </row>
    <row r="28" spans="1:6" x14ac:dyDescent="0.2">
      <c r="B28" s="93"/>
    </row>
    <row r="29" spans="1:6" x14ac:dyDescent="0.2">
      <c r="B29" s="93"/>
    </row>
    <row r="30" spans="1:6" x14ac:dyDescent="0.2">
      <c r="A30" s="93"/>
      <c r="B30" s="134"/>
    </row>
    <row r="31" spans="1:6" x14ac:dyDescent="0.2">
      <c r="A31" s="112"/>
      <c r="B31" s="94"/>
    </row>
    <row r="32" spans="1:6" x14ac:dyDescent="0.2">
      <c r="A32" s="112"/>
    </row>
    <row r="33" spans="1:6" ht="13.5" thickBot="1" x14ac:dyDescent="0.25">
      <c r="A33" s="112"/>
      <c r="F33" s="95">
        <f>SUM(F18:F32)</f>
        <v>25000</v>
      </c>
    </row>
    <row r="34" spans="1:6" ht="14.25" thickTop="1" thickBot="1" x14ac:dyDescent="0.25">
      <c r="A34" s="112"/>
      <c r="F34" s="107"/>
    </row>
    <row r="35" spans="1:6" ht="20.100000000000001" customHeight="1" thickTop="1" x14ac:dyDescent="0.2">
      <c r="A35" s="96" t="s">
        <v>1347</v>
      </c>
      <c r="B35" s="185" t="s">
        <v>2519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8" t="s">
        <v>121</v>
      </c>
      <c r="C40" s="99"/>
      <c r="D40" s="228"/>
      <c r="E40" s="229"/>
      <c r="F40" s="229"/>
    </row>
    <row r="41" spans="1:6" x14ac:dyDescent="0.2">
      <c r="A41" s="1"/>
    </row>
    <row r="42" spans="1:6" x14ac:dyDescent="0.2">
      <c r="A42" s="98"/>
    </row>
    <row r="43" spans="1:6" x14ac:dyDescent="0.2">
      <c r="A43" s="98" t="s">
        <v>8</v>
      </c>
      <c r="D43" s="98" t="s">
        <v>7</v>
      </c>
      <c r="F43" s="102"/>
    </row>
    <row r="44" spans="1:6" x14ac:dyDescent="0.2">
      <c r="A44" s="98"/>
    </row>
    <row r="45" spans="1:6" x14ac:dyDescent="0.2">
      <c r="A45" s="98"/>
    </row>
    <row r="46" spans="1:6" x14ac:dyDescent="0.2">
      <c r="A46" s="98"/>
    </row>
    <row r="47" spans="1:6" x14ac:dyDescent="0.2">
      <c r="A47" s="100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103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49">
    <pageSetUpPr fitToPage="1"/>
  </sheetPr>
  <dimension ref="A1:F58"/>
  <sheetViews>
    <sheetView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 t="s">
        <v>6418</v>
      </c>
      <c r="B9" s="91"/>
      <c r="C9" s="91"/>
      <c r="D9" s="92" t="s">
        <v>1517</v>
      </c>
      <c r="E9" s="91" t="s">
        <v>6415</v>
      </c>
      <c r="F9" s="91"/>
    </row>
    <row r="10" spans="1:6" x14ac:dyDescent="0.2">
      <c r="A10" s="91" t="s">
        <v>6424</v>
      </c>
      <c r="B10" s="91"/>
      <c r="C10" s="91"/>
      <c r="D10" s="92" t="s">
        <v>1357</v>
      </c>
      <c r="E10" s="91" t="s">
        <v>6417</v>
      </c>
      <c r="F10" s="91"/>
    </row>
    <row r="11" spans="1:6" x14ac:dyDescent="0.2">
      <c r="A11" s="91" t="s">
        <v>5613</v>
      </c>
      <c r="B11" s="91"/>
      <c r="C11" s="91"/>
      <c r="D11" s="92" t="s">
        <v>1330</v>
      </c>
      <c r="E11" s="91" t="s">
        <v>1220</v>
      </c>
      <c r="F11" s="91"/>
    </row>
    <row r="12" spans="1:6" x14ac:dyDescent="0.2">
      <c r="A12" s="91" t="s">
        <v>6419</v>
      </c>
      <c r="B12" s="91"/>
      <c r="C12" s="91"/>
      <c r="D12" s="92" t="s">
        <v>1224</v>
      </c>
      <c r="E12" s="91" t="s">
        <v>6416</v>
      </c>
      <c r="F12" s="91"/>
    </row>
    <row r="13" spans="1:6" x14ac:dyDescent="0.2">
      <c r="A13" s="91" t="s">
        <v>6420</v>
      </c>
      <c r="B13" s="91"/>
      <c r="C13" s="91"/>
      <c r="D13" s="91"/>
      <c r="E13" s="91"/>
      <c r="F13" s="91"/>
    </row>
    <row r="14" spans="1:6" x14ac:dyDescent="0.2">
      <c r="A14" s="91" t="s">
        <v>1337</v>
      </c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5338</v>
      </c>
      <c r="D18" s="91"/>
      <c r="E18" s="91"/>
      <c r="F18" s="91"/>
    </row>
    <row r="19" spans="1:6" x14ac:dyDescent="0.2">
      <c r="A19" s="91"/>
      <c r="B19" s="93"/>
      <c r="C19" s="91"/>
      <c r="D19" s="91"/>
      <c r="E19" s="91"/>
      <c r="F19" s="91"/>
    </row>
    <row r="20" spans="1:6" x14ac:dyDescent="0.2">
      <c r="A20" s="142" t="s">
        <v>6421</v>
      </c>
      <c r="B20" s="142" t="s">
        <v>6422</v>
      </c>
      <c r="C20" s="91" t="s">
        <v>6423</v>
      </c>
      <c r="D20" s="91"/>
      <c r="E20" s="91"/>
      <c r="F20" s="91">
        <v>90</v>
      </c>
    </row>
    <row r="21" spans="1:6" x14ac:dyDescent="0.2">
      <c r="A21" s="91"/>
      <c r="B21" s="93"/>
      <c r="C21" s="91"/>
      <c r="D21" s="91"/>
      <c r="E21" s="91"/>
      <c r="F21" s="91"/>
    </row>
    <row r="22" spans="1:6" x14ac:dyDescent="0.2">
      <c r="A22" s="91"/>
      <c r="B22" s="93"/>
      <c r="C22" s="91"/>
      <c r="D22" s="91"/>
      <c r="E22" s="91"/>
      <c r="F22" s="91"/>
    </row>
    <row r="23" spans="1:6" x14ac:dyDescent="0.2">
      <c r="A23" s="91"/>
      <c r="B23" s="93"/>
      <c r="C23" s="91"/>
      <c r="D23" s="91"/>
      <c r="E23" s="91"/>
      <c r="F23" s="91"/>
    </row>
    <row r="24" spans="1:6" x14ac:dyDescent="0.2">
      <c r="A24" s="93"/>
      <c r="B24" s="93"/>
      <c r="C24" s="2"/>
      <c r="D24" s="91"/>
      <c r="E24" s="91"/>
      <c r="F24" s="91"/>
    </row>
    <row r="25" spans="1:6" x14ac:dyDescent="0.2">
      <c r="A25" s="92"/>
      <c r="B25" s="91"/>
      <c r="C25" s="2"/>
      <c r="D25" s="91"/>
      <c r="E25" s="91"/>
      <c r="F25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  <c r="F32" s="91"/>
    </row>
    <row r="33" spans="1:6" x14ac:dyDescent="0.2">
      <c r="A33" s="91"/>
      <c r="B33" s="91"/>
      <c r="C33" s="91"/>
      <c r="D33" s="91"/>
      <c r="E33" s="91"/>
      <c r="F33" s="91"/>
    </row>
    <row r="34" spans="1:6" x14ac:dyDescent="0.2">
      <c r="A34" s="91"/>
      <c r="B34" s="91"/>
      <c r="C34" s="91"/>
      <c r="D34" s="91"/>
      <c r="E34" s="91"/>
      <c r="F34" s="91"/>
    </row>
    <row r="35" spans="1:6" x14ac:dyDescent="0.2">
      <c r="A35" s="91"/>
      <c r="B35" s="91"/>
      <c r="C35" s="91"/>
      <c r="D35" s="91"/>
      <c r="E35" s="91"/>
      <c r="F35" s="91"/>
    </row>
    <row r="36" spans="1:6" x14ac:dyDescent="0.2">
      <c r="A36" s="91"/>
      <c r="B36" s="91"/>
      <c r="C36" s="91"/>
      <c r="D36" s="91"/>
      <c r="E36" s="91"/>
    </row>
    <row r="37" spans="1:6" ht="13.5" thickBot="1" x14ac:dyDescent="0.25">
      <c r="A37" s="91"/>
      <c r="B37" s="91"/>
      <c r="C37" s="91"/>
      <c r="D37" s="91"/>
      <c r="E37" s="91"/>
      <c r="F37" s="107">
        <f>SUM(F19:F36)</f>
        <v>90</v>
      </c>
    </row>
    <row r="38" spans="1:6" ht="13.5" thickTop="1" x14ac:dyDescent="0.2">
      <c r="A38" s="91"/>
      <c r="B38" s="91"/>
      <c r="C38" s="91"/>
      <c r="D38" s="91"/>
      <c r="E38" s="91"/>
      <c r="F38" s="91"/>
    </row>
    <row r="39" spans="1:6" ht="20.100000000000001" customHeight="1" x14ac:dyDescent="0.2">
      <c r="A39" s="96" t="s">
        <v>122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Ninety and NO/100 -----------</v>
      </c>
      <c r="C39" s="97"/>
      <c r="D39" s="97"/>
      <c r="E39" s="97"/>
      <c r="F39" s="97"/>
    </row>
    <row r="40" spans="1:6" x14ac:dyDescent="0.2">
      <c r="A40" s="94" t="s">
        <v>11</v>
      </c>
      <c r="B40" s="91"/>
      <c r="C40" s="91"/>
      <c r="D40" s="91"/>
      <c r="E40" s="91"/>
      <c r="F40" s="91"/>
    </row>
    <row r="41" spans="1:6" ht="25.5" x14ac:dyDescent="0.2">
      <c r="A41" s="91" t="s">
        <v>10</v>
      </c>
      <c r="B41" s="91"/>
      <c r="C41" s="91"/>
      <c r="D41" s="218" t="s">
        <v>3975</v>
      </c>
      <c r="E41" s="219"/>
      <c r="F41" s="220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61"/>
      <c r="B43" s="91"/>
      <c r="C43" s="91"/>
    </row>
    <row r="44" spans="1:6" x14ac:dyDescent="0.2">
      <c r="A44" s="91"/>
      <c r="B44" s="91"/>
      <c r="C44" s="99"/>
      <c r="D44" s="91"/>
      <c r="E44" s="91"/>
      <c r="F44" s="91"/>
    </row>
    <row r="45" spans="1:6" x14ac:dyDescent="0.2">
      <c r="A45" s="101"/>
      <c r="B45" s="10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98" t="s">
        <v>8</v>
      </c>
      <c r="B47" s="91"/>
      <c r="C47" s="91"/>
      <c r="D47" s="98" t="s">
        <v>7</v>
      </c>
      <c r="E47" s="91"/>
      <c r="F47" s="102"/>
    </row>
    <row r="48" spans="1:6" x14ac:dyDescent="0.2">
      <c r="A48" s="91"/>
      <c r="B48" s="91"/>
      <c r="C48" s="91"/>
      <c r="D48" s="91"/>
      <c r="E48" s="91"/>
      <c r="F48" s="91"/>
    </row>
    <row r="49" spans="1:6" x14ac:dyDescent="0.2">
      <c r="A49" s="91"/>
      <c r="B49" s="91"/>
      <c r="C49" s="91"/>
      <c r="D49" s="91"/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101"/>
      <c r="B51" s="101"/>
      <c r="C51" s="91"/>
      <c r="D51" s="101"/>
      <c r="E51" s="101"/>
      <c r="F51" s="101"/>
    </row>
    <row r="52" spans="1:6" s="3" customFormat="1" ht="17.100000000000001" customHeight="1" x14ac:dyDescent="0.2">
      <c r="A52" s="103" t="s">
        <v>4066</v>
      </c>
      <c r="B52" s="104"/>
      <c r="C52" s="61"/>
      <c r="D52" s="61" t="s">
        <v>3</v>
      </c>
      <c r="E52" s="61"/>
      <c r="F52" s="61"/>
    </row>
    <row r="53" spans="1:6" x14ac:dyDescent="0.2">
      <c r="A53" s="91"/>
      <c r="B53" s="91"/>
      <c r="C53" s="91"/>
      <c r="D53" s="91" t="s">
        <v>2</v>
      </c>
      <c r="E53" s="91"/>
      <c r="F53" s="91"/>
    </row>
    <row r="54" spans="1:6" x14ac:dyDescent="0.2">
      <c r="A54" s="103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2" t="s">
        <v>1</v>
      </c>
      <c r="E55" s="91"/>
      <c r="F55" s="91"/>
    </row>
    <row r="56" spans="1:6" x14ac:dyDescent="0.2">
      <c r="A56" s="91"/>
      <c r="B56" s="91"/>
      <c r="C56" s="91"/>
      <c r="D56" s="2" t="s">
        <v>0</v>
      </c>
      <c r="E56" s="91"/>
      <c r="F56" s="91"/>
    </row>
    <row r="57" spans="1:6" x14ac:dyDescent="0.2">
      <c r="A57" s="91"/>
      <c r="B57" s="91"/>
      <c r="C57" s="91"/>
      <c r="D57" s="91"/>
      <c r="E57" s="91"/>
      <c r="F57" s="91"/>
    </row>
    <row r="58" spans="1:6" x14ac:dyDescent="0.2">
      <c r="A58" s="91"/>
      <c r="B58" s="91"/>
      <c r="C58" s="91"/>
      <c r="D58" s="91"/>
      <c r="E58" s="91"/>
      <c r="F58" s="9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1-000000000000}">
  <sheetPr codeName="Sheet440">
    <pageSetUpPr fitToPage="1"/>
  </sheetPr>
  <dimension ref="A1:G57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6.4257812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4346</v>
      </c>
      <c r="F9" s="153"/>
    </row>
    <row r="10" spans="1:6" x14ac:dyDescent="0.2">
      <c r="A10" s="153" t="s">
        <v>3959</v>
      </c>
      <c r="B10" s="153"/>
      <c r="C10" s="153"/>
      <c r="D10" s="155" t="s">
        <v>1357</v>
      </c>
      <c r="E10" s="92" t="s">
        <v>4347</v>
      </c>
      <c r="F10" s="153"/>
    </row>
    <row r="11" spans="1:6" x14ac:dyDescent="0.2">
      <c r="A11" s="153" t="s">
        <v>3962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3960</v>
      </c>
      <c r="B12" s="153"/>
      <c r="C12" s="153"/>
      <c r="D12" s="155" t="s">
        <v>1377</v>
      </c>
      <c r="E12" s="92" t="s">
        <v>770</v>
      </c>
      <c r="F12" s="153"/>
    </row>
    <row r="13" spans="1:6" x14ac:dyDescent="0.2">
      <c r="A13" s="153" t="s">
        <v>3961</v>
      </c>
      <c r="B13" s="153"/>
      <c r="C13" s="153"/>
      <c r="D13" s="153"/>
      <c r="E13" s="91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7" x14ac:dyDescent="0.2">
      <c r="A17" s="153"/>
      <c r="B17" s="153"/>
      <c r="C17" s="153"/>
      <c r="D17" s="153"/>
      <c r="E17" s="153"/>
      <c r="F17" s="153"/>
    </row>
    <row r="18" spans="1:7" x14ac:dyDescent="0.2">
      <c r="A18" s="153"/>
      <c r="B18" s="153"/>
      <c r="C18" s="163"/>
      <c r="D18" s="153"/>
      <c r="E18" s="153"/>
      <c r="F18" s="153"/>
    </row>
    <row r="19" spans="1:7" x14ac:dyDescent="0.2">
      <c r="A19" s="153"/>
      <c r="B19" s="153"/>
      <c r="C19" s="153" t="s">
        <v>3963</v>
      </c>
      <c r="D19" s="153"/>
      <c r="E19" s="153"/>
      <c r="F19" s="153"/>
      <c r="G19" s="153"/>
    </row>
    <row r="20" spans="1:7" x14ac:dyDescent="0.2">
      <c r="A20" s="164"/>
      <c r="B20" s="153"/>
      <c r="C20" s="153" t="s">
        <v>3964</v>
      </c>
      <c r="D20" s="153"/>
      <c r="E20" s="153"/>
      <c r="F20" s="153"/>
      <c r="G20" s="153"/>
    </row>
    <row r="21" spans="1:7" x14ac:dyDescent="0.2">
      <c r="A21" s="153"/>
      <c r="B21" s="153"/>
      <c r="C21" s="153"/>
      <c r="D21" s="153"/>
      <c r="E21" s="153"/>
      <c r="F21" s="153"/>
      <c r="G21" s="153"/>
    </row>
    <row r="22" spans="1:7" x14ac:dyDescent="0.2">
      <c r="A22" s="166" t="s">
        <v>4313</v>
      </c>
      <c r="B22" s="153"/>
      <c r="C22" s="153" t="s">
        <v>4348</v>
      </c>
      <c r="D22" s="153"/>
      <c r="E22" s="153"/>
      <c r="F22" s="153">
        <f>(20000*20%)*2.8239</f>
        <v>11295.6</v>
      </c>
      <c r="G22" s="153"/>
    </row>
    <row r="23" spans="1:7" x14ac:dyDescent="0.2">
      <c r="A23" s="165"/>
      <c r="B23" s="153"/>
      <c r="C23" s="153"/>
      <c r="F23" s="153"/>
      <c r="G23" s="153"/>
    </row>
    <row r="24" spans="1:7" x14ac:dyDescent="0.2">
      <c r="A24" s="165"/>
      <c r="B24" s="153"/>
      <c r="C24" s="153" t="s">
        <v>52</v>
      </c>
      <c r="D24" s="153"/>
      <c r="E24" s="153"/>
      <c r="F24" s="153">
        <v>30</v>
      </c>
      <c r="G24" s="153"/>
    </row>
    <row r="25" spans="1:7" x14ac:dyDescent="0.2">
      <c r="A25" s="166"/>
      <c r="B25" s="153"/>
      <c r="C25" s="153"/>
      <c r="D25" s="153"/>
      <c r="E25" s="153"/>
      <c r="F25" s="153"/>
      <c r="G25" s="153"/>
    </row>
    <row r="26" spans="1:7" x14ac:dyDescent="0.2">
      <c r="A26" s="164"/>
      <c r="B26" s="153"/>
      <c r="G26" s="153"/>
    </row>
    <row r="27" spans="1:7" x14ac:dyDescent="0.2">
      <c r="A27" s="166"/>
      <c r="B27" s="153"/>
      <c r="C27" s="153"/>
      <c r="D27" s="153"/>
      <c r="E27" s="153"/>
      <c r="F27" s="153"/>
      <c r="G27" s="153"/>
    </row>
    <row r="28" spans="1:7" x14ac:dyDescent="0.2">
      <c r="A28" s="164"/>
      <c r="B28" s="153"/>
      <c r="C28" s="167"/>
      <c r="D28" s="153"/>
      <c r="E28" s="153"/>
      <c r="F28" s="153"/>
      <c r="G28" s="153"/>
    </row>
    <row r="29" spans="1:7" x14ac:dyDescent="0.2">
      <c r="A29" s="164"/>
      <c r="B29" s="153"/>
      <c r="C29" s="153"/>
      <c r="D29" s="153"/>
      <c r="E29" s="153"/>
      <c r="F29" s="153"/>
      <c r="G29" s="153"/>
    </row>
    <row r="30" spans="1:7" x14ac:dyDescent="0.2">
      <c r="A30" s="168"/>
      <c r="B30" s="169"/>
      <c r="G30" s="153"/>
    </row>
    <row r="31" spans="1:7" x14ac:dyDescent="0.2">
      <c r="A31" s="168"/>
      <c r="B31" s="169"/>
      <c r="C31" s="153"/>
      <c r="D31" s="153"/>
      <c r="E31" s="153"/>
      <c r="F31" s="153"/>
      <c r="G31" s="153"/>
    </row>
    <row r="32" spans="1:7" x14ac:dyDescent="0.2">
      <c r="A32" s="168"/>
      <c r="B32" s="169"/>
      <c r="C32" s="153"/>
      <c r="D32" s="153"/>
      <c r="E32" s="153"/>
      <c r="F32" s="153"/>
      <c r="G32" s="153"/>
    </row>
    <row r="33" spans="1:7" x14ac:dyDescent="0.2">
      <c r="A33" s="168"/>
      <c r="B33" s="169"/>
      <c r="C33" s="153"/>
      <c r="D33" s="153"/>
      <c r="E33" s="153"/>
      <c r="F33" s="153"/>
      <c r="G33" s="153"/>
    </row>
    <row r="34" spans="1:7" x14ac:dyDescent="0.2">
      <c r="A34" s="153"/>
      <c r="B34" s="153"/>
      <c r="C34" s="153"/>
      <c r="D34" s="153"/>
      <c r="E34" s="153"/>
      <c r="G34" s="153"/>
    </row>
    <row r="35" spans="1:7" ht="13.5" thickBot="1" x14ac:dyDescent="0.25">
      <c r="A35" s="153"/>
      <c r="B35" s="153"/>
      <c r="C35" s="153"/>
      <c r="D35" s="153"/>
      <c r="E35" s="153"/>
      <c r="F35" s="170">
        <f>SUM(F20:F33)</f>
        <v>11325.6</v>
      </c>
      <c r="G35" s="153"/>
    </row>
    <row r="36" spans="1:7" ht="13.5" thickTop="1" x14ac:dyDescent="0.2">
      <c r="A36" s="153"/>
      <c r="B36" s="153"/>
      <c r="C36" s="153"/>
      <c r="D36" s="230"/>
      <c r="E36" s="231"/>
      <c r="F36" s="231"/>
      <c r="G36" s="153"/>
    </row>
    <row r="37" spans="1:7" ht="20.100000000000001" customHeight="1" x14ac:dyDescent="0.2">
      <c r="A37" s="171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Eleven Thousand Three Hundred Twenty-Five and 60/100 -----------</v>
      </c>
      <c r="C37" s="172"/>
      <c r="D37" s="221"/>
      <c r="E37" s="221"/>
      <c r="F37" s="221"/>
      <c r="G37" s="153"/>
    </row>
    <row r="38" spans="1:7" ht="20.100000000000001" customHeight="1" x14ac:dyDescent="0.2">
      <c r="A38" s="197"/>
      <c r="B38" s="103"/>
      <c r="C38" s="156"/>
      <c r="D38" s="221"/>
      <c r="E38" s="221"/>
      <c r="F38" s="221"/>
      <c r="G38" s="153"/>
    </row>
    <row r="39" spans="1:7" ht="25.5" x14ac:dyDescent="0.2">
      <c r="A39" s="169" t="s">
        <v>3974</v>
      </c>
      <c r="B39" s="153"/>
      <c r="C39" s="153"/>
      <c r="D39" s="218" t="s">
        <v>3975</v>
      </c>
      <c r="E39" s="219"/>
      <c r="F39" s="220"/>
    </row>
    <row r="40" spans="1:7" x14ac:dyDescent="0.2">
      <c r="A40" s="153"/>
      <c r="B40" s="153"/>
      <c r="C40" s="153"/>
      <c r="D40" s="228"/>
      <c r="E40" s="229"/>
      <c r="F40" s="229"/>
    </row>
    <row r="41" spans="1:7" x14ac:dyDescent="0.2">
      <c r="B41" s="153"/>
      <c r="C41" s="173"/>
      <c r="D41" s="153"/>
      <c r="E41" s="153"/>
      <c r="F41" s="153"/>
    </row>
    <row r="42" spans="1:7" x14ac:dyDescent="0.2">
      <c r="A42" s="153"/>
      <c r="B42" s="153"/>
      <c r="C42" s="173"/>
      <c r="D42" s="153"/>
      <c r="E42" s="153"/>
      <c r="F42" s="153"/>
    </row>
    <row r="43" spans="1:7" x14ac:dyDescent="0.2">
      <c r="A43" s="174"/>
      <c r="B43" s="174"/>
      <c r="C43" s="153"/>
      <c r="D43" s="153"/>
      <c r="E43" s="153"/>
      <c r="F43" s="153"/>
    </row>
    <row r="44" spans="1:7" x14ac:dyDescent="0.2">
      <c r="B44" s="153"/>
      <c r="C44" s="153"/>
      <c r="D44" s="153"/>
      <c r="E44" s="153"/>
      <c r="F44" s="153"/>
    </row>
    <row r="45" spans="1:7" x14ac:dyDescent="0.2">
      <c r="A45" s="175" t="s">
        <v>8</v>
      </c>
      <c r="C45" s="153"/>
      <c r="D45" s="175" t="s">
        <v>7</v>
      </c>
      <c r="E45" s="153"/>
      <c r="F45" s="176"/>
    </row>
    <row r="46" spans="1:7" x14ac:dyDescent="0.2">
      <c r="A46" s="175"/>
      <c r="C46" s="153"/>
      <c r="D46" s="175"/>
      <c r="E46" s="153"/>
      <c r="F46" s="176"/>
    </row>
    <row r="47" spans="1:7" x14ac:dyDescent="0.2">
      <c r="A47" s="153"/>
      <c r="B47" s="153"/>
      <c r="C47" s="153"/>
      <c r="D47" s="153"/>
      <c r="E47" s="153"/>
      <c r="F47" s="153"/>
    </row>
    <row r="48" spans="1:7" x14ac:dyDescent="0.2">
      <c r="A48" s="153"/>
      <c r="B48" s="153"/>
      <c r="C48" s="153"/>
      <c r="D48" s="153"/>
      <c r="E48" s="153"/>
      <c r="F48" s="153"/>
    </row>
    <row r="49" spans="1:6" x14ac:dyDescent="0.2">
      <c r="A49" s="153"/>
      <c r="B49" s="153"/>
      <c r="C49" s="153"/>
      <c r="D49" s="153"/>
      <c r="E49" s="153"/>
      <c r="F49" s="153"/>
    </row>
    <row r="50" spans="1:6" x14ac:dyDescent="0.2">
      <c r="A50" s="250"/>
      <c r="B50" s="174"/>
      <c r="C50" s="153"/>
      <c r="D50" s="174"/>
      <c r="E50" s="174"/>
      <c r="F50" s="174"/>
    </row>
    <row r="51" spans="1:6" s="178" customFormat="1" ht="17.100000000000001" customHeight="1" x14ac:dyDescent="0.2">
      <c r="A51" s="153" t="s">
        <v>4066</v>
      </c>
      <c r="B51" s="177"/>
      <c r="C51" s="156"/>
      <c r="D51" s="156" t="s">
        <v>3</v>
      </c>
      <c r="E51" s="156"/>
      <c r="F51" s="156"/>
    </row>
    <row r="52" spans="1:6" x14ac:dyDescent="0.2">
      <c r="A52" s="153"/>
      <c r="B52" s="153"/>
      <c r="C52" s="153"/>
      <c r="D52" s="153" t="s">
        <v>2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63" t="s">
        <v>1</v>
      </c>
      <c r="E54" s="153"/>
      <c r="F54" s="153"/>
    </row>
    <row r="55" spans="1:6" x14ac:dyDescent="0.2">
      <c r="A55" s="153"/>
      <c r="B55" s="153"/>
      <c r="C55" s="153"/>
      <c r="D55" s="163" t="s">
        <v>0</v>
      </c>
      <c r="E55" s="153"/>
      <c r="F55" s="153"/>
    </row>
    <row r="56" spans="1:6" x14ac:dyDescent="0.2">
      <c r="A56" s="153"/>
      <c r="B56" s="153"/>
      <c r="C56" s="153"/>
      <c r="D56" s="153"/>
      <c r="E56" s="153"/>
      <c r="F56" s="153"/>
    </row>
    <row r="57" spans="1:6" x14ac:dyDescent="0.2">
      <c r="A57" s="153"/>
      <c r="B57" s="153"/>
      <c r="C57" s="153"/>
      <c r="D57" s="153"/>
      <c r="E57" s="153"/>
      <c r="F57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4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1-000000000000}">
  <sheetPr codeName="Sheet575"/>
  <dimension ref="A1:H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5664</v>
      </c>
      <c r="F9" s="92" t="s">
        <v>1317</v>
      </c>
      <c r="G9" s="91" t="s">
        <v>5662</v>
      </c>
    </row>
    <row r="10" spans="1:8" x14ac:dyDescent="0.2">
      <c r="A10" s="91" t="s">
        <v>5665</v>
      </c>
      <c r="F10" s="92" t="s">
        <v>1329</v>
      </c>
      <c r="G10" s="92" t="s">
        <v>5625</v>
      </c>
    </row>
    <row r="11" spans="1:8" x14ac:dyDescent="0.2">
      <c r="A11" s="91" t="s">
        <v>2337</v>
      </c>
      <c r="F11" s="92" t="s">
        <v>1330</v>
      </c>
      <c r="G11" s="92" t="s">
        <v>1220</v>
      </c>
    </row>
    <row r="12" spans="1:8" x14ac:dyDescent="0.2">
      <c r="A12" s="91" t="s">
        <v>1314</v>
      </c>
      <c r="F12" s="92" t="s">
        <v>1224</v>
      </c>
      <c r="G12" s="92" t="s">
        <v>5663</v>
      </c>
    </row>
    <row r="13" spans="1:8" x14ac:dyDescent="0.2">
      <c r="A13" s="91" t="s">
        <v>5666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4580</v>
      </c>
      <c r="E18" s="2"/>
    </row>
    <row r="19" spans="1:8" x14ac:dyDescent="0.2">
      <c r="D19" s="2"/>
      <c r="E19" s="2"/>
    </row>
    <row r="20" spans="1:8" x14ac:dyDescent="0.2">
      <c r="A20" s="134"/>
      <c r="B20" s="93" t="s">
        <v>5667</v>
      </c>
      <c r="C20" s="93"/>
      <c r="D20" s="91" t="s">
        <v>5668</v>
      </c>
      <c r="H20" s="91">
        <v>550</v>
      </c>
    </row>
    <row r="21" spans="1:8" x14ac:dyDescent="0.2">
      <c r="A21" s="93"/>
      <c r="B21" s="93"/>
      <c r="C21" s="93"/>
    </row>
    <row r="22" spans="1:8" x14ac:dyDescent="0.2">
      <c r="A22" s="93"/>
      <c r="B22" s="99"/>
      <c r="C22" s="99"/>
    </row>
    <row r="23" spans="1:8" x14ac:dyDescent="0.2">
      <c r="A23" s="94"/>
    </row>
    <row r="24" spans="1:8" x14ac:dyDescent="0.2">
      <c r="A24" s="94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4"/>
    </row>
    <row r="29" spans="1:8" x14ac:dyDescent="0.2">
      <c r="A29" s="94"/>
    </row>
    <row r="30" spans="1:8" x14ac:dyDescent="0.2">
      <c r="A30" s="93"/>
      <c r="B30" s="99"/>
    </row>
    <row r="31" spans="1:8" x14ac:dyDescent="0.2">
      <c r="D31" s="2"/>
      <c r="E31" s="2"/>
    </row>
    <row r="32" spans="1:8" x14ac:dyDescent="0.2">
      <c r="E32" s="2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93"/>
      <c r="B34" s="99"/>
      <c r="C34" s="1"/>
      <c r="E34" s="1"/>
      <c r="F34" s="1"/>
      <c r="G34" s="1"/>
    </row>
    <row r="35" spans="1:8" x14ac:dyDescent="0.2">
      <c r="A35" s="112"/>
    </row>
    <row r="36" spans="1:8" ht="13.5" thickBot="1" x14ac:dyDescent="0.25">
      <c r="A36" s="112"/>
      <c r="H36" s="95">
        <f>SUM(H20:H35)</f>
        <v>550</v>
      </c>
    </row>
    <row r="37" spans="1:8" ht="13.5" thickTop="1" x14ac:dyDescent="0.2">
      <c r="A37" s="112"/>
      <c r="H37" s="238"/>
    </row>
    <row r="38" spans="1:8" ht="20.100000000000001" customHeight="1" x14ac:dyDescent="0.2">
      <c r="A38" s="96" t="s">
        <v>1347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Hundred Fifty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2" spans="1:8" x14ac:dyDescent="0.2">
      <c r="F42" s="227"/>
      <c r="G42" s="227"/>
      <c r="H42" s="227"/>
    </row>
    <row r="43" spans="1:8" x14ac:dyDescent="0.2">
      <c r="A43" s="98" t="s">
        <v>121</v>
      </c>
      <c r="D43" s="99"/>
      <c r="E43" s="99"/>
      <c r="F43" s="228"/>
      <c r="G43" s="229"/>
      <c r="H43" s="229"/>
    </row>
    <row r="44" spans="1:8" x14ac:dyDescent="0.2">
      <c r="A44" s="23"/>
      <c r="B44" s="101"/>
    </row>
    <row r="45" spans="1:8" x14ac:dyDescent="0.2">
      <c r="A45" s="98"/>
    </row>
    <row r="46" spans="1:8" x14ac:dyDescent="0.2">
      <c r="A46" s="98" t="s">
        <v>8</v>
      </c>
      <c r="D46" s="98"/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D50" s="98"/>
      <c r="F50" s="101"/>
      <c r="G50" s="101"/>
      <c r="H50" s="101"/>
    </row>
    <row r="51" spans="1:8" s="3" customFormat="1" ht="17.100000000000001" customHeight="1" x14ac:dyDescent="0.2">
      <c r="A51" s="103" t="s">
        <v>4047</v>
      </c>
      <c r="B51" s="104"/>
      <c r="C51" s="104"/>
      <c r="D51" s="103"/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4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1-000000000000}">
  <sheetPr codeName="Sheet532">
    <pageSetUpPr fitToPage="1"/>
  </sheetPr>
  <dimension ref="A1:P53"/>
  <sheetViews>
    <sheetView zoomScaleNormal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" style="91" customWidth="1"/>
    <col min="4" max="4" width="21" style="91" customWidth="1"/>
    <col min="5" max="5" width="0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1317</v>
      </c>
      <c r="G9" s="153" t="s">
        <v>8501</v>
      </c>
    </row>
    <row r="10" spans="1:16" x14ac:dyDescent="0.2">
      <c r="A10" s="91" t="s">
        <v>5251</v>
      </c>
      <c r="F10" s="92" t="s">
        <v>1329</v>
      </c>
      <c r="G10" s="155" t="s">
        <v>8493</v>
      </c>
    </row>
    <row r="11" spans="1:16" x14ac:dyDescent="0.2">
      <c r="A11" s="91" t="s">
        <v>5252</v>
      </c>
      <c r="F11" s="92" t="s">
        <v>1330</v>
      </c>
      <c r="G11" s="155" t="s">
        <v>1220</v>
      </c>
    </row>
    <row r="12" spans="1:16" x14ac:dyDescent="0.2">
      <c r="A12" s="91" t="s">
        <v>1943</v>
      </c>
      <c r="F12" s="92" t="s">
        <v>1331</v>
      </c>
      <c r="G12" s="155" t="s">
        <v>8502</v>
      </c>
    </row>
    <row r="13" spans="1:16" x14ac:dyDescent="0.2">
      <c r="G13" s="153" t="s">
        <v>7762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427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7649</v>
      </c>
      <c r="E18" s="2"/>
      <c r="M18" s="91"/>
      <c r="N18" s="91"/>
      <c r="O18" s="91"/>
      <c r="P18" s="91"/>
    </row>
    <row r="19" spans="1:16" x14ac:dyDescent="0.2">
      <c r="A19" s="93"/>
      <c r="B19" s="93"/>
      <c r="C19" s="93"/>
      <c r="M19" s="91"/>
      <c r="N19" s="91"/>
      <c r="O19" s="91"/>
      <c r="P19" s="91"/>
    </row>
    <row r="20" spans="1:16" x14ac:dyDescent="0.2">
      <c r="A20" s="93"/>
      <c r="B20" s="93"/>
      <c r="C20" s="93"/>
      <c r="D20" s="2" t="s">
        <v>8503</v>
      </c>
      <c r="E20" s="2"/>
      <c r="M20" s="91"/>
      <c r="N20" s="91"/>
      <c r="O20" s="91"/>
      <c r="P20" s="91"/>
    </row>
    <row r="21" spans="1:16" x14ac:dyDescent="0.2">
      <c r="D21" s="91" t="s">
        <v>8504</v>
      </c>
      <c r="H21" s="91">
        <v>808.6</v>
      </c>
      <c r="M21" s="91"/>
      <c r="N21" s="91"/>
      <c r="O21" s="91"/>
      <c r="P21" s="91"/>
    </row>
    <row r="22" spans="1:16" x14ac:dyDescent="0.2">
      <c r="A22" s="93"/>
      <c r="B22" s="93"/>
      <c r="C22" s="93"/>
      <c r="D22" s="91" t="s">
        <v>8505</v>
      </c>
      <c r="F22" s="1"/>
      <c r="G22" s="1"/>
      <c r="M22" s="91"/>
      <c r="N22" s="91"/>
      <c r="O22" s="91"/>
      <c r="P22" s="91"/>
    </row>
    <row r="23" spans="1:16" x14ac:dyDescent="0.2">
      <c r="A23" s="142"/>
      <c r="B23" s="142"/>
      <c r="C23" s="142"/>
      <c r="M23" s="91"/>
      <c r="N23" s="91"/>
      <c r="O23" s="91"/>
      <c r="P23" s="91"/>
    </row>
    <row r="24" spans="1:16" x14ac:dyDescent="0.2">
      <c r="A24" s="93"/>
      <c r="B24" s="93"/>
      <c r="C24" s="93"/>
      <c r="M24" s="91"/>
      <c r="N24" s="91"/>
      <c r="O24" s="91"/>
      <c r="P24" s="91"/>
    </row>
    <row r="25" spans="1:16" x14ac:dyDescent="0.2">
      <c r="M25" s="91"/>
      <c r="N25" s="91"/>
      <c r="O25" s="91"/>
      <c r="P25" s="91"/>
    </row>
    <row r="26" spans="1:16" x14ac:dyDescent="0.2">
      <c r="A26" s="93"/>
      <c r="B26" s="93"/>
      <c r="C26" s="93"/>
    </row>
    <row r="27" spans="1:16" x14ac:dyDescent="0.2">
      <c r="A27" s="93"/>
      <c r="B27" s="93"/>
      <c r="C27" s="93"/>
    </row>
    <row r="28" spans="1:16" x14ac:dyDescent="0.2">
      <c r="A28" s="93"/>
      <c r="B28" s="93"/>
      <c r="C28" s="93"/>
    </row>
    <row r="29" spans="1:16" x14ac:dyDescent="0.2">
      <c r="A29" s="93"/>
      <c r="B29" s="93"/>
      <c r="C29" s="93"/>
    </row>
    <row r="33" spans="1:8" x14ac:dyDescent="0.2">
      <c r="A33" s="106"/>
      <c r="H33" s="1"/>
    </row>
    <row r="34" spans="1:8" ht="13.5" thickBot="1" x14ac:dyDescent="0.25">
      <c r="A34" s="106"/>
      <c r="H34" s="107">
        <f>SUM(H18:H33)</f>
        <v>808.6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Hundred Eight and 60/100 -----------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  <c r="C42" s="386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61" t="s">
        <v>4066</v>
      </c>
      <c r="B49" s="104"/>
      <c r="C49" s="104"/>
      <c r="D49" s="6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1-000000000000}">
  <sheetPr codeName="Sheet504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4941</v>
      </c>
      <c r="D9" s="92" t="s">
        <v>1317</v>
      </c>
      <c r="E9" s="91" t="s">
        <v>4932</v>
      </c>
    </row>
    <row r="10" spans="1:6" x14ac:dyDescent="0.2">
      <c r="A10" s="91" t="s">
        <v>4942</v>
      </c>
      <c r="D10" s="92" t="s">
        <v>1329</v>
      </c>
      <c r="E10" s="91" t="s">
        <v>4934</v>
      </c>
    </row>
    <row r="11" spans="1:6" x14ac:dyDescent="0.2">
      <c r="A11" s="91" t="s">
        <v>4943</v>
      </c>
      <c r="D11" s="92" t="s">
        <v>1330</v>
      </c>
      <c r="E11" s="91" t="s">
        <v>1220</v>
      </c>
    </row>
    <row r="12" spans="1:6" x14ac:dyDescent="0.2">
      <c r="A12" s="91" t="s">
        <v>2554</v>
      </c>
      <c r="D12" s="92" t="s">
        <v>1331</v>
      </c>
      <c r="E12" s="91" t="s">
        <v>4933</v>
      </c>
    </row>
    <row r="13" spans="1:6" x14ac:dyDescent="0.2">
      <c r="A13" s="91" t="s">
        <v>2926</v>
      </c>
    </row>
    <row r="14" spans="1:6" x14ac:dyDescent="0.2">
      <c r="A14" s="91" t="s">
        <v>4944</v>
      </c>
    </row>
    <row r="15" spans="1:6" x14ac:dyDescent="0.2">
      <c r="A15" s="91" t="s">
        <v>4945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4798</v>
      </c>
    </row>
    <row r="19" spans="1:6" x14ac:dyDescent="0.2">
      <c r="A19" s="106"/>
      <c r="C19" s="2"/>
    </row>
    <row r="20" spans="1:6" x14ac:dyDescent="0.2">
      <c r="A20" s="93" t="s">
        <v>4857</v>
      </c>
      <c r="B20" s="93" t="s">
        <v>4946</v>
      </c>
      <c r="C20" s="91" t="s">
        <v>4947</v>
      </c>
      <c r="F20" s="91">
        <v>350000</v>
      </c>
    </row>
    <row r="21" spans="1:6" x14ac:dyDescent="0.2">
      <c r="A21" s="93"/>
      <c r="B21" s="94"/>
      <c r="C21" s="91" t="s">
        <v>4948</v>
      </c>
      <c r="F21" s="91">
        <v>16100</v>
      </c>
    </row>
    <row r="22" spans="1:6" x14ac:dyDescent="0.2">
      <c r="A22" s="93"/>
      <c r="B22" s="99"/>
      <c r="C22" s="91" t="s">
        <v>4949</v>
      </c>
      <c r="F22" s="91">
        <v>-50000</v>
      </c>
    </row>
    <row r="23" spans="1:6" x14ac:dyDescent="0.2">
      <c r="C23" s="91" t="s">
        <v>4950</v>
      </c>
      <c r="F23" s="91">
        <v>-10000</v>
      </c>
    </row>
    <row r="24" spans="1:6" x14ac:dyDescent="0.2">
      <c r="C24" s="91" t="s">
        <v>4951</v>
      </c>
      <c r="F24" s="91">
        <f>-3688*0.5</f>
        <v>-1844</v>
      </c>
    </row>
    <row r="25" spans="1:6" x14ac:dyDescent="0.2">
      <c r="A25" s="137"/>
      <c r="B25" s="99"/>
    </row>
    <row r="26" spans="1:6" x14ac:dyDescent="0.2">
      <c r="C26" s="91" t="s">
        <v>2147</v>
      </c>
      <c r="F26" s="91">
        <f>F20*6%</f>
        <v>21000</v>
      </c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325256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>Three Hundred Twenty-Five Thousand Two Hundred Fifty-Six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1-000000000000}">
  <sheetPr codeName="Sheet442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6202</v>
      </c>
    </row>
    <row r="10" spans="1:6" x14ac:dyDescent="0.2">
      <c r="A10" s="91" t="s">
        <v>4460</v>
      </c>
      <c r="D10" s="92" t="s">
        <v>1357</v>
      </c>
      <c r="E10" s="92" t="s">
        <v>6198</v>
      </c>
    </row>
    <row r="11" spans="1:6" x14ac:dyDescent="0.2">
      <c r="A11" s="91" t="s">
        <v>4461</v>
      </c>
      <c r="D11" s="92" t="s">
        <v>1330</v>
      </c>
      <c r="E11" s="92" t="s">
        <v>1220</v>
      </c>
    </row>
    <row r="12" spans="1:6" x14ac:dyDescent="0.2">
      <c r="A12" s="91" t="s">
        <v>1471</v>
      </c>
      <c r="D12" s="92" t="s">
        <v>1224</v>
      </c>
      <c r="E12" s="92" t="s">
        <v>6203</v>
      </c>
    </row>
    <row r="13" spans="1:6" x14ac:dyDescent="0.2">
      <c r="A13" s="91" t="s">
        <v>123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4449</v>
      </c>
    </row>
    <row r="19" spans="1:6" x14ac:dyDescent="0.2">
      <c r="A19" s="94"/>
      <c r="B19" s="240"/>
    </row>
    <row r="20" spans="1:6" x14ac:dyDescent="0.2">
      <c r="A20" s="92" t="s">
        <v>4249</v>
      </c>
      <c r="B20" s="195"/>
      <c r="C20" s="91" t="s">
        <v>6205</v>
      </c>
      <c r="F20" s="91">
        <v>2000</v>
      </c>
    </row>
    <row r="21" spans="1:6" x14ac:dyDescent="0.2">
      <c r="A21" s="93"/>
      <c r="B21" s="195"/>
      <c r="C21" s="91" t="s">
        <v>6204</v>
      </c>
    </row>
    <row r="22" spans="1:6" x14ac:dyDescent="0.2">
      <c r="A22" s="93"/>
      <c r="B22" s="195"/>
    </row>
    <row r="23" spans="1:6" x14ac:dyDescent="0.2">
      <c r="A23" s="93"/>
      <c r="B23" s="195"/>
    </row>
    <row r="24" spans="1:6" x14ac:dyDescent="0.2">
      <c r="A24" s="93"/>
      <c r="B24" s="195"/>
    </row>
    <row r="25" spans="1:6" x14ac:dyDescent="0.2">
      <c r="B25" s="191"/>
    </row>
    <row r="26" spans="1:6" x14ac:dyDescent="0.2">
      <c r="A26" s="93"/>
      <c r="B26" s="240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2000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4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1-000000000000}">
  <sheetPr codeName="Sheet443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4349</v>
      </c>
    </row>
    <row r="10" spans="1:6" x14ac:dyDescent="0.2">
      <c r="A10" s="91" t="s">
        <v>4350</v>
      </c>
      <c r="D10" s="92" t="s">
        <v>1329</v>
      </c>
      <c r="E10" s="92" t="s">
        <v>4347</v>
      </c>
    </row>
    <row r="11" spans="1:6" x14ac:dyDescent="0.2">
      <c r="A11" s="91" t="s">
        <v>4351</v>
      </c>
      <c r="D11" s="92" t="s">
        <v>1330</v>
      </c>
      <c r="E11" s="92" t="s">
        <v>1220</v>
      </c>
    </row>
    <row r="12" spans="1:6" x14ac:dyDescent="0.2">
      <c r="A12" s="91" t="s">
        <v>4352</v>
      </c>
      <c r="D12" s="92" t="s">
        <v>1377</v>
      </c>
      <c r="E12" s="92" t="s">
        <v>770</v>
      </c>
    </row>
    <row r="13" spans="1:6" x14ac:dyDescent="0.2">
      <c r="A13" s="91" t="s">
        <v>4353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4265</v>
      </c>
      <c r="B18" s="99" t="s">
        <v>4356</v>
      </c>
      <c r="C18" s="91" t="s">
        <v>4354</v>
      </c>
    </row>
    <row r="19" spans="1:6" x14ac:dyDescent="0.2">
      <c r="A19" s="106"/>
      <c r="C19" s="91" t="s">
        <v>4355</v>
      </c>
      <c r="F19" s="91">
        <f>900*2.8239</f>
        <v>2541.5100000000002</v>
      </c>
    </row>
    <row r="20" spans="1:6" x14ac:dyDescent="0.2">
      <c r="A20" s="92"/>
      <c r="B20" s="93"/>
    </row>
    <row r="21" spans="1:6" x14ac:dyDescent="0.2">
      <c r="A21" s="106"/>
      <c r="C21" s="94" t="s">
        <v>3965</v>
      </c>
      <c r="F21" s="91">
        <v>30</v>
      </c>
    </row>
    <row r="22" spans="1:6" x14ac:dyDescent="0.2">
      <c r="A22" s="106"/>
      <c r="C22" s="94"/>
    </row>
    <row r="23" spans="1:6" x14ac:dyDescent="0.2">
      <c r="A23" s="106"/>
    </row>
    <row r="24" spans="1:6" x14ac:dyDescent="0.2">
      <c r="A24" s="106"/>
    </row>
    <row r="25" spans="1:6" x14ac:dyDescent="0.2">
      <c r="A25" s="106"/>
    </row>
    <row r="26" spans="1:6" x14ac:dyDescent="0.2">
      <c r="A26" s="106"/>
    </row>
    <row r="27" spans="1:6" x14ac:dyDescent="0.2">
      <c r="A27" s="106"/>
    </row>
    <row r="28" spans="1:6" x14ac:dyDescent="0.2">
      <c r="A28" s="106"/>
    </row>
    <row r="30" spans="1:6" x14ac:dyDescent="0.2">
      <c r="A30" s="93"/>
      <c r="B30" s="93"/>
      <c r="C30" s="94"/>
    </row>
    <row r="31" spans="1:6" x14ac:dyDescent="0.2">
      <c r="A31" s="1"/>
      <c r="B31" s="1"/>
      <c r="C31" s="94"/>
    </row>
    <row r="32" spans="1:6" x14ac:dyDescent="0.2">
      <c r="A32" s="1"/>
      <c r="B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06"/>
      <c r="F34" s="1"/>
    </row>
    <row r="35" spans="1:6" ht="13.5" thickBot="1" x14ac:dyDescent="0.25">
      <c r="A35" s="106"/>
      <c r="F35" s="107">
        <f>SUM(F19:F33)</f>
        <v>2571.5100000000002</v>
      </c>
    </row>
    <row r="36" spans="1:6" ht="13.5" thickTop="1" x14ac:dyDescent="0.2">
      <c r="A36" s="106"/>
    </row>
    <row r="37" spans="1:6" ht="20.100000000000001" customHeight="1" x14ac:dyDescent="0.2">
      <c r="A37" s="96" t="s">
        <v>1248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Five Hundred Seventy-One and 51/100 -----------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4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1-000000000000}">
  <sheetPr codeName="Sheet345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61" t="s">
        <v>3554</v>
      </c>
    </row>
    <row r="10" spans="1:6" x14ac:dyDescent="0.2">
      <c r="A10" s="91" t="s">
        <v>3556</v>
      </c>
      <c r="D10" s="92" t="s">
        <v>1356</v>
      </c>
      <c r="E10" s="113" t="s">
        <v>3545</v>
      </c>
    </row>
    <row r="11" spans="1:6" x14ac:dyDescent="0.2">
      <c r="A11" s="91" t="s">
        <v>3557</v>
      </c>
      <c r="D11" s="92" t="s">
        <v>1364</v>
      </c>
      <c r="E11" s="113" t="s">
        <v>1220</v>
      </c>
    </row>
    <row r="12" spans="1:6" x14ac:dyDescent="0.2">
      <c r="A12" s="91" t="s">
        <v>2905</v>
      </c>
      <c r="D12" s="92" t="s">
        <v>1224</v>
      </c>
      <c r="E12" s="113" t="s">
        <v>3555</v>
      </c>
    </row>
    <row r="13" spans="1:6" x14ac:dyDescent="0.2">
      <c r="A13" s="91" t="s">
        <v>2090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C18" s="2" t="s">
        <v>3561</v>
      </c>
      <c r="G18" s="193"/>
    </row>
    <row r="20" spans="1:7" x14ac:dyDescent="0.2">
      <c r="A20" s="93"/>
      <c r="B20" s="99"/>
      <c r="C20" s="91" t="s">
        <v>3558</v>
      </c>
      <c r="F20" s="91">
        <v>160</v>
      </c>
    </row>
    <row r="21" spans="1:7" x14ac:dyDescent="0.2">
      <c r="B21" s="94"/>
      <c r="C21" s="91" t="s">
        <v>3559</v>
      </c>
    </row>
    <row r="22" spans="1:7" x14ac:dyDescent="0.2">
      <c r="A22" s="93"/>
      <c r="B22" s="99"/>
    </row>
    <row r="24" spans="1:7" x14ac:dyDescent="0.2">
      <c r="A24" s="93"/>
      <c r="B24" s="93"/>
    </row>
    <row r="26" spans="1:7" x14ac:dyDescent="0.2">
      <c r="A26" s="93"/>
      <c r="B26" s="93"/>
    </row>
    <row r="28" spans="1:7" x14ac:dyDescent="0.2">
      <c r="A28" s="93"/>
      <c r="B28" s="93"/>
      <c r="C28" s="2"/>
    </row>
    <row r="30" spans="1:7" x14ac:dyDescent="0.2">
      <c r="A30" s="93"/>
      <c r="B30" s="99"/>
    </row>
    <row r="32" spans="1:7" ht="13.5" thickBot="1" x14ac:dyDescent="0.25">
      <c r="F32" s="107">
        <f>SUM(F18:F31)</f>
        <v>160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185" t="s">
        <v>3560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1-000000000000}">
  <sheetPr codeName="Sheet378">
    <pageSetUpPr fitToPage="1"/>
  </sheetPr>
  <dimension ref="A1:G54"/>
  <sheetViews>
    <sheetView topLeftCell="A19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3746</v>
      </c>
      <c r="G9" s="61"/>
    </row>
    <row r="10" spans="1:7" x14ac:dyDescent="0.2">
      <c r="A10" s="91" t="s">
        <v>3748</v>
      </c>
      <c r="D10" s="92" t="s">
        <v>1335</v>
      </c>
      <c r="E10" s="92" t="s">
        <v>3739</v>
      </c>
      <c r="G10" s="113"/>
    </row>
    <row r="11" spans="1:7" x14ac:dyDescent="0.2">
      <c r="A11" s="91" t="s">
        <v>3749</v>
      </c>
      <c r="D11" s="92" t="s">
        <v>1333</v>
      </c>
      <c r="E11" s="92" t="s">
        <v>1220</v>
      </c>
      <c r="G11" s="113"/>
    </row>
    <row r="12" spans="1:7" x14ac:dyDescent="0.2">
      <c r="A12" s="91" t="s">
        <v>3750</v>
      </c>
      <c r="D12" s="92" t="s">
        <v>1331</v>
      </c>
      <c r="E12" s="92" t="s">
        <v>3747</v>
      </c>
      <c r="G12" s="113"/>
    </row>
    <row r="13" spans="1:7" x14ac:dyDescent="0.2">
      <c r="A13" s="91" t="s">
        <v>3751</v>
      </c>
    </row>
    <row r="14" spans="1:7" x14ac:dyDescent="0.2">
      <c r="A14" s="91" t="s">
        <v>1284</v>
      </c>
    </row>
    <row r="15" spans="1:7" x14ac:dyDescent="0.2">
      <c r="A15" s="91" t="s">
        <v>3752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3753</v>
      </c>
    </row>
    <row r="19" spans="1:6" x14ac:dyDescent="0.2">
      <c r="A19" s="93"/>
      <c r="B19" s="111"/>
      <c r="C19" s="2"/>
    </row>
    <row r="20" spans="1:6" x14ac:dyDescent="0.2">
      <c r="A20" s="93" t="s">
        <v>3730</v>
      </c>
      <c r="B20" s="111" t="s">
        <v>3754</v>
      </c>
      <c r="C20" s="91" t="s">
        <v>3755</v>
      </c>
      <c r="F20" s="91">
        <v>2500</v>
      </c>
    </row>
    <row r="21" spans="1:6" x14ac:dyDescent="0.2">
      <c r="A21" s="93"/>
      <c r="B21" s="111"/>
      <c r="C21" s="91" t="s">
        <v>3756</v>
      </c>
    </row>
    <row r="23" spans="1:6" x14ac:dyDescent="0.2">
      <c r="A23" s="93"/>
      <c r="B23" s="111"/>
      <c r="C23" s="143"/>
    </row>
    <row r="24" spans="1:6" x14ac:dyDescent="0.2">
      <c r="A24" s="93"/>
      <c r="B24" s="93"/>
    </row>
    <row r="26" spans="1:6" x14ac:dyDescent="0.2">
      <c r="A26" s="93"/>
      <c r="B26" s="99"/>
      <c r="C26" s="2"/>
    </row>
    <row r="27" spans="1:6" x14ac:dyDescent="0.2">
      <c r="A27" s="111"/>
      <c r="B27" s="93"/>
      <c r="C27" s="2"/>
    </row>
    <row r="28" spans="1:6" x14ac:dyDescent="0.2">
      <c r="A28" s="111"/>
      <c r="B28" s="99"/>
    </row>
    <row r="29" spans="1:6" x14ac:dyDescent="0.2">
      <c r="A29" s="111"/>
      <c r="B29" s="93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5" spans="1:6" ht="13.5" thickBot="1" x14ac:dyDescent="0.25">
      <c r="F35" s="95">
        <f>SUM(F18:F33)</f>
        <v>2500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Five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19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4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1-000000000000}">
  <sheetPr codeName="Sheet134">
    <pageSetUpPr fitToPage="1"/>
  </sheetPr>
  <dimension ref="A1:F49"/>
  <sheetViews>
    <sheetView topLeftCell="A25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1595</v>
      </c>
    </row>
    <row r="10" spans="1:6" x14ac:dyDescent="0.2">
      <c r="A10" s="91" t="s">
        <v>1505</v>
      </c>
      <c r="D10" s="92" t="s">
        <v>1329</v>
      </c>
      <c r="E10" s="113" t="s">
        <v>1594</v>
      </c>
    </row>
    <row r="11" spans="1:6" x14ac:dyDescent="0.2">
      <c r="A11" s="91" t="s">
        <v>1506</v>
      </c>
      <c r="D11" s="92" t="s">
        <v>1330</v>
      </c>
      <c r="E11" s="113" t="s">
        <v>1220</v>
      </c>
    </row>
    <row r="12" spans="1:6" x14ac:dyDescent="0.2">
      <c r="A12" s="91" t="s">
        <v>1507</v>
      </c>
      <c r="D12" s="92" t="s">
        <v>1331</v>
      </c>
      <c r="E12" s="113" t="s">
        <v>1596</v>
      </c>
    </row>
    <row r="13" spans="1:6" x14ac:dyDescent="0.2">
      <c r="A13" s="91" t="s">
        <v>1508</v>
      </c>
    </row>
    <row r="14" spans="1:6" x14ac:dyDescent="0.2">
      <c r="A14" s="91" t="s">
        <v>1509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1599</v>
      </c>
    </row>
    <row r="19" spans="1:6" x14ac:dyDescent="0.2">
      <c r="C19" s="2"/>
    </row>
    <row r="20" spans="1:6" x14ac:dyDescent="0.2">
      <c r="A20" s="93" t="s">
        <v>1597</v>
      </c>
      <c r="B20" s="93" t="s">
        <v>1598</v>
      </c>
      <c r="C20" s="91" t="s">
        <v>1600</v>
      </c>
      <c r="F20" s="91">
        <v>751</v>
      </c>
    </row>
    <row r="21" spans="1:6" x14ac:dyDescent="0.2">
      <c r="A21" s="93"/>
      <c r="B21" s="93"/>
    </row>
    <row r="22" spans="1:6" x14ac:dyDescent="0.2">
      <c r="A22" s="106"/>
      <c r="C22" s="91" t="s">
        <v>1601</v>
      </c>
      <c r="F22" s="91">
        <v>850.25</v>
      </c>
    </row>
    <row r="23" spans="1:6" x14ac:dyDescent="0.2">
      <c r="A23" s="106"/>
    </row>
    <row r="24" spans="1:6" x14ac:dyDescent="0.2">
      <c r="C24" s="91" t="s">
        <v>1602</v>
      </c>
      <c r="F24" s="91">
        <v>190.59</v>
      </c>
    </row>
    <row r="26" spans="1:6" x14ac:dyDescent="0.2">
      <c r="A26" s="1"/>
      <c r="B26" s="1"/>
      <c r="C26" s="91" t="s">
        <v>1603</v>
      </c>
      <c r="F26" s="91">
        <v>538.38</v>
      </c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2330.2199999999998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1604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25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1-000000000000}">
  <sheetPr codeName="Sheet314">
    <pageSetUpPr fitToPage="1"/>
  </sheetPr>
  <dimension ref="A1:H58"/>
  <sheetViews>
    <sheetView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1" style="91" customWidth="1"/>
    <col min="4" max="4" width="21" style="91" customWidth="1"/>
    <col min="5" max="5" width="1.4257812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5512</v>
      </c>
    </row>
    <row r="10" spans="1:8" x14ac:dyDescent="0.2">
      <c r="A10" s="91" t="s">
        <v>4172</v>
      </c>
      <c r="F10" s="92" t="s">
        <v>1444</v>
      </c>
      <c r="G10" s="91" t="s">
        <v>5511</v>
      </c>
    </row>
    <row r="11" spans="1:8" x14ac:dyDescent="0.2">
      <c r="A11" s="91" t="s">
        <v>4316</v>
      </c>
      <c r="F11" s="92" t="s">
        <v>1431</v>
      </c>
      <c r="G11" s="91" t="s">
        <v>1220</v>
      </c>
    </row>
    <row r="12" spans="1:8" x14ac:dyDescent="0.2">
      <c r="A12" s="91" t="s">
        <v>1470</v>
      </c>
      <c r="F12" s="92" t="s">
        <v>1268</v>
      </c>
      <c r="G12" s="91" t="s">
        <v>5513</v>
      </c>
    </row>
    <row r="13" spans="1:8" x14ac:dyDescent="0.2">
      <c r="A13" s="91" t="s">
        <v>4317</v>
      </c>
    </row>
    <row r="14" spans="1:8" x14ac:dyDescent="0.2">
      <c r="A14" s="91" t="s">
        <v>4318</v>
      </c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11"/>
      <c r="B18" s="93"/>
      <c r="C18" s="93"/>
      <c r="D18" s="2" t="s">
        <v>4243</v>
      </c>
      <c r="E18" s="2"/>
    </row>
    <row r="20" spans="1:8" x14ac:dyDescent="0.2">
      <c r="A20" s="111" t="s">
        <v>5514</v>
      </c>
      <c r="B20" s="111" t="s">
        <v>5515</v>
      </c>
      <c r="C20" s="111"/>
      <c r="D20" s="91" t="s">
        <v>5516</v>
      </c>
      <c r="H20" s="110">
        <v>1581</v>
      </c>
    </row>
    <row r="21" spans="1:8" x14ac:dyDescent="0.2">
      <c r="A21" s="111"/>
      <c r="B21" s="93"/>
      <c r="C21" s="93"/>
      <c r="D21" s="94" t="s">
        <v>5517</v>
      </c>
    </row>
    <row r="22" spans="1:8" x14ac:dyDescent="0.2">
      <c r="D22" s="91" t="s">
        <v>2147</v>
      </c>
      <c r="H22" s="91">
        <f>H20*6%</f>
        <v>94.86</v>
      </c>
    </row>
    <row r="24" spans="1:8" x14ac:dyDescent="0.2">
      <c r="A24" s="93"/>
      <c r="B24" s="99"/>
    </row>
    <row r="25" spans="1:8" x14ac:dyDescent="0.2">
      <c r="E25" s="2"/>
      <c r="H25" s="110"/>
    </row>
    <row r="26" spans="1:8" x14ac:dyDescent="0.2">
      <c r="H26" s="110"/>
    </row>
    <row r="27" spans="1:8" x14ac:dyDescent="0.2">
      <c r="A27" s="93"/>
      <c r="B27" s="99"/>
      <c r="C27" s="99"/>
      <c r="H27" s="110"/>
    </row>
    <row r="29" spans="1:8" x14ac:dyDescent="0.2">
      <c r="A29" s="111"/>
      <c r="B29" s="93"/>
      <c r="C29" s="93"/>
    </row>
    <row r="31" spans="1:8" x14ac:dyDescent="0.2">
      <c r="A31" s="111"/>
      <c r="B31" s="99"/>
    </row>
    <row r="34" spans="1:8" x14ac:dyDescent="0.2">
      <c r="D34" s="2"/>
    </row>
    <row r="35" spans="1:8" x14ac:dyDescent="0.2">
      <c r="D35" s="2"/>
    </row>
    <row r="36" spans="1:8" x14ac:dyDescent="0.2">
      <c r="A36" s="93"/>
      <c r="B36" s="99"/>
    </row>
    <row r="39" spans="1:8" ht="13.5" thickBot="1" x14ac:dyDescent="0.25">
      <c r="H39" s="95">
        <f>SUM(H20:H33)</f>
        <v>1675.86</v>
      </c>
    </row>
    <row r="40" spans="1:8" ht="13.5" thickTop="1" x14ac:dyDescent="0.2"/>
    <row r="41" spans="1:8" ht="20.100000000000001" customHeight="1" x14ac:dyDescent="0.2">
      <c r="A41" s="96" t="s">
        <v>336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One Thousand Six Hundred Seventy-Five and 86/100 -----------</v>
      </c>
      <c r="C41" s="185"/>
      <c r="D41" s="97"/>
      <c r="E41" s="222"/>
      <c r="F41" s="222"/>
      <c r="G41" s="222"/>
      <c r="H41" s="97"/>
    </row>
    <row r="42" spans="1:8" ht="20.100000000000001" customHeight="1" x14ac:dyDescent="0.2">
      <c r="A42" s="113"/>
      <c r="B42" s="103"/>
      <c r="C42" s="103"/>
      <c r="D42" s="61"/>
      <c r="E42" s="61"/>
      <c r="F42" s="222"/>
      <c r="G42" s="222"/>
      <c r="H42" s="61"/>
    </row>
    <row r="43" spans="1:8" ht="25.5" x14ac:dyDescent="0.2">
      <c r="A43" s="94" t="s">
        <v>3973</v>
      </c>
      <c r="F43" s="218" t="s">
        <v>3975</v>
      </c>
      <c r="G43" s="219"/>
      <c r="H43" s="220"/>
    </row>
    <row r="44" spans="1:8" x14ac:dyDescent="0.2">
      <c r="F44" s="228"/>
      <c r="G44" s="229"/>
      <c r="H44" s="229"/>
    </row>
    <row r="45" spans="1:8" x14ac:dyDescent="0.2">
      <c r="D45" s="99"/>
      <c r="E45" s="99"/>
    </row>
    <row r="46" spans="1:8" x14ac:dyDescent="0.2">
      <c r="A46" s="91" t="s">
        <v>121</v>
      </c>
      <c r="D46" s="99"/>
      <c r="E46" s="99"/>
    </row>
    <row r="47" spans="1:8" x14ac:dyDescent="0.2">
      <c r="A47" s="101"/>
      <c r="B47" s="101"/>
    </row>
    <row r="49" spans="1:8" x14ac:dyDescent="0.2">
      <c r="A49" s="98" t="s">
        <v>8</v>
      </c>
      <c r="D49" s="98"/>
      <c r="F49" s="98" t="s">
        <v>7</v>
      </c>
      <c r="H49" s="102"/>
    </row>
    <row r="53" spans="1:8" x14ac:dyDescent="0.2">
      <c r="A53" s="101"/>
      <c r="B53" s="101"/>
      <c r="F53" s="101"/>
      <c r="G53" s="101"/>
      <c r="H53" s="101"/>
    </row>
    <row r="54" spans="1:8" s="61" customFormat="1" ht="17.100000000000001" customHeight="1" x14ac:dyDescent="0.2">
      <c r="A54" s="103" t="s">
        <v>4066</v>
      </c>
      <c r="B54" s="104"/>
      <c r="C54" s="104"/>
      <c r="D54" s="103"/>
      <c r="F54" s="61" t="s">
        <v>3</v>
      </c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customSheetViews>
    <customSheetView guid="{6428A7A0-B31B-40C1-A13E-AD0DCC619E51}" fitToPage="1" topLeftCell="A4">
      <selection activeCell="D24" sqref="D24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2" orientation="portrait" r:id="rId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844E-2315-47D6-BAD6-77858CEB2A1E}">
  <sheetPr codeName="Sheet650"/>
  <dimension ref="A1:I60"/>
  <sheetViews>
    <sheetView zoomScaleNormal="100" zoomScaleSheetLayoutView="100" workbookViewId="0">
      <selection activeCell="F34" sqref="F34"/>
    </sheetView>
  </sheetViews>
  <sheetFormatPr defaultRowHeight="16.5" x14ac:dyDescent="0.3"/>
  <cols>
    <col min="1" max="1" width="15.5703125" style="310" customWidth="1"/>
    <col min="2" max="2" width="12.5703125" style="310" customWidth="1"/>
    <col min="3" max="3" width="1.42578125" style="310" customWidth="1"/>
    <col min="4" max="4" width="19.85546875" style="310" customWidth="1"/>
    <col min="5" max="5" width="0.85546875" style="310" customWidth="1"/>
    <col min="6" max="6" width="16.42578125" style="310" customWidth="1"/>
    <col min="7" max="7" width="11.42578125" style="310" customWidth="1"/>
    <col min="8" max="8" width="13.28515625" style="310" customWidth="1"/>
    <col min="9" max="9" width="16.140625" style="292" customWidth="1"/>
    <col min="10" max="11" width="9.140625" style="292"/>
    <col min="12" max="12" width="9.7109375" style="292" bestFit="1" customWidth="1"/>
    <col min="13" max="16384" width="9.140625" style="292"/>
  </cols>
  <sheetData>
    <row r="1" spans="1:9" ht="15" customHeight="1" x14ac:dyDescent="0.3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9" ht="12.75" customHeight="1" x14ac:dyDescent="0.3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9" ht="12.75" customHeight="1" x14ac:dyDescent="0.3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9" ht="12.75" customHeight="1" x14ac:dyDescent="0.3">
      <c r="A4" s="524" t="s">
        <v>1828</v>
      </c>
      <c r="B4" s="524"/>
      <c r="C4" s="524"/>
      <c r="D4" s="524"/>
      <c r="E4" s="524"/>
      <c r="F4" s="524"/>
      <c r="G4" s="524"/>
      <c r="H4" s="524"/>
    </row>
    <row r="5" spans="1:9" ht="12.75" customHeight="1" x14ac:dyDescent="0.3">
      <c r="A5" s="153"/>
      <c r="B5" s="153"/>
      <c r="C5" s="153"/>
      <c r="D5" s="153"/>
      <c r="E5" s="153"/>
      <c r="F5" s="153"/>
      <c r="G5" s="153"/>
      <c r="H5" s="153"/>
    </row>
    <row r="6" spans="1:9" ht="12.75" customHeight="1" x14ac:dyDescent="0.3">
      <c r="A6" s="153"/>
      <c r="B6" s="153"/>
      <c r="C6" s="153"/>
      <c r="D6" s="153"/>
      <c r="E6" s="153"/>
      <c r="F6" s="153"/>
      <c r="G6" s="153"/>
      <c r="H6" s="153"/>
    </row>
    <row r="7" spans="1:9" ht="12.75" customHeight="1" x14ac:dyDescent="0.3">
      <c r="A7" s="153"/>
      <c r="B7" s="153"/>
      <c r="C7" s="153"/>
      <c r="D7" s="153"/>
      <c r="E7" s="153"/>
      <c r="F7" s="153"/>
      <c r="G7" s="153"/>
      <c r="H7" s="153"/>
    </row>
    <row r="8" spans="1:9" s="294" customFormat="1" ht="12.75" customHeight="1" x14ac:dyDescent="0.2">
      <c r="A8" s="156" t="s">
        <v>32</v>
      </c>
      <c r="B8" s="156"/>
      <c r="C8" s="156"/>
      <c r="D8" s="156"/>
      <c r="E8" s="156"/>
      <c r="F8" s="293" t="s">
        <v>31</v>
      </c>
      <c r="G8" s="156"/>
      <c r="H8" s="156"/>
    </row>
    <row r="9" spans="1:9" s="294" customFormat="1" ht="12.75" customHeight="1" x14ac:dyDescent="0.2">
      <c r="A9" s="156"/>
      <c r="B9" s="156"/>
      <c r="C9" s="156"/>
      <c r="D9" s="156"/>
      <c r="E9" s="156"/>
      <c r="F9" s="197" t="s">
        <v>1353</v>
      </c>
      <c r="G9" s="91" t="s">
        <v>7356</v>
      </c>
      <c r="H9" s="153"/>
    </row>
    <row r="10" spans="1:9" s="294" customFormat="1" ht="12.75" customHeight="1" x14ac:dyDescent="0.2">
      <c r="A10" s="156" t="s">
        <v>6503</v>
      </c>
      <c r="B10" s="156"/>
      <c r="C10" s="156"/>
      <c r="D10" s="156"/>
      <c r="E10" s="156"/>
      <c r="F10" s="197" t="s">
        <v>1335</v>
      </c>
      <c r="G10" s="92" t="s">
        <v>7358</v>
      </c>
      <c r="H10" s="153"/>
    </row>
    <row r="11" spans="1:9" s="294" customFormat="1" ht="12.75" customHeight="1" x14ac:dyDescent="0.2">
      <c r="A11" s="156" t="s">
        <v>6504</v>
      </c>
      <c r="B11" s="156"/>
      <c r="C11" s="156"/>
      <c r="D11" s="156"/>
      <c r="E11" s="156"/>
      <c r="F11" s="197" t="s">
        <v>1354</v>
      </c>
      <c r="G11" s="92" t="s">
        <v>1220</v>
      </c>
      <c r="H11" s="153"/>
    </row>
    <row r="12" spans="1:9" s="294" customFormat="1" ht="12.75" customHeight="1" x14ac:dyDescent="0.2">
      <c r="A12" s="156" t="s">
        <v>6505</v>
      </c>
      <c r="B12" s="156"/>
      <c r="C12" s="156"/>
      <c r="D12" s="156"/>
      <c r="E12" s="156"/>
      <c r="F12" s="197" t="s">
        <v>1355</v>
      </c>
      <c r="G12" s="92" t="s">
        <v>7357</v>
      </c>
      <c r="H12" s="153"/>
    </row>
    <row r="13" spans="1:9" s="294" customFormat="1" ht="12.75" customHeight="1" x14ac:dyDescent="0.2">
      <c r="A13" s="156" t="s">
        <v>6506</v>
      </c>
      <c r="B13" s="156"/>
      <c r="C13" s="156"/>
      <c r="D13" s="156"/>
      <c r="E13" s="156"/>
      <c r="F13" s="156"/>
      <c r="G13" s="91"/>
      <c r="H13" s="156"/>
    </row>
    <row r="14" spans="1:9" s="294" customFormat="1" ht="12.75" customHeight="1" x14ac:dyDescent="0.2">
      <c r="A14" s="156" t="s">
        <v>1015</v>
      </c>
      <c r="B14" s="156"/>
      <c r="C14" s="156"/>
      <c r="D14" s="156"/>
      <c r="E14" s="156"/>
      <c r="F14" s="156"/>
      <c r="G14" s="156"/>
      <c r="H14" s="156"/>
    </row>
    <row r="15" spans="1:9" s="295" customFormat="1" ht="12.75" customHeight="1" x14ac:dyDescent="0.2">
      <c r="A15" s="156"/>
      <c r="B15" s="156"/>
      <c r="C15" s="156"/>
      <c r="D15" s="156"/>
      <c r="E15" s="156"/>
      <c r="F15" s="156"/>
      <c r="G15" s="156"/>
      <c r="H15" s="156"/>
    </row>
    <row r="16" spans="1:9" s="295" customFormat="1" x14ac:dyDescent="0.2">
      <c r="A16" s="158" t="s">
        <v>129</v>
      </c>
      <c r="B16" s="158" t="s">
        <v>128</v>
      </c>
      <c r="C16" s="158"/>
      <c r="D16" s="159" t="s">
        <v>19</v>
      </c>
      <c r="E16" s="159"/>
      <c r="F16" s="157"/>
      <c r="G16" s="158"/>
      <c r="H16" s="161" t="s">
        <v>18</v>
      </c>
      <c r="I16" s="296"/>
    </row>
    <row r="17" spans="1:9" s="295" customFormat="1" ht="12.75" customHeight="1" x14ac:dyDescent="0.2">
      <c r="A17" s="297"/>
      <c r="B17" s="298"/>
      <c r="C17" s="298"/>
      <c r="D17" s="299"/>
      <c r="E17" s="299"/>
      <c r="F17" s="298"/>
      <c r="G17" s="300"/>
      <c r="H17" s="301"/>
      <c r="I17" s="296"/>
    </row>
    <row r="18" spans="1:9" s="295" customFormat="1" ht="12.75" customHeight="1" x14ac:dyDescent="0.2">
      <c r="A18" s="302"/>
      <c r="B18" s="305"/>
      <c r="C18" s="305"/>
      <c r="D18" s="163" t="s">
        <v>4243</v>
      </c>
      <c r="E18" s="225"/>
      <c r="F18" s="225"/>
      <c r="G18" s="225"/>
      <c r="H18" s="367"/>
      <c r="I18" s="368"/>
    </row>
    <row r="19" spans="1:9" s="295" customFormat="1" ht="12.75" customHeight="1" x14ac:dyDescent="0.2">
      <c r="A19" s="302"/>
      <c r="B19" s="305"/>
      <c r="C19" s="305"/>
      <c r="D19" s="225"/>
      <c r="E19" s="225"/>
      <c r="F19" s="225"/>
      <c r="G19" s="225"/>
      <c r="H19" s="367"/>
      <c r="I19" s="368"/>
    </row>
    <row r="20" spans="1:9" s="295" customFormat="1" ht="12.75" customHeight="1" x14ac:dyDescent="0.2">
      <c r="A20" s="302" t="s">
        <v>7359</v>
      </c>
      <c r="B20" s="305" t="s">
        <v>6507</v>
      </c>
      <c r="C20" s="305"/>
      <c r="D20" s="225" t="s">
        <v>7360</v>
      </c>
      <c r="E20" s="225"/>
      <c r="F20" s="225"/>
      <c r="G20" s="225"/>
      <c r="H20" s="367">
        <v>2000</v>
      </c>
      <c r="I20" s="368"/>
    </row>
    <row r="21" spans="1:9" s="295" customFormat="1" ht="12.75" customHeight="1" x14ac:dyDescent="0.2">
      <c r="C21" s="305"/>
      <c r="D21" s="225" t="s">
        <v>7361</v>
      </c>
      <c r="E21" s="225"/>
      <c r="F21" s="225"/>
      <c r="G21" s="225"/>
      <c r="H21" s="367"/>
      <c r="I21" s="368"/>
    </row>
    <row r="22" spans="1:9" s="295" customFormat="1" ht="12.75" customHeight="1" x14ac:dyDescent="0.2">
      <c r="A22" s="302"/>
      <c r="B22" s="305"/>
      <c r="C22" s="305"/>
      <c r="D22" s="225"/>
      <c r="E22" s="225"/>
      <c r="F22" s="225"/>
      <c r="G22" s="225"/>
      <c r="H22" s="367"/>
      <c r="I22" s="368"/>
    </row>
    <row r="23" spans="1:9" s="310" customFormat="1" ht="12.75" customHeight="1" x14ac:dyDescent="0.2">
      <c r="A23" s="302"/>
      <c r="B23" s="305"/>
      <c r="C23" s="305"/>
      <c r="D23" s="163"/>
      <c r="E23" s="225"/>
      <c r="F23" s="225"/>
      <c r="G23" s="225"/>
      <c r="H23" s="367"/>
    </row>
    <row r="24" spans="1:9" s="310" customFormat="1" ht="12.75" customHeight="1" x14ac:dyDescent="0.2">
      <c r="A24" s="302"/>
      <c r="B24" s="305"/>
      <c r="C24" s="305"/>
      <c r="D24" s="225"/>
      <c r="E24" s="225"/>
      <c r="F24" s="225"/>
      <c r="G24" s="225"/>
      <c r="H24" s="367"/>
    </row>
    <row r="25" spans="1:9" s="310" customFormat="1" ht="12.75" customHeight="1" x14ac:dyDescent="0.2">
      <c r="A25" s="302"/>
      <c r="B25" s="305"/>
      <c r="C25" s="305"/>
      <c r="D25" s="225"/>
      <c r="E25" s="225"/>
      <c r="F25" s="225"/>
      <c r="G25" s="225"/>
      <c r="H25" s="367"/>
    </row>
    <row r="26" spans="1:9" s="310" customFormat="1" ht="12.75" customHeight="1" x14ac:dyDescent="0.2">
      <c r="A26" s="302"/>
      <c r="B26" s="305"/>
      <c r="C26" s="305"/>
      <c r="D26" s="225"/>
      <c r="E26" s="225"/>
      <c r="F26" s="225"/>
      <c r="G26" s="225"/>
      <c r="H26" s="367"/>
    </row>
    <row r="27" spans="1:9" s="310" customFormat="1" ht="12.75" customHeight="1" x14ac:dyDescent="0.2">
      <c r="B27" s="305"/>
      <c r="C27" s="305"/>
      <c r="D27" s="369"/>
      <c r="E27" s="225"/>
      <c r="F27" s="225"/>
      <c r="G27" s="225"/>
      <c r="H27" s="367"/>
    </row>
    <row r="28" spans="1:9" s="310" customFormat="1" ht="12.75" customHeight="1" x14ac:dyDescent="0.2">
      <c r="B28" s="305"/>
      <c r="C28" s="305"/>
      <c r="D28" s="369"/>
      <c r="E28" s="225"/>
      <c r="F28" s="225"/>
      <c r="G28" s="225"/>
      <c r="H28" s="367"/>
    </row>
    <row r="29" spans="1:9" s="310" customFormat="1" ht="12.75" customHeight="1" x14ac:dyDescent="0.2">
      <c r="A29" s="168"/>
      <c r="B29" s="305"/>
      <c r="C29" s="305"/>
      <c r="D29" s="225"/>
      <c r="E29" s="225"/>
      <c r="F29" s="225"/>
      <c r="G29" s="225"/>
      <c r="H29" s="367"/>
    </row>
    <row r="30" spans="1:9" s="310" customFormat="1" ht="12.75" customHeight="1" x14ac:dyDescent="0.2">
      <c r="A30" s="302"/>
      <c r="B30" s="305"/>
      <c r="C30" s="305"/>
      <c r="D30" s="225"/>
      <c r="E30" s="225"/>
      <c r="F30" s="225"/>
      <c r="G30" s="225"/>
      <c r="H30" s="367"/>
    </row>
    <row r="31" spans="1:9" s="310" customFormat="1" ht="12.75" customHeight="1" x14ac:dyDescent="0.2">
      <c r="A31" s="302"/>
      <c r="B31" s="305"/>
      <c r="C31" s="305"/>
      <c r="D31" s="225"/>
      <c r="E31" s="225"/>
      <c r="F31" s="225"/>
      <c r="G31" s="225"/>
      <c r="H31" s="367"/>
    </row>
    <row r="32" spans="1:9" s="310" customFormat="1" ht="12.75" customHeight="1" x14ac:dyDescent="0.2">
      <c r="A32" s="302"/>
      <c r="B32" s="305"/>
      <c r="C32" s="305"/>
      <c r="D32" s="225"/>
      <c r="E32" s="225"/>
      <c r="F32" s="225"/>
      <c r="G32" s="225"/>
      <c r="H32" s="367"/>
    </row>
    <row r="33" spans="1:9" s="310" customFormat="1" ht="12.75" customHeight="1" x14ac:dyDescent="0.2">
      <c r="A33" s="302"/>
      <c r="B33" s="305"/>
      <c r="C33" s="305"/>
      <c r="D33" s="225"/>
      <c r="E33" s="225"/>
      <c r="F33" s="225"/>
      <c r="G33" s="225"/>
      <c r="H33" s="367"/>
    </row>
    <row r="34" spans="1:9" s="310" customFormat="1" ht="12.75" customHeight="1" x14ac:dyDescent="0.2">
      <c r="B34" s="305"/>
      <c r="C34" s="305"/>
      <c r="D34" s="225"/>
      <c r="E34" s="225"/>
      <c r="F34" s="225"/>
      <c r="G34" s="225"/>
      <c r="H34" s="367"/>
    </row>
    <row r="35" spans="1:9" s="294" customFormat="1" ht="12.75" customHeight="1" x14ac:dyDescent="0.2">
      <c r="A35" s="302"/>
      <c r="B35" s="305"/>
      <c r="C35" s="305"/>
      <c r="D35" s="225"/>
      <c r="E35" s="225"/>
      <c r="F35" s="225"/>
      <c r="G35" s="225"/>
      <c r="H35" s="225"/>
      <c r="I35" s="303"/>
    </row>
    <row r="36" spans="1:9" s="294" customFormat="1" ht="15.75" customHeight="1" thickBot="1" x14ac:dyDescent="0.25">
      <c r="A36" s="312"/>
      <c r="B36" s="306"/>
      <c r="C36" s="306"/>
      <c r="D36" s="306"/>
      <c r="E36" s="306"/>
      <c r="F36" s="306"/>
      <c r="G36" s="306"/>
      <c r="H36" s="313">
        <f>SUM(H18:H35)</f>
        <v>2000</v>
      </c>
      <c r="I36" s="303"/>
    </row>
    <row r="37" spans="1:9" s="294" customFormat="1" ht="12.75" customHeight="1" thickTop="1" x14ac:dyDescent="0.2">
      <c r="A37" s="312"/>
      <c r="B37" s="306"/>
      <c r="C37" s="306"/>
      <c r="D37" s="306"/>
      <c r="E37" s="306"/>
      <c r="F37" s="306"/>
      <c r="G37" s="306"/>
      <c r="H37" s="306"/>
      <c r="I37" s="303"/>
    </row>
    <row r="38" spans="1:9" ht="20.100000000000001" customHeight="1" x14ac:dyDescent="0.3">
      <c r="A38" s="171" t="s">
        <v>122</v>
      </c>
      <c r="B38" s="213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Thousand and NO/100 -----------</v>
      </c>
      <c r="C38" s="213"/>
      <c r="D38" s="314"/>
      <c r="E38" s="314"/>
      <c r="F38" s="314"/>
      <c r="G38" s="314"/>
      <c r="H38" s="314"/>
    </row>
    <row r="39" spans="1:9" ht="12.75" customHeight="1" x14ac:dyDescent="0.3">
      <c r="A39" s="315"/>
    </row>
    <row r="40" spans="1:9" ht="27" customHeight="1" x14ac:dyDescent="0.3">
      <c r="A40" s="153" t="s">
        <v>10</v>
      </c>
      <c r="B40" s="153"/>
      <c r="C40" s="153"/>
      <c r="D40" s="153"/>
      <c r="E40" s="153"/>
      <c r="F40" s="242" t="s">
        <v>3975</v>
      </c>
      <c r="G40" s="243"/>
      <c r="H40" s="244"/>
    </row>
    <row r="41" spans="1:9" ht="12.75" customHeight="1" x14ac:dyDescent="0.3">
      <c r="A41" s="153"/>
      <c r="B41" s="153"/>
      <c r="C41" s="153"/>
      <c r="D41" s="153"/>
      <c r="E41" s="153"/>
      <c r="F41" s="153"/>
      <c r="G41" s="153"/>
      <c r="H41" s="153"/>
    </row>
    <row r="42" spans="1:9" ht="12.75" customHeight="1" x14ac:dyDescent="0.3">
      <c r="A42" s="153"/>
      <c r="B42" s="153"/>
      <c r="C42" s="153"/>
      <c r="D42" s="153"/>
      <c r="E42" s="153"/>
      <c r="F42" s="153"/>
      <c r="G42" s="153"/>
      <c r="H42" s="153"/>
    </row>
    <row r="43" spans="1:9" x14ac:dyDescent="0.3">
      <c r="A43" s="316"/>
      <c r="B43" s="153"/>
      <c r="C43" s="153"/>
      <c r="D43" s="153"/>
      <c r="E43" s="153"/>
      <c r="F43" s="258"/>
      <c r="G43" s="258"/>
      <c r="H43" s="258"/>
    </row>
    <row r="44" spans="1:9" x14ac:dyDescent="0.3">
      <c r="A44" s="317"/>
      <c r="B44" s="174"/>
      <c r="C44" s="153"/>
      <c r="D44" s="153"/>
      <c r="E44" s="153"/>
      <c r="F44" s="259"/>
      <c r="G44" s="260"/>
      <c r="H44" s="260"/>
    </row>
    <row r="45" spans="1:9" ht="12.75" customHeight="1" x14ac:dyDescent="0.3">
      <c r="A45" s="316"/>
      <c r="B45" s="316"/>
      <c r="C45" s="316"/>
      <c r="D45" s="153"/>
      <c r="E45" s="153"/>
      <c r="F45" s="153"/>
      <c r="G45" s="153"/>
      <c r="H45" s="176"/>
    </row>
    <row r="46" spans="1:9" ht="12.75" customHeight="1" x14ac:dyDescent="0.3">
      <c r="A46" s="175" t="s">
        <v>8</v>
      </c>
      <c r="B46" s="153"/>
      <c r="C46" s="153"/>
      <c r="D46" s="175"/>
      <c r="E46" s="153"/>
      <c r="F46" s="153"/>
      <c r="G46" s="153"/>
      <c r="H46" s="153"/>
    </row>
    <row r="47" spans="1:9" ht="12.75" customHeight="1" x14ac:dyDescent="0.3">
      <c r="A47" s="316"/>
      <c r="B47" s="153"/>
      <c r="C47" s="153"/>
      <c r="D47" s="316"/>
      <c r="E47" s="153"/>
      <c r="F47" s="175" t="s">
        <v>7</v>
      </c>
      <c r="G47" s="153"/>
      <c r="H47" s="153"/>
    </row>
    <row r="48" spans="1:9" ht="12.75" customHeight="1" x14ac:dyDescent="0.3">
      <c r="A48" s="175"/>
      <c r="B48" s="153"/>
      <c r="C48" s="153"/>
      <c r="D48" s="175"/>
      <c r="E48" s="153"/>
      <c r="F48" s="153"/>
      <c r="G48" s="153"/>
      <c r="H48" s="153"/>
    </row>
    <row r="49" spans="1:8" ht="12.75" customHeight="1" x14ac:dyDescent="0.3">
      <c r="A49" s="175"/>
      <c r="B49" s="153"/>
      <c r="C49" s="153"/>
      <c r="D49" s="175"/>
      <c r="E49" s="153"/>
      <c r="F49" s="153"/>
      <c r="G49" s="153"/>
      <c r="H49" s="153"/>
    </row>
    <row r="50" spans="1:8" s="294" customFormat="1" ht="12.75" customHeight="1" x14ac:dyDescent="0.2">
      <c r="A50" s="175"/>
      <c r="B50" s="153"/>
      <c r="C50" s="153"/>
      <c r="D50" s="175"/>
      <c r="E50" s="153"/>
      <c r="F50" s="153"/>
      <c r="G50" s="156"/>
      <c r="H50" s="156"/>
    </row>
    <row r="51" spans="1:8" ht="12.75" customHeight="1" x14ac:dyDescent="0.3">
      <c r="A51" s="317"/>
      <c r="B51" s="174"/>
      <c r="C51" s="153"/>
      <c r="D51" s="175"/>
      <c r="E51" s="153"/>
      <c r="F51" s="174"/>
      <c r="G51" s="174"/>
      <c r="H51" s="174"/>
    </row>
    <row r="52" spans="1:8" ht="15" customHeight="1" x14ac:dyDescent="0.3">
      <c r="A52" s="175" t="s">
        <v>4066</v>
      </c>
      <c r="B52" s="177"/>
      <c r="C52" s="177"/>
      <c r="D52" s="175"/>
      <c r="E52" s="156"/>
      <c r="F52" s="156" t="s">
        <v>3</v>
      </c>
      <c r="G52" s="153"/>
      <c r="H52" s="153"/>
    </row>
    <row r="53" spans="1:8" ht="12.75" customHeight="1" x14ac:dyDescent="0.3">
      <c r="A53" s="175"/>
      <c r="B53" s="153"/>
      <c r="C53" s="153"/>
      <c r="D53" s="153"/>
      <c r="E53" s="153"/>
      <c r="F53" s="153" t="s">
        <v>2</v>
      </c>
      <c r="G53" s="153"/>
      <c r="H53" s="153"/>
    </row>
    <row r="54" spans="1:8" ht="12.75" customHeight="1" x14ac:dyDescent="0.3">
      <c r="A54" s="153"/>
      <c r="B54" s="153"/>
      <c r="C54" s="153"/>
      <c r="D54" s="153"/>
      <c r="E54" s="153"/>
      <c r="F54" s="153"/>
      <c r="G54" s="153"/>
      <c r="H54" s="153"/>
    </row>
    <row r="55" spans="1:8" ht="12.75" customHeight="1" x14ac:dyDescent="0.3">
      <c r="A55" s="153"/>
      <c r="B55" s="153"/>
      <c r="C55" s="153"/>
      <c r="D55" s="153"/>
      <c r="E55" s="153"/>
      <c r="F55" s="163" t="s">
        <v>1</v>
      </c>
      <c r="G55" s="153"/>
      <c r="H55" s="153"/>
    </row>
    <row r="56" spans="1:8" ht="12.75" customHeight="1" x14ac:dyDescent="0.3">
      <c r="A56" s="153"/>
      <c r="B56" s="153"/>
      <c r="C56" s="153"/>
      <c r="D56" s="153"/>
      <c r="E56" s="153"/>
      <c r="F56" s="163" t="s">
        <v>0</v>
      </c>
      <c r="G56" s="153"/>
      <c r="H56" s="153"/>
    </row>
    <row r="57" spans="1:8" ht="12.75" customHeight="1" x14ac:dyDescent="0.3">
      <c r="A57" s="153"/>
      <c r="B57" s="153"/>
      <c r="C57" s="153"/>
      <c r="D57" s="153"/>
      <c r="E57" s="153"/>
      <c r="F57" s="153"/>
      <c r="G57" s="153"/>
      <c r="H57" s="153"/>
    </row>
    <row r="58" spans="1:8" ht="12.75" customHeight="1" x14ac:dyDescent="0.3">
      <c r="A58" s="153"/>
      <c r="B58" s="153"/>
      <c r="C58" s="153"/>
      <c r="D58" s="153"/>
      <c r="E58" s="153"/>
      <c r="F58" s="153"/>
      <c r="G58" s="153"/>
      <c r="H58" s="153"/>
    </row>
    <row r="59" spans="1:8" x14ac:dyDescent="0.3">
      <c r="A59" s="153"/>
      <c r="B59" s="153"/>
      <c r="C59" s="153"/>
      <c r="D59" s="153"/>
      <c r="E59" s="153"/>
      <c r="F59" s="153"/>
      <c r="G59" s="153"/>
      <c r="H59" s="153"/>
    </row>
    <row r="60" spans="1:8" x14ac:dyDescent="0.3">
      <c r="A60" s="153"/>
      <c r="B60" s="153"/>
      <c r="C60" s="153"/>
      <c r="D60" s="153"/>
      <c r="E60" s="153"/>
      <c r="F60" s="153"/>
      <c r="G60" s="153"/>
      <c r="H60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>
    <oddFooter>Page &amp;P of &amp;N</oddFooter>
  </headerFooter>
</worksheet>
</file>

<file path=xl/worksheets/sheet4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1-000000000000}">
  <sheetPr codeName="Sheet44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4202</v>
      </c>
    </row>
    <row r="10" spans="1:6" x14ac:dyDescent="0.2">
      <c r="A10" s="91" t="s">
        <v>4233</v>
      </c>
      <c r="D10" s="92" t="s">
        <v>1444</v>
      </c>
      <c r="E10" s="91" t="s">
        <v>4201</v>
      </c>
    </row>
    <row r="11" spans="1:6" x14ac:dyDescent="0.2">
      <c r="A11" s="91" t="s">
        <v>3085</v>
      </c>
      <c r="D11" s="92" t="s">
        <v>1431</v>
      </c>
      <c r="E11" s="91" t="s">
        <v>1220</v>
      </c>
    </row>
    <row r="12" spans="1:6" x14ac:dyDescent="0.2">
      <c r="A12" s="91" t="s">
        <v>2728</v>
      </c>
      <c r="D12" s="92" t="s">
        <v>1268</v>
      </c>
      <c r="E12" s="94" t="s">
        <v>4199</v>
      </c>
    </row>
    <row r="13" spans="1:6" x14ac:dyDescent="0.2">
      <c r="A13" s="91" t="s">
        <v>2201</v>
      </c>
    </row>
    <row r="14" spans="1:6" x14ac:dyDescent="0.2">
      <c r="A14" s="91" t="s">
        <v>3086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4203</v>
      </c>
    </row>
    <row r="20" spans="1:6" x14ac:dyDescent="0.2">
      <c r="A20" s="111" t="s">
        <v>4200</v>
      </c>
      <c r="B20" s="93" t="s">
        <v>4204</v>
      </c>
      <c r="C20" s="91" t="s">
        <v>4205</v>
      </c>
      <c r="F20" s="110">
        <v>2420</v>
      </c>
    </row>
    <row r="21" spans="1:6" x14ac:dyDescent="0.2">
      <c r="A21" s="111"/>
      <c r="B21" s="93"/>
    </row>
    <row r="24" spans="1:6" x14ac:dyDescent="0.2">
      <c r="F24" s="110"/>
    </row>
    <row r="25" spans="1:6" x14ac:dyDescent="0.2">
      <c r="C25" s="2"/>
      <c r="F25" s="110"/>
    </row>
    <row r="26" spans="1:6" x14ac:dyDescent="0.2">
      <c r="F26" s="110"/>
    </row>
    <row r="27" spans="1:6" x14ac:dyDescent="0.2">
      <c r="C27" s="2"/>
      <c r="F27" s="110"/>
    </row>
    <row r="29" spans="1:6" x14ac:dyDescent="0.2">
      <c r="A29" s="111"/>
      <c r="B29" s="93"/>
    </row>
    <row r="31" spans="1:6" x14ac:dyDescent="0.2">
      <c r="A31" s="108"/>
    </row>
    <row r="35" spans="1:6" ht="13.5" thickBot="1" x14ac:dyDescent="0.25">
      <c r="F35" s="95">
        <f>SUM(F20:F33)</f>
        <v>2420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Four Hundred Twenty and NO/100 -----------</v>
      </c>
      <c r="C37" s="97"/>
      <c r="D37" s="222"/>
      <c r="E37" s="222"/>
      <c r="F37" s="97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4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1-000000000000}">
  <sheetPr codeName="Sheet135">
    <pageSetUpPr fitToPage="1"/>
  </sheetPr>
  <dimension ref="A1:F49"/>
  <sheetViews>
    <sheetView topLeftCell="A1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2660</v>
      </c>
    </row>
    <row r="10" spans="1:6" x14ac:dyDescent="0.2">
      <c r="A10" s="91" t="s">
        <v>1438</v>
      </c>
      <c r="D10" s="92" t="s">
        <v>1329</v>
      </c>
      <c r="E10" s="98" t="s">
        <v>2652</v>
      </c>
    </row>
    <row r="11" spans="1:6" x14ac:dyDescent="0.2">
      <c r="A11" s="91" t="s">
        <v>1439</v>
      </c>
      <c r="D11" s="92" t="s">
        <v>1330</v>
      </c>
      <c r="E11" s="92" t="s">
        <v>1220</v>
      </c>
    </row>
    <row r="12" spans="1:6" x14ac:dyDescent="0.2">
      <c r="A12" s="91" t="s">
        <v>1440</v>
      </c>
      <c r="D12" s="92" t="s">
        <v>1331</v>
      </c>
      <c r="E12" s="92" t="s">
        <v>2661</v>
      </c>
    </row>
    <row r="13" spans="1:6" x14ac:dyDescent="0.2">
      <c r="A13" s="91" t="s">
        <v>1441</v>
      </c>
    </row>
    <row r="14" spans="1:6" x14ac:dyDescent="0.2">
      <c r="A14" s="91" t="s">
        <v>1442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/>
    </row>
    <row r="19" spans="1:6" x14ac:dyDescent="0.2">
      <c r="A19" s="93" t="s">
        <v>2662</v>
      </c>
      <c r="B19" s="93" t="s">
        <v>2663</v>
      </c>
      <c r="C19" s="91" t="s">
        <v>1443</v>
      </c>
    </row>
    <row r="20" spans="1:6" x14ac:dyDescent="0.2">
      <c r="A20" s="137"/>
      <c r="B20" s="93"/>
      <c r="C20" s="91" t="s">
        <v>2664</v>
      </c>
      <c r="F20" s="91">
        <f>59148/2</f>
        <v>29574</v>
      </c>
    </row>
    <row r="21" spans="1:6" x14ac:dyDescent="0.2">
      <c r="A21" s="106"/>
      <c r="C21" s="91" t="s">
        <v>2665</v>
      </c>
    </row>
    <row r="22" spans="1:6" x14ac:dyDescent="0.2">
      <c r="A22" s="106"/>
    </row>
    <row r="23" spans="1:6" x14ac:dyDescent="0.2">
      <c r="A23" s="106"/>
      <c r="C23" s="91" t="s">
        <v>2666</v>
      </c>
      <c r="F23" s="91">
        <v>-25243.4</v>
      </c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4330.5999999999985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2667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4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1-000000000000}">
  <sheetPr codeName="Sheet136">
    <pageSetUpPr fitToPage="1"/>
  </sheetPr>
  <dimension ref="A1:F49"/>
  <sheetViews>
    <sheetView topLeftCell="A1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1407</v>
      </c>
    </row>
    <row r="10" spans="1:6" x14ac:dyDescent="0.2">
      <c r="A10" s="91" t="s">
        <v>1419</v>
      </c>
      <c r="D10" s="92" t="s">
        <v>1329</v>
      </c>
      <c r="E10" s="105" t="s">
        <v>1405</v>
      </c>
    </row>
    <row r="11" spans="1:6" x14ac:dyDescent="0.2">
      <c r="A11" s="91" t="s">
        <v>1409</v>
      </c>
      <c r="D11" s="92" t="s">
        <v>1330</v>
      </c>
      <c r="E11" s="92" t="s">
        <v>1220</v>
      </c>
    </row>
    <row r="12" spans="1:6" x14ac:dyDescent="0.2">
      <c r="A12" s="91" t="s">
        <v>1410</v>
      </c>
      <c r="D12" s="92" t="s">
        <v>1331</v>
      </c>
      <c r="E12" s="92" t="s">
        <v>1408</v>
      </c>
    </row>
    <row r="13" spans="1:6" x14ac:dyDescent="0.2">
      <c r="A13" s="91" t="s">
        <v>1411</v>
      </c>
    </row>
    <row r="14" spans="1:6" x14ac:dyDescent="0.2">
      <c r="A14" s="91" t="s">
        <v>1412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1415</v>
      </c>
    </row>
    <row r="20" spans="1:6" x14ac:dyDescent="0.2">
      <c r="A20" s="137" t="s">
        <v>1413</v>
      </c>
      <c r="B20" s="93" t="s">
        <v>1414</v>
      </c>
      <c r="C20" s="91" t="s">
        <v>1416</v>
      </c>
      <c r="F20" s="91">
        <v>4000</v>
      </c>
    </row>
    <row r="21" spans="1:6" x14ac:dyDescent="0.2">
      <c r="A21" s="106"/>
      <c r="C21" s="91" t="s">
        <v>1417</v>
      </c>
      <c r="F21" s="91">
        <v>4000</v>
      </c>
    </row>
    <row r="22" spans="1:6" x14ac:dyDescent="0.2">
      <c r="A22" s="106"/>
    </row>
    <row r="23" spans="1:6" x14ac:dyDescent="0.2">
      <c r="A23" s="106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8000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1418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4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1-000000000000}">
  <sheetPr codeName="Sheet331">
    <pageSetUpPr fitToPage="1"/>
  </sheetPr>
  <dimension ref="A1:F52"/>
  <sheetViews>
    <sheetView topLeftCell="A7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84</v>
      </c>
    </row>
    <row r="10" spans="1:6" x14ac:dyDescent="0.2">
      <c r="A10" s="1" t="s">
        <v>83</v>
      </c>
      <c r="D10" s="20" t="s">
        <v>27</v>
      </c>
      <c r="E10" s="20" t="s">
        <v>48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82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" t="s">
        <v>45</v>
      </c>
      <c r="F20" s="1">
        <v>1321.47</v>
      </c>
    </row>
    <row r="22" spans="2:6" x14ac:dyDescent="0.2">
      <c r="C22" s="1" t="s">
        <v>44</v>
      </c>
      <c r="F22" s="7"/>
    </row>
    <row r="24" spans="2:6" x14ac:dyDescent="0.2">
      <c r="B24" s="8" t="s">
        <v>43</v>
      </c>
      <c r="C24" s="1" t="s">
        <v>81</v>
      </c>
      <c r="F24" s="1">
        <v>124.8</v>
      </c>
    </row>
    <row r="25" spans="2:6" x14ac:dyDescent="0.2">
      <c r="B25" s="8"/>
    </row>
    <row r="26" spans="2:6" x14ac:dyDescent="0.2">
      <c r="B26" s="8"/>
    </row>
    <row r="32" spans="2:6" ht="13.5" thickBot="1" x14ac:dyDescent="0.25">
      <c r="F32" s="11">
        <f>SUM(F18:F31)</f>
        <v>1446.27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80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1-000000000000}">
  <sheetPr codeName="Sheet34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539</v>
      </c>
    </row>
    <row r="10" spans="1:6" x14ac:dyDescent="0.2">
      <c r="A10" s="1" t="s">
        <v>538</v>
      </c>
      <c r="D10" s="20" t="s">
        <v>27</v>
      </c>
      <c r="E10" s="20" t="s">
        <v>512</v>
      </c>
    </row>
    <row r="11" spans="1:6" x14ac:dyDescent="0.2">
      <c r="A11" s="1" t="s">
        <v>537</v>
      </c>
      <c r="D11" s="20" t="s">
        <v>24</v>
      </c>
      <c r="E11" s="20" t="s">
        <v>23</v>
      </c>
    </row>
    <row r="12" spans="1:6" x14ac:dyDescent="0.2">
      <c r="A12" s="1" t="s">
        <v>536</v>
      </c>
      <c r="D12" s="20" t="s">
        <v>22</v>
      </c>
      <c r="E12" s="20" t="s">
        <v>535</v>
      </c>
    </row>
    <row r="13" spans="1:6" x14ac:dyDescent="0.2">
      <c r="A13" s="1" t="s">
        <v>534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4" spans="1:6" x14ac:dyDescent="0.2">
      <c r="A24" s="1" t="s">
        <v>533</v>
      </c>
      <c r="C24" s="1" t="s">
        <v>532</v>
      </c>
      <c r="F24" s="1">
        <v>5000</v>
      </c>
    </row>
    <row r="25" spans="1:6" x14ac:dyDescent="0.2">
      <c r="C25" s="1" t="s">
        <v>531</v>
      </c>
    </row>
    <row r="26" spans="1:6" x14ac:dyDescent="0.2">
      <c r="C26" s="1" t="s">
        <v>530</v>
      </c>
    </row>
    <row r="27" spans="1:6" x14ac:dyDescent="0.2">
      <c r="C27" s="1" t="s">
        <v>529</v>
      </c>
    </row>
    <row r="32" spans="1:6" ht="13.5" thickBot="1" x14ac:dyDescent="0.25">
      <c r="F32" s="11">
        <f>SUM(F18:F31)</f>
        <v>5000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225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1-000000000000}">
  <sheetPr codeName="Sheet681">
    <pageSetUpPr fitToPage="1"/>
  </sheetPr>
  <dimension ref="A1:O64"/>
  <sheetViews>
    <sheetView zoomScaleNormal="100" zoomScaleSheetLayoutView="85" workbookViewId="0">
      <selection activeCell="G9" sqref="G9:G12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5" x14ac:dyDescent="0.2">
      <c r="A9" s="91"/>
      <c r="B9" s="91"/>
      <c r="C9" s="91"/>
      <c r="D9" s="91"/>
      <c r="E9" s="91"/>
      <c r="F9" s="92" t="s">
        <v>30</v>
      </c>
      <c r="G9" s="153" t="s">
        <v>8267</v>
      </c>
      <c r="H9" s="91"/>
    </row>
    <row r="10" spans="1:15" x14ac:dyDescent="0.2">
      <c r="A10" s="91" t="s">
        <v>6929</v>
      </c>
      <c r="B10" s="91"/>
      <c r="C10" s="91"/>
      <c r="D10" s="91"/>
      <c r="E10" s="91"/>
      <c r="F10" s="92" t="s">
        <v>27</v>
      </c>
      <c r="G10" s="153" t="s">
        <v>8118</v>
      </c>
      <c r="H10" s="91"/>
      <c r="J10" s="20"/>
    </row>
    <row r="11" spans="1:15" x14ac:dyDescent="0.2">
      <c r="A11" s="91" t="s">
        <v>6930</v>
      </c>
      <c r="B11" s="91"/>
      <c r="C11" s="91"/>
      <c r="D11" s="91"/>
      <c r="E11" s="91"/>
      <c r="F11" s="92" t="s">
        <v>24</v>
      </c>
      <c r="G11" s="153" t="s">
        <v>1220</v>
      </c>
      <c r="H11" s="91"/>
      <c r="J11" s="19"/>
    </row>
    <row r="12" spans="1:15" x14ac:dyDescent="0.2">
      <c r="A12" s="91" t="s">
        <v>6931</v>
      </c>
      <c r="B12" s="91"/>
      <c r="C12" s="91"/>
      <c r="D12" s="91"/>
      <c r="E12" s="91"/>
      <c r="F12" s="92" t="s">
        <v>22</v>
      </c>
      <c r="G12" s="153" t="s">
        <v>770</v>
      </c>
      <c r="H12" s="91"/>
    </row>
    <row r="13" spans="1:15" x14ac:dyDescent="0.2">
      <c r="A13" s="91"/>
      <c r="B13" s="91"/>
      <c r="C13" s="91"/>
      <c r="D13" s="91"/>
      <c r="E13" s="91"/>
      <c r="F13" s="91"/>
      <c r="G13" s="153"/>
      <c r="H13" s="91"/>
    </row>
    <row r="14" spans="1:15" x14ac:dyDescent="0.2">
      <c r="A14" s="91"/>
      <c r="B14" s="91"/>
      <c r="C14" s="91"/>
      <c r="D14" s="91"/>
      <c r="E14" s="91"/>
      <c r="F14" s="91"/>
      <c r="G14" s="153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 t="s">
        <v>6646</v>
      </c>
      <c r="L15" s="91"/>
      <c r="M15" s="91"/>
      <c r="N15" s="91"/>
      <c r="O15" s="91">
        <f>4050*2.9926996</f>
        <v>12120.43338</v>
      </c>
    </row>
    <row r="16" spans="1:15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91"/>
      <c r="L16" s="1"/>
      <c r="M16" s="1"/>
      <c r="N16" s="1"/>
      <c r="O16" s="91"/>
    </row>
    <row r="17" spans="1:15" x14ac:dyDescent="0.2">
      <c r="A17" s="91"/>
      <c r="B17" s="91"/>
      <c r="C17" s="91"/>
      <c r="D17" s="91"/>
      <c r="E17" s="91"/>
      <c r="F17" s="91"/>
      <c r="G17" s="91"/>
      <c r="H17" s="91"/>
      <c r="K17" s="91" t="s">
        <v>6644</v>
      </c>
      <c r="O17" s="91"/>
    </row>
    <row r="18" spans="1:15" x14ac:dyDescent="0.2">
      <c r="A18" s="91"/>
      <c r="B18" s="91"/>
      <c r="C18" s="91"/>
      <c r="D18" s="2" t="s">
        <v>4311</v>
      </c>
      <c r="E18" s="2"/>
      <c r="F18" s="91"/>
      <c r="G18" s="91"/>
      <c r="H18" s="91"/>
    </row>
    <row r="19" spans="1:15" x14ac:dyDescent="0.2">
      <c r="A19" s="91"/>
      <c r="B19" s="91"/>
      <c r="C19" s="91"/>
      <c r="D19" s="2"/>
      <c r="E19" s="2"/>
      <c r="F19" s="91"/>
      <c r="G19" s="91"/>
      <c r="H19" s="91"/>
      <c r="K19" s="91" t="s">
        <v>6643</v>
      </c>
      <c r="L19" s="91"/>
      <c r="M19" s="91"/>
      <c r="N19" s="91"/>
      <c r="O19" s="91">
        <f>9300*2.9926996</f>
        <v>27832.10628</v>
      </c>
    </row>
    <row r="20" spans="1:15" x14ac:dyDescent="0.2">
      <c r="A20" s="93" t="s">
        <v>6925</v>
      </c>
      <c r="B20" s="93" t="s">
        <v>6926</v>
      </c>
      <c r="C20" s="93"/>
      <c r="D20" s="91" t="s">
        <v>6927</v>
      </c>
      <c r="E20" s="91"/>
      <c r="F20" s="91"/>
      <c r="G20" s="91"/>
      <c r="H20" s="91">
        <f>2500*4.216</f>
        <v>10540</v>
      </c>
      <c r="K20" s="91"/>
      <c r="L20" s="91"/>
      <c r="M20" s="91"/>
      <c r="N20" s="91"/>
      <c r="O20" s="91"/>
    </row>
    <row r="21" spans="1:15" x14ac:dyDescent="0.2">
      <c r="A21" s="91"/>
      <c r="B21" s="94"/>
      <c r="C21" s="94"/>
      <c r="D21" s="91" t="s">
        <v>6928</v>
      </c>
      <c r="H21" s="91"/>
      <c r="K21" s="91" t="s">
        <v>6645</v>
      </c>
      <c r="L21" s="91"/>
      <c r="O21" s="91"/>
    </row>
    <row r="22" spans="1:15" x14ac:dyDescent="0.2">
      <c r="A22" s="93"/>
      <c r="B22" s="93"/>
      <c r="C22" s="93"/>
      <c r="D22" s="91"/>
      <c r="H22" s="91"/>
    </row>
    <row r="23" spans="1:15" x14ac:dyDescent="0.2">
      <c r="A23" s="91"/>
      <c r="B23" s="94"/>
      <c r="C23" s="94"/>
      <c r="D23" s="91" t="s">
        <v>52</v>
      </c>
      <c r="H23" s="91">
        <v>30</v>
      </c>
      <c r="K23" s="91" t="s">
        <v>3965</v>
      </c>
      <c r="O23" s="91">
        <v>10</v>
      </c>
    </row>
    <row r="24" spans="1:15" x14ac:dyDescent="0.2">
      <c r="A24" s="93"/>
      <c r="B24" s="93"/>
      <c r="C24" s="93"/>
      <c r="D24" s="91"/>
      <c r="E24" s="91"/>
      <c r="F24" s="91"/>
      <c r="G24" s="91"/>
      <c r="H24" s="91"/>
      <c r="K24" s="91"/>
      <c r="L24" s="91"/>
    </row>
    <row r="25" spans="1:15" x14ac:dyDescent="0.2">
      <c r="A25" s="91"/>
      <c r="B25" s="91"/>
      <c r="C25" s="91"/>
      <c r="D25" s="91"/>
      <c r="E25" s="91"/>
      <c r="F25" s="91"/>
      <c r="G25" s="91"/>
      <c r="H25" s="91"/>
    </row>
    <row r="26" spans="1:15" x14ac:dyDescent="0.2">
      <c r="A26" s="91"/>
      <c r="B26" s="94"/>
      <c r="C26" s="94"/>
      <c r="D26" s="91"/>
      <c r="E26" s="91"/>
      <c r="H26" s="91"/>
    </row>
    <row r="27" spans="1:15" x14ac:dyDescent="0.2">
      <c r="A27" s="91"/>
      <c r="B27" s="91"/>
      <c r="C27" s="91"/>
    </row>
    <row r="28" spans="1:15" x14ac:dyDescent="0.2">
      <c r="A28" s="91"/>
      <c r="B28" s="91"/>
      <c r="C28" s="91"/>
      <c r="D28" s="91"/>
      <c r="H28" s="91"/>
    </row>
    <row r="29" spans="1:15" x14ac:dyDescent="0.2">
      <c r="A29" s="91"/>
      <c r="B29" s="91"/>
      <c r="C29" s="91"/>
      <c r="D29" s="91"/>
      <c r="E29" s="91"/>
    </row>
    <row r="30" spans="1:15" x14ac:dyDescent="0.2">
      <c r="A30" s="91"/>
      <c r="B30" s="94"/>
      <c r="C30" s="94"/>
    </row>
    <row r="31" spans="1:15" x14ac:dyDescent="0.2">
      <c r="A31" s="91"/>
      <c r="B31" s="91"/>
      <c r="C31" s="91"/>
    </row>
    <row r="32" spans="1:15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10570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Ten Thousand Five Hundred Seventy and NO/100 -----------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4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50D3-F9C2-4D2B-86FD-E1F7423E3DD4}">
  <sheetPr codeName="Sheet683">
    <tabColor rgb="FFFFFF00"/>
  </sheetPr>
  <dimension ref="A1:R66"/>
  <sheetViews>
    <sheetView view="pageBreakPreview" zoomScaleNormal="100" zoomScaleSheetLayoutView="100" workbookViewId="0">
      <selection activeCell="H26" sqref="H26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  <c r="K3" s="91" t="s">
        <v>7912</v>
      </c>
      <c r="L3" s="91"/>
      <c r="M3" s="91"/>
      <c r="N3" s="91"/>
      <c r="O3" s="91">
        <f>9300*3.0631</f>
        <v>28486.829999999998</v>
      </c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K4" s="91" t="s">
        <v>7913</v>
      </c>
      <c r="O4" s="91"/>
    </row>
    <row r="5" spans="1:15" x14ac:dyDescent="0.2">
      <c r="K5" s="143" t="s">
        <v>7433</v>
      </c>
      <c r="O5" s="91"/>
    </row>
    <row r="7" spans="1:15" x14ac:dyDescent="0.2">
      <c r="K7" s="91" t="s">
        <v>52</v>
      </c>
      <c r="O7" s="91">
        <v>10</v>
      </c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  <c r="K8" s="91"/>
      <c r="L8" s="91"/>
      <c r="M8" s="91"/>
      <c r="N8" s="91"/>
      <c r="O8" s="91"/>
    </row>
    <row r="9" spans="1:15" x14ac:dyDescent="0.2">
      <c r="A9" s="91"/>
      <c r="B9" s="91"/>
      <c r="C9" s="91"/>
      <c r="D9" s="91"/>
      <c r="E9" s="91"/>
      <c r="F9" s="92" t="s">
        <v>30</v>
      </c>
      <c r="G9" s="91" t="s">
        <v>8986</v>
      </c>
      <c r="H9" s="91"/>
      <c r="K9" s="91"/>
      <c r="L9" s="91"/>
      <c r="M9" s="91"/>
      <c r="N9" s="91"/>
      <c r="O9" s="91"/>
    </row>
    <row r="10" spans="1:15" x14ac:dyDescent="0.2">
      <c r="A10" s="91" t="s">
        <v>3920</v>
      </c>
      <c r="B10" s="91"/>
      <c r="C10" s="91"/>
      <c r="D10" s="91"/>
      <c r="E10" s="91"/>
      <c r="F10" s="92" t="s">
        <v>27</v>
      </c>
      <c r="G10" s="92" t="s">
        <v>8796</v>
      </c>
      <c r="H10" s="91"/>
      <c r="J10" s="20"/>
      <c r="K10" s="91" t="s">
        <v>7028</v>
      </c>
      <c r="L10" s="91"/>
      <c r="M10" s="91"/>
    </row>
    <row r="11" spans="1:15" x14ac:dyDescent="0.2">
      <c r="A11" s="91" t="s">
        <v>3921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  <c r="K11" s="91" t="s">
        <v>7029</v>
      </c>
    </row>
    <row r="12" spans="1:15" x14ac:dyDescent="0.2">
      <c r="A12" s="91" t="s">
        <v>3922</v>
      </c>
      <c r="B12" s="91"/>
      <c r="C12" s="91"/>
      <c r="D12" s="91"/>
      <c r="E12" s="91"/>
      <c r="F12" s="92" t="s">
        <v>22</v>
      </c>
      <c r="G12" s="94" t="s">
        <v>770</v>
      </c>
      <c r="H12" s="91"/>
      <c r="K12" s="91"/>
    </row>
    <row r="13" spans="1:15" x14ac:dyDescent="0.2">
      <c r="A13" s="91" t="s">
        <v>3923</v>
      </c>
      <c r="B13" s="91"/>
      <c r="C13" s="91"/>
      <c r="D13" s="91"/>
      <c r="E13" s="91"/>
      <c r="F13" s="91"/>
      <c r="G13" s="153"/>
      <c r="H13" s="91"/>
      <c r="K13" s="91" t="s">
        <v>52</v>
      </c>
    </row>
    <row r="14" spans="1:15" x14ac:dyDescent="0.2">
      <c r="A14" s="91"/>
      <c r="B14" s="91"/>
      <c r="C14" s="91"/>
      <c r="D14" s="91"/>
      <c r="E14" s="91"/>
      <c r="F14" s="91"/>
      <c r="G14" s="153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 t="s">
        <v>6646</v>
      </c>
      <c r="L15" s="91"/>
      <c r="M15" s="91"/>
      <c r="N15" s="91"/>
      <c r="O15" s="91">
        <f>4050*2.9926996</f>
        <v>12120.43338</v>
      </c>
    </row>
    <row r="16" spans="1:15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91"/>
      <c r="L16" s="1"/>
      <c r="M16" s="1"/>
      <c r="N16" s="1"/>
      <c r="O16" s="91"/>
    </row>
    <row r="17" spans="1:18" x14ac:dyDescent="0.2">
      <c r="A17" s="91"/>
      <c r="B17" s="91"/>
      <c r="C17" s="91"/>
      <c r="D17" s="91"/>
      <c r="E17" s="91"/>
      <c r="F17" s="91"/>
      <c r="G17" s="91"/>
      <c r="H17" s="91"/>
      <c r="K17" s="91" t="s">
        <v>6644</v>
      </c>
      <c r="O17" s="91"/>
    </row>
    <row r="18" spans="1:18" x14ac:dyDescent="0.2">
      <c r="A18" s="91"/>
      <c r="B18" s="91"/>
      <c r="C18" s="91"/>
      <c r="D18" s="2" t="s">
        <v>4311</v>
      </c>
      <c r="E18" s="2"/>
      <c r="F18" s="91"/>
      <c r="G18" s="91"/>
      <c r="H18" s="91"/>
    </row>
    <row r="19" spans="1:18" x14ac:dyDescent="0.2">
      <c r="A19" s="91"/>
      <c r="B19" s="91"/>
      <c r="C19" s="91"/>
      <c r="D19" s="2"/>
      <c r="E19" s="2"/>
      <c r="F19" s="91"/>
      <c r="G19" s="91"/>
      <c r="H19" s="91"/>
      <c r="K19" s="91" t="s">
        <v>6643</v>
      </c>
      <c r="L19" s="91"/>
      <c r="M19" s="91"/>
      <c r="N19" s="91"/>
      <c r="O19" s="91">
        <f>9300*2.9926996</f>
        <v>27832.10628</v>
      </c>
    </row>
    <row r="20" spans="1:18" x14ac:dyDescent="0.2">
      <c r="A20" s="93" t="s">
        <v>8756</v>
      </c>
      <c r="B20" s="93" t="s">
        <v>8990</v>
      </c>
      <c r="C20" s="93"/>
      <c r="D20" s="91" t="s">
        <v>8991</v>
      </c>
      <c r="E20" s="91"/>
      <c r="F20" s="91"/>
      <c r="G20" s="91"/>
      <c r="H20" s="110">
        <f>18700*3.0905</f>
        <v>57792.35</v>
      </c>
      <c r="K20" s="91"/>
      <c r="L20" s="91"/>
      <c r="M20" s="91"/>
      <c r="N20" s="91"/>
      <c r="O20" s="91"/>
    </row>
    <row r="21" spans="1:18" x14ac:dyDescent="0.2">
      <c r="A21" s="91"/>
      <c r="B21" s="94"/>
      <c r="C21" s="94"/>
      <c r="D21" s="91" t="s">
        <v>8992</v>
      </c>
      <c r="H21" s="91"/>
      <c r="K21" s="91" t="s">
        <v>6645</v>
      </c>
      <c r="L21" s="91"/>
      <c r="O21" s="91"/>
    </row>
    <row r="22" spans="1:18" x14ac:dyDescent="0.2">
      <c r="A22" s="93"/>
      <c r="B22" s="93"/>
      <c r="C22" s="93"/>
      <c r="D22" s="143"/>
      <c r="H22" s="91"/>
    </row>
    <row r="23" spans="1:18" x14ac:dyDescent="0.2">
      <c r="A23" s="93" t="s">
        <v>8756</v>
      </c>
      <c r="B23" s="93" t="s">
        <v>8987</v>
      </c>
      <c r="D23" s="91" t="s">
        <v>8988</v>
      </c>
      <c r="E23" s="91"/>
      <c r="F23" s="91"/>
      <c r="G23" s="91"/>
      <c r="H23" s="110">
        <f>2500*3.0905</f>
        <v>7726.25</v>
      </c>
      <c r="K23" s="91" t="s">
        <v>3965</v>
      </c>
      <c r="O23" s="91">
        <v>10</v>
      </c>
    </row>
    <row r="24" spans="1:18" x14ac:dyDescent="0.2">
      <c r="A24" s="93"/>
      <c r="B24" s="93"/>
      <c r="C24" s="94"/>
      <c r="D24" s="91" t="s">
        <v>8989</v>
      </c>
      <c r="H24" s="91"/>
      <c r="K24" s="91"/>
      <c r="L24" s="91"/>
    </row>
    <row r="25" spans="1:18" x14ac:dyDescent="0.2">
      <c r="A25" s="93"/>
      <c r="B25" s="93"/>
      <c r="C25" s="93"/>
      <c r="D25" s="91"/>
      <c r="E25" s="91"/>
      <c r="F25" s="91"/>
      <c r="G25" s="91"/>
      <c r="H25" s="91"/>
      <c r="K25" s="91" t="s">
        <v>6932</v>
      </c>
      <c r="L25" s="91"/>
      <c r="M25" s="91"/>
      <c r="N25" s="91"/>
      <c r="O25" s="91">
        <f>9300*3.0413</f>
        <v>28284.09</v>
      </c>
    </row>
    <row r="26" spans="1:18" x14ac:dyDescent="0.2">
      <c r="A26" s="91"/>
      <c r="B26" s="91"/>
      <c r="C26" s="91"/>
      <c r="D26" s="91" t="s">
        <v>52</v>
      </c>
      <c r="E26" s="91"/>
      <c r="F26" s="91"/>
      <c r="G26" s="91"/>
      <c r="H26" s="91">
        <v>10</v>
      </c>
      <c r="K26" s="91" t="s">
        <v>6933</v>
      </c>
      <c r="O26" s="91"/>
    </row>
    <row r="27" spans="1:18" x14ac:dyDescent="0.2">
      <c r="A27" s="91"/>
      <c r="B27" s="91"/>
      <c r="C27" s="91"/>
      <c r="D27" s="466"/>
      <c r="E27" s="91"/>
      <c r="F27" s="91"/>
      <c r="G27" s="91"/>
      <c r="H27" s="91"/>
      <c r="K27" s="91"/>
      <c r="O27" s="91"/>
    </row>
    <row r="28" spans="1:18" x14ac:dyDescent="0.2">
      <c r="A28" s="91"/>
      <c r="B28" s="91"/>
      <c r="C28" s="91"/>
      <c r="D28" s="91"/>
      <c r="E28" s="91"/>
      <c r="F28" s="91"/>
      <c r="G28" s="91"/>
      <c r="H28" s="91"/>
      <c r="K28" s="91" t="s">
        <v>6934</v>
      </c>
      <c r="O28" s="91">
        <f>4050*3.0413</f>
        <v>12317.265000000001</v>
      </c>
    </row>
    <row r="29" spans="1:18" x14ac:dyDescent="0.2">
      <c r="A29" s="91"/>
      <c r="B29" s="91"/>
      <c r="C29" s="91"/>
      <c r="D29" s="91"/>
      <c r="E29" s="91"/>
      <c r="F29" s="91"/>
      <c r="G29" s="91"/>
      <c r="H29" s="91"/>
      <c r="K29" s="91" t="s">
        <v>6935</v>
      </c>
      <c r="L29" s="91"/>
      <c r="M29" s="91"/>
      <c r="N29" s="91"/>
      <c r="O29" s="91"/>
    </row>
    <row r="30" spans="1:18" x14ac:dyDescent="0.2">
      <c r="A30" s="93"/>
      <c r="B30" s="93"/>
      <c r="C30" s="94"/>
      <c r="D30" s="91"/>
      <c r="E30" s="91"/>
      <c r="H30" s="91"/>
      <c r="K30" s="93" t="s">
        <v>7628</v>
      </c>
      <c r="L30" s="93" t="s">
        <v>7696</v>
      </c>
      <c r="M30" s="94"/>
      <c r="N30" s="91" t="s">
        <v>7693</v>
      </c>
      <c r="R30" s="91">
        <f>18200*3.0647</f>
        <v>55777.54</v>
      </c>
    </row>
    <row r="31" spans="1:18" x14ac:dyDescent="0.2">
      <c r="A31" s="91"/>
      <c r="B31" s="91"/>
      <c r="C31" s="91"/>
      <c r="D31" s="91"/>
      <c r="K31" s="93"/>
      <c r="L31" s="93"/>
      <c r="M31" s="93"/>
      <c r="N31" s="91" t="s">
        <v>7692</v>
      </c>
      <c r="O31" s="91"/>
      <c r="P31" s="91"/>
      <c r="Q31" s="91"/>
      <c r="R31" s="91"/>
    </row>
    <row r="32" spans="1:18" x14ac:dyDescent="0.2">
      <c r="A32" s="91"/>
      <c r="B32" s="91"/>
      <c r="C32" s="91"/>
      <c r="D32" s="91"/>
      <c r="H32" s="91"/>
      <c r="K32" s="93" t="s">
        <v>7628</v>
      </c>
      <c r="L32" s="93" t="s">
        <v>7695</v>
      </c>
      <c r="M32" s="94"/>
      <c r="N32" s="91" t="s">
        <v>7694</v>
      </c>
      <c r="O32" s="91"/>
      <c r="R32" s="91">
        <f>3000*3.0647</f>
        <v>9194.1</v>
      </c>
    </row>
    <row r="33" spans="1:15" x14ac:dyDescent="0.2">
      <c r="A33" s="91"/>
      <c r="B33" s="91"/>
      <c r="C33" s="91"/>
    </row>
    <row r="34" spans="1:15" x14ac:dyDescent="0.2">
      <c r="A34" s="91"/>
      <c r="B34" s="91"/>
      <c r="C34" s="91"/>
    </row>
    <row r="35" spans="1:15" x14ac:dyDescent="0.2">
      <c r="A35" s="91"/>
      <c r="B35" s="91"/>
      <c r="C35" s="91"/>
    </row>
    <row r="36" spans="1:15" x14ac:dyDescent="0.2">
      <c r="A36" s="91"/>
      <c r="B36" s="91"/>
      <c r="C36" s="91"/>
      <c r="D36" s="91"/>
      <c r="E36" s="91"/>
      <c r="F36" s="91"/>
      <c r="G36" s="91"/>
      <c r="H36" s="91"/>
      <c r="K36" s="91" t="s">
        <v>7974</v>
      </c>
      <c r="L36" s="91"/>
      <c r="M36" s="91"/>
      <c r="N36" s="91"/>
      <c r="O36" s="91">
        <f>18200*3.0812</f>
        <v>56077.84</v>
      </c>
    </row>
    <row r="37" spans="1:15" ht="13.5" thickBot="1" x14ac:dyDescent="0.25">
      <c r="A37" s="91"/>
      <c r="B37" s="91"/>
      <c r="C37" s="91"/>
      <c r="D37" s="91"/>
      <c r="E37" s="91"/>
      <c r="F37" s="91"/>
      <c r="G37" s="91"/>
      <c r="H37" s="107">
        <f>SUM(H18:H36)</f>
        <v>65528.6</v>
      </c>
      <c r="K37" s="91" t="s">
        <v>7975</v>
      </c>
      <c r="O37" s="91"/>
    </row>
    <row r="38" spans="1:15" ht="13.5" thickTop="1" x14ac:dyDescent="0.2">
      <c r="A38" s="91"/>
      <c r="B38" s="91"/>
      <c r="C38" s="91"/>
      <c r="D38" s="91"/>
      <c r="E38" s="91"/>
      <c r="K38" s="143"/>
      <c r="O38" s="91"/>
    </row>
    <row r="39" spans="1:15" ht="21.75" customHeight="1" x14ac:dyDescent="0.2">
      <c r="A39" s="96" t="s">
        <v>336</v>
      </c>
      <c r="B39" s="213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Sixty-Five Thousand Five Hundred Twenty-Eight and 60/100 -----------</v>
      </c>
      <c r="C39" s="213"/>
      <c r="D39" s="97"/>
      <c r="E39" s="97"/>
      <c r="F39" s="97"/>
      <c r="G39" s="97"/>
      <c r="H39" s="97"/>
      <c r="K39" s="91" t="s">
        <v>7976</v>
      </c>
      <c r="O39" s="91">
        <f>3000*3.0812</f>
        <v>9243.6</v>
      </c>
    </row>
    <row r="40" spans="1:15" x14ac:dyDescent="0.2">
      <c r="A40" s="113"/>
      <c r="B40" s="225"/>
      <c r="C40" s="225"/>
      <c r="D40" s="61"/>
      <c r="E40" s="61"/>
      <c r="F40" s="61"/>
      <c r="G40" s="61"/>
      <c r="H40" s="61"/>
      <c r="K40" s="91" t="s">
        <v>7977</v>
      </c>
      <c r="O40" s="91"/>
    </row>
    <row r="41" spans="1:15" ht="25.5" x14ac:dyDescent="0.2">
      <c r="A41" s="94" t="s">
        <v>3973</v>
      </c>
      <c r="B41" s="91"/>
      <c r="C41" s="91"/>
      <c r="D41" s="91"/>
      <c r="E41" s="91"/>
      <c r="F41" s="218" t="s">
        <v>3975</v>
      </c>
      <c r="G41" s="219"/>
      <c r="H41" s="220"/>
      <c r="K41" s="91"/>
      <c r="L41" s="91"/>
      <c r="M41" s="91"/>
      <c r="N41" s="91"/>
      <c r="O41" s="91"/>
    </row>
    <row r="42" spans="1:15" x14ac:dyDescent="0.2">
      <c r="A42" s="91"/>
      <c r="B42" s="91"/>
      <c r="C42" s="91"/>
      <c r="D42" s="91"/>
      <c r="E42" s="91"/>
      <c r="F42" s="228"/>
      <c r="G42" s="229"/>
      <c r="H42" s="229"/>
      <c r="K42" s="1" t="s">
        <v>8268</v>
      </c>
      <c r="O42" s="1">
        <v>28827.21</v>
      </c>
    </row>
    <row r="43" spans="1:15" x14ac:dyDescent="0.2">
      <c r="B43" s="91"/>
      <c r="C43" s="91"/>
      <c r="D43" s="91"/>
      <c r="E43" s="91"/>
      <c r="F43" s="91"/>
      <c r="G43" s="91"/>
      <c r="H43" s="91"/>
      <c r="K43" s="1" t="s">
        <v>8269</v>
      </c>
    </row>
    <row r="44" spans="1:15" x14ac:dyDescent="0.2">
      <c r="A44" s="91"/>
      <c r="B44" s="91"/>
      <c r="C44" s="91"/>
      <c r="D44" s="91"/>
      <c r="E44" s="91"/>
      <c r="F44" s="91"/>
      <c r="G44" s="91"/>
      <c r="H44" s="91"/>
    </row>
    <row r="45" spans="1:15" x14ac:dyDescent="0.2">
      <c r="A45" s="101"/>
      <c r="B45" s="101"/>
      <c r="C45" s="91"/>
      <c r="D45" s="91"/>
      <c r="E45" s="91"/>
      <c r="F45" s="91"/>
      <c r="G45" s="91"/>
      <c r="H45" s="91"/>
    </row>
    <row r="46" spans="1:15" x14ac:dyDescent="0.2">
      <c r="A46" s="91"/>
      <c r="B46" s="91"/>
      <c r="C46" s="91"/>
      <c r="D46" s="91"/>
      <c r="E46" s="91"/>
      <c r="F46" s="91"/>
      <c r="G46" s="91"/>
      <c r="H46" s="91"/>
    </row>
    <row r="47" spans="1:15" x14ac:dyDescent="0.2">
      <c r="A47" s="98" t="s">
        <v>8</v>
      </c>
      <c r="B47" s="91"/>
      <c r="C47" s="91"/>
      <c r="D47" s="98" t="s">
        <v>8</v>
      </c>
      <c r="E47" s="91"/>
      <c r="F47" s="98" t="s">
        <v>7</v>
      </c>
      <c r="G47" s="91"/>
      <c r="H47" s="102"/>
    </row>
    <row r="48" spans="1:15" x14ac:dyDescent="0.2">
      <c r="A48" s="91"/>
      <c r="B48" s="91"/>
      <c r="C48" s="91"/>
      <c r="D48" s="91"/>
      <c r="E48" s="91"/>
      <c r="F48" s="91"/>
      <c r="G48" s="91"/>
      <c r="H48" s="91"/>
    </row>
    <row r="49" spans="1:8" s="3" customFormat="1" ht="17.100000000000001" customHeight="1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91"/>
      <c r="B50" s="91"/>
      <c r="C50" s="91"/>
      <c r="D50" s="91"/>
      <c r="E50" s="91"/>
      <c r="F50" s="91"/>
      <c r="G50" s="91"/>
      <c r="H50" s="91"/>
    </row>
    <row r="51" spans="1:8" x14ac:dyDescent="0.2">
      <c r="A51" s="101"/>
      <c r="B51" s="101"/>
      <c r="C51" s="91"/>
      <c r="D51" s="101"/>
      <c r="E51" s="91"/>
      <c r="F51" s="101"/>
      <c r="G51" s="101"/>
      <c r="H51" s="101"/>
    </row>
    <row r="52" spans="1:8" x14ac:dyDescent="0.2">
      <c r="A52" s="103" t="s">
        <v>4066</v>
      </c>
      <c r="B52" s="104"/>
      <c r="C52" s="104"/>
      <c r="D52" s="103" t="s">
        <v>50</v>
      </c>
      <c r="E52" s="61"/>
      <c r="F52" s="61" t="s">
        <v>3</v>
      </c>
      <c r="G52" s="61"/>
      <c r="H52" s="61"/>
    </row>
    <row r="53" spans="1:8" x14ac:dyDescent="0.2">
      <c r="A53" s="91"/>
      <c r="B53" s="91"/>
      <c r="C53" s="91"/>
      <c r="D53" s="91"/>
      <c r="E53" s="91"/>
      <c r="F53" s="91" t="s">
        <v>2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1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2" t="s">
        <v>0</v>
      </c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  <row r="66" spans="1:8" x14ac:dyDescent="0.2">
      <c r="A66" s="91"/>
      <c r="B66" s="91"/>
      <c r="C66" s="91"/>
      <c r="D66" s="91"/>
      <c r="E66" s="91"/>
      <c r="F66" s="91"/>
      <c r="G66" s="91"/>
      <c r="H6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4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1-000000000000}">
  <sheetPr codeName="Sheet5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1195</v>
      </c>
    </row>
    <row r="10" spans="1:6" x14ac:dyDescent="0.2">
      <c r="A10" s="1" t="s">
        <v>1194</v>
      </c>
      <c r="D10" s="20" t="s">
        <v>27</v>
      </c>
      <c r="E10" s="20" t="s">
        <v>260</v>
      </c>
    </row>
    <row r="11" spans="1:6" x14ac:dyDescent="0.2">
      <c r="A11" s="1" t="s">
        <v>1193</v>
      </c>
      <c r="D11" s="20" t="s">
        <v>24</v>
      </c>
      <c r="E11" s="20" t="s">
        <v>23</v>
      </c>
    </row>
    <row r="12" spans="1:6" x14ac:dyDescent="0.2">
      <c r="A12" s="1" t="s">
        <v>319</v>
      </c>
      <c r="D12" s="20" t="s">
        <v>22</v>
      </c>
      <c r="E12" s="20" t="s">
        <v>1192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8" spans="1:6" x14ac:dyDescent="0.2">
      <c r="C18" s="21"/>
    </row>
    <row r="19" spans="1:6" x14ac:dyDescent="0.2">
      <c r="C19" s="21"/>
    </row>
    <row r="20" spans="1:6" x14ac:dyDescent="0.2">
      <c r="C20" s="21"/>
    </row>
    <row r="22" spans="1:6" x14ac:dyDescent="0.2">
      <c r="A22" s="1" t="s">
        <v>1191</v>
      </c>
      <c r="C22" s="21" t="s">
        <v>1190</v>
      </c>
      <c r="F22" s="1">
        <v>1732.5</v>
      </c>
    </row>
    <row r="23" spans="1:6" x14ac:dyDescent="0.2">
      <c r="C23" s="1" t="s">
        <v>1189</v>
      </c>
    </row>
    <row r="25" spans="1:6" x14ac:dyDescent="0.2">
      <c r="A25" s="8"/>
    </row>
    <row r="32" spans="1:6" ht="13.5" thickBot="1" x14ac:dyDescent="0.25">
      <c r="F32" s="11">
        <f>SUM(F19:F31)</f>
        <v>1732.5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1188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1-000000000000}">
  <sheetPr codeName="Sheet57">
    <pageSetUpPr fitToPage="1"/>
  </sheetPr>
  <dimension ref="A1:F51"/>
  <sheetViews>
    <sheetView topLeftCell="A16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1207</v>
      </c>
    </row>
    <row r="10" spans="1:6" x14ac:dyDescent="0.2">
      <c r="A10" s="21" t="s">
        <v>1206</v>
      </c>
      <c r="D10" s="20" t="s">
        <v>27</v>
      </c>
      <c r="E10" s="20" t="s">
        <v>609</v>
      </c>
    </row>
    <row r="11" spans="1:6" x14ac:dyDescent="0.2">
      <c r="A11" s="21" t="s">
        <v>1205</v>
      </c>
      <c r="D11" s="20" t="s">
        <v>24</v>
      </c>
      <c r="E11" s="20" t="s">
        <v>23</v>
      </c>
    </row>
    <row r="12" spans="1:6" x14ac:dyDescent="0.2">
      <c r="A12" s="21" t="s">
        <v>1204</v>
      </c>
      <c r="D12" s="20" t="s">
        <v>22</v>
      </c>
      <c r="E12" s="19" t="s">
        <v>586</v>
      </c>
    </row>
    <row r="13" spans="1:6" x14ac:dyDescent="0.2">
      <c r="A13" s="1" t="s">
        <v>1203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1202</v>
      </c>
    </row>
    <row r="21" spans="1:6" x14ac:dyDescent="0.2">
      <c r="C21" s="13" t="s">
        <v>1201</v>
      </c>
    </row>
    <row r="24" spans="1:6" x14ac:dyDescent="0.2">
      <c r="A24" s="21" t="s">
        <v>1200</v>
      </c>
      <c r="C24" s="21" t="s">
        <v>1199</v>
      </c>
      <c r="F24" s="1">
        <v>1195.95</v>
      </c>
    </row>
    <row r="25" spans="1:6" x14ac:dyDescent="0.2">
      <c r="C25" s="21" t="s">
        <v>1198</v>
      </c>
    </row>
    <row r="26" spans="1:6" x14ac:dyDescent="0.2">
      <c r="B26" s="8"/>
      <c r="C26" s="21" t="s">
        <v>1197</v>
      </c>
    </row>
    <row r="27" spans="1:6" x14ac:dyDescent="0.2">
      <c r="B27" s="8"/>
    </row>
    <row r="28" spans="1:6" x14ac:dyDescent="0.2">
      <c r="C28" s="1" t="s">
        <v>431</v>
      </c>
      <c r="F28" s="1">
        <v>30</v>
      </c>
    </row>
    <row r="31" spans="1:6" ht="13.5" thickBot="1" x14ac:dyDescent="0.25">
      <c r="F31" s="11">
        <f>SUM(F18:F30)</f>
        <v>1225.95</v>
      </c>
    </row>
    <row r="32" spans="1:6" ht="13.5" thickTop="1" x14ac:dyDescent="0.2"/>
    <row r="34" spans="1:6" ht="20.100000000000001" customHeight="1" thickBot="1" x14ac:dyDescent="0.25">
      <c r="A34" s="24" t="s">
        <v>1196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66" t="s">
        <v>1</v>
      </c>
    </row>
    <row r="51" spans="1:4" x14ac:dyDescent="0.2">
      <c r="D51" s="66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4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1-000000000000}">
  <sheetPr codeName="Sheet35">
    <tabColor rgb="FFFFFF00"/>
    <pageSetUpPr fitToPage="1"/>
  </sheetPr>
  <dimension ref="A1:H57"/>
  <sheetViews>
    <sheetView workbookViewId="0">
      <selection activeCell="F25" sqref="F25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9" width="9.140625" style="1"/>
    <col min="10" max="10" width="9.7109375" style="1" bestFit="1" customWidth="1"/>
    <col min="11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155" t="s">
        <v>8981</v>
      </c>
    </row>
    <row r="10" spans="1:8" s="91" customFormat="1" x14ac:dyDescent="0.2">
      <c r="A10" s="91" t="s">
        <v>1702</v>
      </c>
      <c r="F10" s="92" t="s">
        <v>1706</v>
      </c>
      <c r="G10" s="155" t="s">
        <v>8945</v>
      </c>
    </row>
    <row r="11" spans="1:8" s="91" customFormat="1" x14ac:dyDescent="0.2">
      <c r="A11" s="91" t="s">
        <v>1703</v>
      </c>
      <c r="F11" s="92" t="s">
        <v>1707</v>
      </c>
      <c r="G11" s="155" t="s">
        <v>1220</v>
      </c>
    </row>
    <row r="12" spans="1:8" s="91" customFormat="1" x14ac:dyDescent="0.2">
      <c r="A12" s="91" t="s">
        <v>1470</v>
      </c>
      <c r="F12" s="92" t="s">
        <v>1355</v>
      </c>
      <c r="G12" s="94" t="s">
        <v>8982</v>
      </c>
    </row>
    <row r="13" spans="1:8" s="91" customFormat="1" x14ac:dyDescent="0.2">
      <c r="A13" s="91" t="s">
        <v>1704</v>
      </c>
    </row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3"/>
      <c r="C18" s="93"/>
      <c r="D18" s="2" t="s">
        <v>6088</v>
      </c>
    </row>
    <row r="19" spans="1:8" s="91" customFormat="1" x14ac:dyDescent="0.2">
      <c r="A19" s="93"/>
      <c r="B19" s="93"/>
      <c r="C19" s="93"/>
    </row>
    <row r="20" spans="1:8" s="91" customFormat="1" x14ac:dyDescent="0.2">
      <c r="A20" s="93" t="s">
        <v>8949</v>
      </c>
      <c r="B20" s="93" t="s">
        <v>8983</v>
      </c>
      <c r="C20" s="93"/>
      <c r="D20" s="91" t="s">
        <v>8984</v>
      </c>
      <c r="H20" s="91">
        <v>35280</v>
      </c>
    </row>
    <row r="21" spans="1:8" s="91" customFormat="1" x14ac:dyDescent="0.2">
      <c r="A21" s="93"/>
      <c r="B21" s="93"/>
      <c r="C21" s="93"/>
      <c r="D21" s="91" t="s">
        <v>8985</v>
      </c>
    </row>
    <row r="22" spans="1:8" s="91" customFormat="1" x14ac:dyDescent="0.2">
      <c r="A22" s="93"/>
      <c r="B22" s="93"/>
      <c r="C22" s="93"/>
    </row>
    <row r="23" spans="1:8" s="91" customFormat="1" x14ac:dyDescent="0.2"/>
    <row r="24" spans="1:8" s="91" customFormat="1" x14ac:dyDescent="0.2">
      <c r="A24" s="93"/>
      <c r="B24" s="93"/>
      <c r="C24" s="93"/>
    </row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  <c r="E26" s="2"/>
    </row>
    <row r="27" spans="1:8" s="91" customFormat="1" x14ac:dyDescent="0.2"/>
    <row r="28" spans="1:8" s="91" customFormat="1" x14ac:dyDescent="0.2">
      <c r="A28" s="93"/>
      <c r="B28" s="93"/>
      <c r="C28" s="93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SUM(H18:H33)</f>
        <v>35280</v>
      </c>
    </row>
    <row r="35" spans="1:8" s="91" customFormat="1" ht="13.5" thickTop="1" x14ac:dyDescent="0.2"/>
    <row r="36" spans="1:8" s="91" customFormat="1" ht="21.75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Thirty-Five Thousand Two Hundred Eighty and NO/100 -----------</v>
      </c>
      <c r="C36" s="185"/>
      <c r="D36" s="97"/>
      <c r="E36" s="97"/>
      <c r="F36" s="237"/>
      <c r="G36" s="237"/>
      <c r="H36" s="237"/>
    </row>
    <row r="37" spans="1:8" s="91" customFormat="1" ht="15.75" customHeight="1" x14ac:dyDescent="0.2">
      <c r="A37" s="113"/>
      <c r="B37" s="103"/>
      <c r="C37" s="103"/>
      <c r="D37" s="61"/>
      <c r="E37" s="61"/>
      <c r="F37" s="227"/>
      <c r="G37" s="227"/>
      <c r="H37" s="227"/>
    </row>
    <row r="38" spans="1:8" s="91" customFormat="1" ht="24" customHeight="1" x14ac:dyDescent="0.2">
      <c r="A38" s="61" t="s">
        <v>10</v>
      </c>
      <c r="B38" s="103"/>
      <c r="C38" s="103"/>
      <c r="D38" s="61"/>
      <c r="E38" s="61"/>
      <c r="F38" s="218" t="s">
        <v>3975</v>
      </c>
      <c r="G38" s="219"/>
      <c r="H38" s="220"/>
    </row>
    <row r="39" spans="1:8" s="91" customFormat="1" x14ac:dyDescent="0.2">
      <c r="F39" s="228"/>
      <c r="G39" s="229"/>
      <c r="H39" s="229"/>
    </row>
    <row r="40" spans="1:8" s="91" customFormat="1" x14ac:dyDescent="0.2"/>
    <row r="41" spans="1:8" s="91" customFormat="1" x14ac:dyDescent="0.2"/>
    <row r="42" spans="1:8" s="91" customFormat="1" x14ac:dyDescent="0.2"/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209" t="s">
        <v>4066</v>
      </c>
      <c r="B50" s="104"/>
      <c r="C50" s="104"/>
      <c r="D50" s="209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676-B8B0-4D3E-8CE4-7857C916186D}">
  <sheetPr codeName="Sheet709">
    <tabColor rgb="FFFFC000"/>
  </sheetPr>
  <dimension ref="A1:Q57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85546875" style="1" customWidth="1"/>
    <col min="4" max="4" width="23" style="1" customWidth="1"/>
    <col min="5" max="5" width="1.28515625" style="1" customWidth="1"/>
    <col min="6" max="6" width="13.85546875" style="1" customWidth="1"/>
    <col min="7" max="7" width="9" style="1" customWidth="1"/>
    <col min="8" max="8" width="12.85546875" style="1" customWidth="1"/>
    <col min="9" max="9" width="9.140625" style="1"/>
    <col min="10" max="10" width="21.85546875" style="1" bestFit="1" customWidth="1"/>
    <col min="11" max="11" width="9.42578125" style="1" bestFit="1" customWidth="1"/>
    <col min="12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5" x14ac:dyDescent="0.2">
      <c r="A9" s="91" t="s">
        <v>7271</v>
      </c>
      <c r="B9" s="91"/>
      <c r="C9" s="91"/>
      <c r="D9" s="91"/>
      <c r="E9" s="91"/>
      <c r="F9" s="92" t="s">
        <v>1517</v>
      </c>
      <c r="G9" s="91" t="s">
        <v>7392</v>
      </c>
      <c r="H9" s="91"/>
      <c r="J9" s="26"/>
      <c r="K9" s="26"/>
    </row>
    <row r="10" spans="1:15" x14ac:dyDescent="0.2">
      <c r="A10" s="91" t="s">
        <v>7272</v>
      </c>
      <c r="B10" s="91"/>
      <c r="C10" s="91"/>
      <c r="D10" s="91"/>
      <c r="E10" s="91"/>
      <c r="F10" s="92" t="s">
        <v>1357</v>
      </c>
      <c r="G10" s="92" t="s">
        <v>7394</v>
      </c>
      <c r="H10" s="91"/>
    </row>
    <row r="11" spans="1:15" x14ac:dyDescent="0.2">
      <c r="A11" s="91" t="s">
        <v>7273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15" x14ac:dyDescent="0.2">
      <c r="A12" s="91"/>
      <c r="B12" s="91"/>
      <c r="C12" s="91"/>
      <c r="D12" s="91"/>
      <c r="E12" s="91"/>
      <c r="F12" s="92" t="s">
        <v>1377</v>
      </c>
      <c r="G12" s="92" t="s">
        <v>7393</v>
      </c>
      <c r="H12" s="91"/>
    </row>
    <row r="13" spans="1:15" x14ac:dyDescent="0.2">
      <c r="A13" s="91"/>
      <c r="B13" s="91"/>
      <c r="C13" s="91"/>
      <c r="D13" s="91"/>
      <c r="E13" s="91"/>
      <c r="F13" s="91"/>
      <c r="G13" s="91"/>
      <c r="H13" s="91"/>
    </row>
    <row r="14" spans="1:15" x14ac:dyDescent="0.2">
      <c r="A14" s="91"/>
      <c r="B14" s="91"/>
      <c r="C14" s="91"/>
      <c r="D14" s="91"/>
      <c r="E14" s="91"/>
      <c r="F14" s="91"/>
      <c r="G14" s="91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</row>
    <row r="16" spans="1:15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  <c r="L16" s="2"/>
      <c r="M16" s="91"/>
      <c r="N16" s="91"/>
      <c r="O16" s="91"/>
    </row>
    <row r="17" spans="1:17" x14ac:dyDescent="0.2">
      <c r="A17" s="91"/>
      <c r="B17" s="91"/>
      <c r="C17" s="91"/>
      <c r="D17" s="91"/>
      <c r="E17" s="91"/>
      <c r="F17" s="91"/>
      <c r="G17" s="91"/>
      <c r="H17" s="91"/>
      <c r="L17" s="91"/>
      <c r="M17" s="91"/>
      <c r="N17" s="91"/>
      <c r="O17" s="91"/>
    </row>
    <row r="18" spans="1:17" x14ac:dyDescent="0.2">
      <c r="A18" s="91"/>
      <c r="B18" s="91"/>
      <c r="C18" s="91"/>
      <c r="D18" s="2" t="s">
        <v>7251</v>
      </c>
      <c r="E18" s="2"/>
      <c r="F18" s="91"/>
      <c r="G18" s="91"/>
      <c r="H18" s="91"/>
      <c r="L18" s="91"/>
      <c r="M18" s="91"/>
      <c r="N18" s="91"/>
      <c r="O18" s="91"/>
    </row>
    <row r="19" spans="1:17" x14ac:dyDescent="0.2">
      <c r="A19" s="91"/>
      <c r="B19" s="91"/>
      <c r="C19" s="91"/>
      <c r="D19" s="2"/>
      <c r="E19" s="2"/>
      <c r="F19" s="91"/>
      <c r="G19" s="91"/>
      <c r="H19" s="91"/>
      <c r="L19" s="91"/>
      <c r="M19" s="91"/>
      <c r="N19" s="91"/>
      <c r="O19" s="91"/>
    </row>
    <row r="20" spans="1:17" x14ac:dyDescent="0.2">
      <c r="A20" s="93" t="s">
        <v>7395</v>
      </c>
      <c r="B20" s="93" t="s">
        <v>7396</v>
      </c>
      <c r="C20" s="93"/>
      <c r="D20" s="91" t="s">
        <v>7397</v>
      </c>
      <c r="E20" s="91"/>
      <c r="F20" s="91"/>
      <c r="G20" s="91"/>
      <c r="H20" s="91">
        <v>984</v>
      </c>
      <c r="L20" s="91"/>
      <c r="M20" s="91"/>
      <c r="N20" s="91"/>
      <c r="O20" s="91"/>
    </row>
    <row r="21" spans="1:17" x14ac:dyDescent="0.2">
      <c r="A21" s="91"/>
      <c r="B21" s="91"/>
      <c r="C21" s="91"/>
      <c r="D21" s="91"/>
      <c r="E21" s="2"/>
      <c r="F21" s="91"/>
      <c r="G21" s="91"/>
      <c r="H21" s="91"/>
      <c r="L21" s="91"/>
      <c r="M21" s="91"/>
      <c r="N21" s="91"/>
      <c r="O21" s="91"/>
    </row>
    <row r="22" spans="1:17" x14ac:dyDescent="0.2">
      <c r="A22" s="91"/>
      <c r="B22" s="91"/>
      <c r="C22" s="91"/>
      <c r="D22" s="2"/>
      <c r="E22" s="2"/>
      <c r="F22" s="91"/>
      <c r="G22" s="91"/>
      <c r="H22" s="91"/>
      <c r="L22" s="91"/>
      <c r="M22" s="91"/>
      <c r="N22" s="91"/>
      <c r="O22" s="91"/>
    </row>
    <row r="23" spans="1:17" x14ac:dyDescent="0.2">
      <c r="A23" s="91"/>
      <c r="B23" s="91"/>
      <c r="C23" s="91"/>
      <c r="D23" s="2"/>
      <c r="E23" s="2"/>
      <c r="F23" s="91"/>
      <c r="G23" s="91"/>
      <c r="H23" s="91"/>
      <c r="L23" s="91"/>
      <c r="M23" s="91"/>
      <c r="N23" s="91"/>
      <c r="O23" s="91"/>
    </row>
    <row r="24" spans="1:17" x14ac:dyDescent="0.2">
      <c r="A24" s="91"/>
      <c r="B24" s="91"/>
      <c r="C24" s="91"/>
      <c r="D24" s="91"/>
      <c r="E24" s="91"/>
      <c r="F24" s="91"/>
      <c r="G24" s="91"/>
      <c r="H24" s="91"/>
      <c r="L24" s="91"/>
      <c r="M24" s="91"/>
      <c r="N24" s="91"/>
      <c r="O24" s="91"/>
    </row>
    <row r="25" spans="1:17" x14ac:dyDescent="0.2">
      <c r="A25" s="93"/>
      <c r="B25" s="93"/>
      <c r="C25" s="93"/>
      <c r="D25" s="91"/>
      <c r="E25" s="91"/>
      <c r="F25" s="91"/>
      <c r="G25" s="91"/>
      <c r="H25" s="91"/>
      <c r="L25" s="91"/>
      <c r="M25" s="91"/>
      <c r="N25" s="91"/>
      <c r="O25" s="91"/>
    </row>
    <row r="26" spans="1:17" x14ac:dyDescent="0.2">
      <c r="A26" s="93"/>
      <c r="B26" s="93"/>
      <c r="C26" s="93"/>
      <c r="D26" s="91"/>
      <c r="E26" s="91"/>
      <c r="F26" s="91"/>
      <c r="G26" s="91"/>
      <c r="H26" s="91"/>
      <c r="L26" s="91"/>
      <c r="M26" s="91"/>
      <c r="N26" s="91"/>
      <c r="O26" s="91"/>
    </row>
    <row r="27" spans="1:17" x14ac:dyDescent="0.2">
      <c r="A27" s="93"/>
      <c r="B27" s="93"/>
      <c r="C27" s="93"/>
      <c r="D27" s="91"/>
      <c r="E27" s="91"/>
      <c r="F27" s="91"/>
      <c r="G27" s="91"/>
      <c r="H27" s="91"/>
      <c r="L27" s="91"/>
      <c r="M27" s="91"/>
      <c r="N27" s="91"/>
      <c r="O27" s="91"/>
    </row>
    <row r="28" spans="1:17" x14ac:dyDescent="0.2">
      <c r="A28" s="93"/>
      <c r="B28" s="93"/>
      <c r="C28" s="93"/>
      <c r="D28" s="91"/>
      <c r="E28" s="91"/>
      <c r="F28" s="91"/>
      <c r="G28" s="91"/>
      <c r="H28" s="91"/>
      <c r="L28" s="91"/>
      <c r="M28" s="91"/>
      <c r="N28" s="91"/>
      <c r="O28" s="91"/>
    </row>
    <row r="29" spans="1:17" x14ac:dyDescent="0.2">
      <c r="A29" s="93"/>
      <c r="B29" s="93"/>
      <c r="C29" s="93"/>
      <c r="D29" s="91"/>
      <c r="E29" s="91"/>
      <c r="F29" s="91"/>
      <c r="G29" s="91"/>
      <c r="H29" s="91"/>
      <c r="L29" s="91"/>
      <c r="M29" s="91"/>
      <c r="N29" s="2"/>
      <c r="O29" s="91"/>
      <c r="P29" s="91"/>
      <c r="Q29" s="91"/>
    </row>
    <row r="30" spans="1:17" x14ac:dyDescent="0.2">
      <c r="A30" s="93"/>
      <c r="B30" s="99"/>
      <c r="C30" s="99"/>
      <c r="D30" s="91"/>
      <c r="E30" s="91"/>
      <c r="F30" s="91"/>
      <c r="G30" s="91"/>
      <c r="H30" s="91"/>
      <c r="L30" s="91"/>
      <c r="M30" s="91"/>
      <c r="N30" s="91"/>
      <c r="O30" s="91"/>
      <c r="P30" s="91"/>
      <c r="Q30" s="91"/>
    </row>
    <row r="31" spans="1:17" x14ac:dyDescent="0.2">
      <c r="A31" s="93"/>
      <c r="B31" s="99"/>
      <c r="C31" s="99"/>
      <c r="D31" s="91"/>
      <c r="E31" s="91"/>
      <c r="F31" s="91"/>
      <c r="G31" s="91"/>
      <c r="H31" s="91"/>
      <c r="L31" s="93"/>
      <c r="M31" s="93"/>
      <c r="N31" s="91"/>
      <c r="O31" s="91"/>
      <c r="P31" s="91"/>
      <c r="Q31" s="91"/>
    </row>
    <row r="32" spans="1:17" x14ac:dyDescent="0.2">
      <c r="A32" s="93"/>
      <c r="B32" s="99"/>
      <c r="C32" s="99"/>
      <c r="D32" s="91"/>
      <c r="E32" s="91"/>
      <c r="F32" s="91"/>
      <c r="G32" s="91"/>
      <c r="H32" s="91"/>
      <c r="L32" s="93"/>
      <c r="M32" s="93"/>
      <c r="N32" s="91"/>
      <c r="O32" s="91"/>
      <c r="P32" s="91"/>
      <c r="Q32" s="91"/>
    </row>
    <row r="33" spans="1:17" x14ac:dyDescent="0.2">
      <c r="A33" s="93"/>
      <c r="B33" s="99"/>
      <c r="C33" s="99"/>
      <c r="D33" s="91"/>
      <c r="E33" s="91"/>
      <c r="F33" s="91"/>
      <c r="G33" s="91"/>
      <c r="H33" s="91"/>
      <c r="N33" s="91"/>
      <c r="O33" s="91"/>
      <c r="P33" s="91"/>
      <c r="Q33" s="91"/>
    </row>
    <row r="34" spans="1:17" x14ac:dyDescent="0.2">
      <c r="A34" s="147"/>
      <c r="B34" s="94"/>
      <c r="C34" s="94"/>
      <c r="D34" s="91"/>
      <c r="E34" s="91"/>
      <c r="F34" s="91"/>
      <c r="G34" s="91"/>
      <c r="H34" s="91"/>
    </row>
    <row r="35" spans="1:17" x14ac:dyDescent="0.2">
      <c r="A35" s="108"/>
      <c r="B35" s="91"/>
      <c r="C35" s="91"/>
      <c r="D35" s="91"/>
      <c r="E35" s="91"/>
      <c r="F35" s="91"/>
      <c r="G35" s="91"/>
    </row>
    <row r="36" spans="1:17" ht="13.5" thickBot="1" x14ac:dyDescent="0.25">
      <c r="A36" s="91"/>
      <c r="B36" s="91"/>
      <c r="C36" s="91"/>
      <c r="D36" s="91"/>
      <c r="E36" s="91"/>
      <c r="F36" s="91"/>
      <c r="G36" s="91"/>
      <c r="H36" s="107">
        <f>SUM(H18:H35)</f>
        <v>984</v>
      </c>
    </row>
    <row r="37" spans="1:17" ht="13.5" thickTop="1" x14ac:dyDescent="0.2">
      <c r="A37" s="91"/>
      <c r="B37" s="91"/>
      <c r="C37" s="91"/>
      <c r="D37" s="91"/>
      <c r="E37" s="91"/>
      <c r="F37" s="91"/>
      <c r="G37" s="91"/>
      <c r="H37" s="91"/>
    </row>
    <row r="38" spans="1:17" ht="20.100000000000001" customHeight="1" x14ac:dyDescent="0.2">
      <c r="A38" s="96" t="s">
        <v>122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Nine Hundred Eighty-Four and NO/100 -----------</v>
      </c>
      <c r="C38" s="213"/>
      <c r="D38" s="97"/>
      <c r="E38" s="97"/>
      <c r="F38" s="97"/>
      <c r="G38" s="97"/>
      <c r="H38" s="97"/>
    </row>
    <row r="39" spans="1:17" x14ac:dyDescent="0.2">
      <c r="A39" s="94" t="s">
        <v>11</v>
      </c>
      <c r="B39" s="91"/>
      <c r="C39" s="91"/>
      <c r="D39" s="91"/>
      <c r="E39" s="91"/>
      <c r="F39" s="91"/>
      <c r="G39" s="91"/>
      <c r="H39" s="91"/>
    </row>
    <row r="40" spans="1:17" ht="25.5" x14ac:dyDescent="0.2">
      <c r="A40" s="61" t="s">
        <v>10</v>
      </c>
      <c r="B40" s="91"/>
      <c r="C40" s="91"/>
      <c r="D40" s="91"/>
      <c r="E40" s="91"/>
      <c r="F40" s="218" t="s">
        <v>3975</v>
      </c>
      <c r="G40" s="219"/>
      <c r="H40" s="220"/>
    </row>
    <row r="41" spans="1:17" x14ac:dyDescent="0.2">
      <c r="A41" s="91"/>
      <c r="B41" s="91"/>
      <c r="C41" s="91"/>
      <c r="D41" s="91"/>
      <c r="E41" s="91"/>
      <c r="F41" s="91"/>
      <c r="G41" s="91"/>
      <c r="H41" s="91"/>
    </row>
    <row r="42" spans="1:17" x14ac:dyDescent="0.2">
      <c r="A42" s="91"/>
      <c r="B42" s="91"/>
      <c r="C42" s="91"/>
      <c r="D42" s="91"/>
      <c r="E42" s="91"/>
      <c r="F42" s="91"/>
      <c r="G42" s="91"/>
      <c r="H42" s="91"/>
    </row>
    <row r="43" spans="1:17" x14ac:dyDescent="0.2">
      <c r="A43" s="91"/>
      <c r="B43" s="91"/>
      <c r="C43" s="91"/>
      <c r="D43" s="99"/>
      <c r="E43" s="99"/>
      <c r="F43" s="91"/>
      <c r="G43" s="91"/>
      <c r="H43" s="91"/>
    </row>
    <row r="44" spans="1:17" x14ac:dyDescent="0.2">
      <c r="A44" s="101"/>
      <c r="B44" s="101"/>
      <c r="C44" s="91"/>
      <c r="D44" s="91"/>
      <c r="E44" s="91"/>
      <c r="F44" s="91"/>
      <c r="G44" s="91"/>
      <c r="H44" s="91"/>
    </row>
    <row r="45" spans="1:17" x14ac:dyDescent="0.2">
      <c r="B45" s="91"/>
      <c r="C45" s="91"/>
      <c r="D45" s="91"/>
      <c r="E45" s="91"/>
      <c r="F45" s="91"/>
      <c r="G45" s="91"/>
      <c r="H45" s="91"/>
    </row>
    <row r="46" spans="1:17" x14ac:dyDescent="0.2">
      <c r="A46" s="98" t="s">
        <v>8</v>
      </c>
      <c r="D46" s="98"/>
      <c r="E46" s="91"/>
      <c r="F46" s="98" t="s">
        <v>7</v>
      </c>
      <c r="G46" s="91"/>
      <c r="H46" s="102"/>
    </row>
    <row r="47" spans="1:17" x14ac:dyDescent="0.2">
      <c r="A47" s="91"/>
      <c r="B47" s="91"/>
      <c r="C47" s="91"/>
      <c r="D47" s="91"/>
      <c r="E47" s="91"/>
      <c r="F47" s="91"/>
      <c r="G47" s="91"/>
      <c r="H47" s="91"/>
    </row>
    <row r="48" spans="1:17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101"/>
      <c r="B50" s="101"/>
      <c r="C50" s="91"/>
      <c r="D50" s="91"/>
      <c r="E50" s="91"/>
      <c r="F50" s="101"/>
      <c r="G50" s="101"/>
      <c r="H50" s="101"/>
    </row>
    <row r="51" spans="1:8" s="3" customFormat="1" ht="17.100000000000001" customHeight="1" x14ac:dyDescent="0.2">
      <c r="A51" s="103" t="s">
        <v>4066</v>
      </c>
      <c r="B51" s="104"/>
      <c r="C51" s="104"/>
      <c r="D51" s="103"/>
      <c r="E51" s="61"/>
      <c r="F51" s="61" t="s">
        <v>3</v>
      </c>
      <c r="G51" s="61"/>
      <c r="H51" s="61"/>
    </row>
    <row r="52" spans="1:8" x14ac:dyDescent="0.2">
      <c r="A52" s="91"/>
      <c r="B52" s="91"/>
      <c r="C52" s="91"/>
      <c r="D52" s="91"/>
      <c r="E52" s="91"/>
      <c r="F52" s="91" t="s">
        <v>2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1-000000000000}">
  <sheetPr codeName="Sheet7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1219</v>
      </c>
    </row>
    <row r="10" spans="1:6" x14ac:dyDescent="0.2">
      <c r="A10" s="1" t="s">
        <v>1218</v>
      </c>
      <c r="D10" s="20" t="s">
        <v>27</v>
      </c>
      <c r="E10" s="20" t="s">
        <v>260</v>
      </c>
    </row>
    <row r="11" spans="1:6" x14ac:dyDescent="0.2">
      <c r="A11" s="1" t="s">
        <v>1217</v>
      </c>
      <c r="D11" s="20" t="s">
        <v>24</v>
      </c>
      <c r="E11" s="20" t="s">
        <v>23</v>
      </c>
    </row>
    <row r="12" spans="1:6" x14ac:dyDescent="0.2">
      <c r="A12" s="1" t="s">
        <v>319</v>
      </c>
      <c r="D12" s="20" t="s">
        <v>22</v>
      </c>
      <c r="E12" s="20" t="s">
        <v>1216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1215</v>
      </c>
    </row>
    <row r="20" spans="1:6" x14ac:dyDescent="0.2">
      <c r="C20" s="13" t="s">
        <v>1214</v>
      </c>
    </row>
    <row r="21" spans="1:6" x14ac:dyDescent="0.2">
      <c r="C21" s="13" t="s">
        <v>1213</v>
      </c>
    </row>
    <row r="22" spans="1:6" x14ac:dyDescent="0.2">
      <c r="C22" s="12"/>
    </row>
    <row r="23" spans="1:6" x14ac:dyDescent="0.2">
      <c r="A23" s="1" t="s">
        <v>1212</v>
      </c>
      <c r="C23" s="1" t="s">
        <v>1211</v>
      </c>
      <c r="F23" s="1">
        <v>2300</v>
      </c>
    </row>
    <row r="24" spans="1:6" x14ac:dyDescent="0.2">
      <c r="C24" s="1" t="s">
        <v>1209</v>
      </c>
      <c r="F24" s="1">
        <v>200</v>
      </c>
    </row>
    <row r="25" spans="1:6" x14ac:dyDescent="0.2">
      <c r="C25" s="1" t="s">
        <v>1210</v>
      </c>
      <c r="F25" s="1">
        <v>460</v>
      </c>
    </row>
    <row r="26" spans="1:6" x14ac:dyDescent="0.2">
      <c r="C26" s="1" t="s">
        <v>1209</v>
      </c>
      <c r="F26" s="1">
        <v>10</v>
      </c>
    </row>
    <row r="27" spans="1:6" x14ac:dyDescent="0.2">
      <c r="C27" s="21"/>
    </row>
    <row r="28" spans="1:6" x14ac:dyDescent="0.2"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SUM(F19:F32)</f>
        <v>2970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1208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4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37F5-F559-40FE-95CD-79F8A8EE328B}">
  <sheetPr codeName="Sheet729"/>
  <dimension ref="A1:R56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5703125" style="91" customWidth="1"/>
    <col min="2" max="2" width="13.28515625" style="91" customWidth="1"/>
    <col min="3" max="3" width="0.5703125" style="91" customWidth="1"/>
    <col min="4" max="4" width="25.42578125" style="91" customWidth="1"/>
    <col min="5" max="5" width="1" style="91" customWidth="1"/>
    <col min="6" max="6" width="17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8801</v>
      </c>
    </row>
    <row r="10" spans="1:8" x14ac:dyDescent="0.2">
      <c r="A10" s="91" t="s">
        <v>7502</v>
      </c>
      <c r="F10" s="92" t="s">
        <v>1357</v>
      </c>
      <c r="G10" s="155" t="s">
        <v>8796</v>
      </c>
    </row>
    <row r="11" spans="1:8" x14ac:dyDescent="0.2">
      <c r="A11" s="91" t="s">
        <v>7503</v>
      </c>
      <c r="F11" s="92" t="s">
        <v>1330</v>
      </c>
      <c r="G11" s="155" t="s">
        <v>1220</v>
      </c>
    </row>
    <row r="12" spans="1:8" x14ac:dyDescent="0.2">
      <c r="A12" s="91" t="s">
        <v>7504</v>
      </c>
      <c r="F12" s="92" t="s">
        <v>1224</v>
      </c>
      <c r="G12" s="91" t="s">
        <v>8802</v>
      </c>
    </row>
    <row r="13" spans="1:8" x14ac:dyDescent="0.2">
      <c r="A13" s="91" t="s">
        <v>7505</v>
      </c>
      <c r="G13" s="91" t="s">
        <v>7762</v>
      </c>
    </row>
    <row r="14" spans="1:8" x14ac:dyDescent="0.2">
      <c r="A14" s="91" t="s">
        <v>7506</v>
      </c>
    </row>
    <row r="16" spans="1:8" s="14" customFormat="1" ht="20.100000000000001" customHeight="1" x14ac:dyDescent="0.2">
      <c r="A16" s="363" t="s">
        <v>1226</v>
      </c>
      <c r="B16" s="401" t="s">
        <v>1262</v>
      </c>
      <c r="C16" s="429"/>
      <c r="D16" s="18" t="s">
        <v>19</v>
      </c>
      <c r="E16" s="18"/>
      <c r="F16" s="17"/>
      <c r="G16" s="16"/>
      <c r="H16" s="15" t="s">
        <v>18</v>
      </c>
    </row>
    <row r="18" spans="1:18" ht="12.75" customHeight="1" x14ac:dyDescent="0.2">
      <c r="A18" s="93"/>
      <c r="D18" s="2" t="s">
        <v>6280</v>
      </c>
      <c r="E18" s="2"/>
    </row>
    <row r="19" spans="1:18" x14ac:dyDescent="0.2">
      <c r="A19" s="93"/>
      <c r="B19" s="93"/>
      <c r="C19" s="93"/>
      <c r="J19" s="91" t="s">
        <v>4732</v>
      </c>
      <c r="M19" s="91">
        <v>1020</v>
      </c>
      <c r="O19" s="91" t="s">
        <v>3859</v>
      </c>
      <c r="R19" s="91">
        <v>1575</v>
      </c>
    </row>
    <row r="20" spans="1:18" x14ac:dyDescent="0.2">
      <c r="A20" s="93" t="s">
        <v>8803</v>
      </c>
      <c r="B20" s="93" t="s">
        <v>8804</v>
      </c>
      <c r="C20" s="93"/>
      <c r="D20" s="91" t="s">
        <v>8805</v>
      </c>
      <c r="H20" s="91">
        <v>1190</v>
      </c>
      <c r="J20" s="91" t="s">
        <v>5507</v>
      </c>
      <c r="M20" s="91">
        <v>100</v>
      </c>
      <c r="O20" s="91" t="s">
        <v>127</v>
      </c>
      <c r="R20" s="91">
        <v>400</v>
      </c>
    </row>
    <row r="21" spans="1:18" x14ac:dyDescent="0.2">
      <c r="D21" s="91" t="s">
        <v>7648</v>
      </c>
      <c r="H21" s="91">
        <f>H20*6%</f>
        <v>71.399999999999991</v>
      </c>
      <c r="J21" s="91" t="s">
        <v>127</v>
      </c>
      <c r="M21" s="91">
        <v>500</v>
      </c>
      <c r="O21" s="91" t="s">
        <v>3864</v>
      </c>
      <c r="R21" s="91">
        <v>100</v>
      </c>
    </row>
    <row r="22" spans="1:18" x14ac:dyDescent="0.2">
      <c r="J22" s="91" t="s">
        <v>3864</v>
      </c>
      <c r="M22" s="91">
        <v>100</v>
      </c>
      <c r="O22" s="91" t="s">
        <v>6249</v>
      </c>
      <c r="R22" s="91">
        <v>220</v>
      </c>
    </row>
    <row r="23" spans="1:18" x14ac:dyDescent="0.2">
      <c r="A23" s="94"/>
      <c r="J23" s="91" t="s">
        <v>5508</v>
      </c>
      <c r="M23" s="91">
        <v>300</v>
      </c>
    </row>
    <row r="24" spans="1:18" x14ac:dyDescent="0.2">
      <c r="M24" s="91">
        <f>SUM(M19:M23)</f>
        <v>2020</v>
      </c>
    </row>
    <row r="25" spans="1:18" x14ac:dyDescent="0.2">
      <c r="A25" s="93"/>
      <c r="B25" s="402"/>
      <c r="C25" s="430"/>
    </row>
    <row r="26" spans="1:18" x14ac:dyDescent="0.2">
      <c r="A26" s="93"/>
      <c r="B26" s="93"/>
      <c r="C26" s="93"/>
    </row>
    <row r="27" spans="1:18" x14ac:dyDescent="0.2">
      <c r="J27" s="91" t="s">
        <v>5509</v>
      </c>
      <c r="M27" s="91">
        <v>222</v>
      </c>
    </row>
    <row r="28" spans="1:18" x14ac:dyDescent="0.2">
      <c r="B28" s="94"/>
      <c r="C28" s="94"/>
    </row>
    <row r="29" spans="1:18" x14ac:dyDescent="0.2">
      <c r="B29" s="94"/>
      <c r="C29" s="94"/>
    </row>
    <row r="30" spans="1:18" x14ac:dyDescent="0.2">
      <c r="B30" s="94"/>
      <c r="C30" s="94"/>
    </row>
    <row r="31" spans="1:18" x14ac:dyDescent="0.2">
      <c r="B31" s="94"/>
      <c r="C31" s="94"/>
    </row>
    <row r="32" spans="1:18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5" spans="1:8" x14ac:dyDescent="0.2">
      <c r="B35" s="94"/>
      <c r="C35" s="94"/>
      <c r="D35" s="143"/>
      <c r="E35" s="143"/>
      <c r="F35" s="143"/>
      <c r="G35" s="143"/>
      <c r="H35" s="143"/>
    </row>
    <row r="37" spans="1:8" ht="13.5" thickBot="1" x14ac:dyDescent="0.25">
      <c r="H37" s="95">
        <f>SUM(H19:H36)</f>
        <v>1261.4000000000001</v>
      </c>
    </row>
    <row r="38" spans="1:8" ht="13.5" thickTop="1" x14ac:dyDescent="0.2"/>
    <row r="39" spans="1:8" ht="20.100000000000001" customHeight="1" x14ac:dyDescent="0.2">
      <c r="A39" s="96" t="s">
        <v>1075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Two Hundred Sixty-One and 40/100 -----------</v>
      </c>
      <c r="C39" s="185"/>
      <c r="D39" s="97"/>
      <c r="E39" s="97"/>
      <c r="F39" s="97"/>
      <c r="G39" s="97"/>
      <c r="H39" s="97"/>
    </row>
    <row r="40" spans="1:8" x14ac:dyDescent="0.2">
      <c r="A40" s="94"/>
    </row>
    <row r="41" spans="1:8" ht="25.5" x14ac:dyDescent="0.2">
      <c r="A41" s="98" t="s">
        <v>10</v>
      </c>
      <c r="F41" s="218" t="s">
        <v>3975</v>
      </c>
      <c r="G41" s="219"/>
      <c r="H41" s="220"/>
    </row>
    <row r="42" spans="1:8" x14ac:dyDescent="0.2">
      <c r="A42" s="98"/>
    </row>
    <row r="43" spans="1:8" x14ac:dyDescent="0.2">
      <c r="A43" s="98"/>
      <c r="F43" s="227"/>
      <c r="G43" s="227"/>
      <c r="H43" s="227"/>
    </row>
    <row r="44" spans="1:8" x14ac:dyDescent="0.2">
      <c r="A44" s="98"/>
      <c r="D44" s="402"/>
      <c r="E44" s="430"/>
      <c r="F44" s="228"/>
      <c r="G44" s="229"/>
      <c r="H44" s="229"/>
    </row>
    <row r="45" spans="1:8" x14ac:dyDescent="0.2">
      <c r="A45" s="101"/>
      <c r="B45" s="101"/>
      <c r="C45" s="386"/>
    </row>
    <row r="46" spans="1:8" x14ac:dyDescent="0.2">
      <c r="A46" s="98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100"/>
      <c r="B51" s="101"/>
      <c r="C51" s="386"/>
      <c r="D51" s="100"/>
      <c r="F51" s="101"/>
      <c r="G51" s="101"/>
      <c r="H51" s="101"/>
    </row>
    <row r="52" spans="1:8" s="61" customFormat="1" ht="17.100000000000001" customHeight="1" x14ac:dyDescent="0.2">
      <c r="A52" s="98" t="s">
        <v>4066</v>
      </c>
      <c r="B52" s="104"/>
      <c r="C52" s="104"/>
      <c r="D52" s="98" t="s">
        <v>50</v>
      </c>
      <c r="F52" s="61" t="s">
        <v>3</v>
      </c>
    </row>
    <row r="53" spans="1:8" x14ac:dyDescent="0.2">
      <c r="A53" s="98"/>
      <c r="F53" s="91" t="s">
        <v>2</v>
      </c>
    </row>
    <row r="54" spans="1:8" x14ac:dyDescent="0.2">
      <c r="A54" s="98"/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46E8-6AC1-43FC-98BA-0CEFE63933A1}">
  <sheetPr codeName="Sheet750"/>
  <dimension ref="A1:S59"/>
  <sheetViews>
    <sheetView view="pageBreakPreview" zoomScaleNormal="100" zoomScaleSheetLayoutView="100" workbookViewId="0">
      <selection activeCell="H9" sqref="H9:H13"/>
    </sheetView>
  </sheetViews>
  <sheetFormatPr defaultRowHeight="12.75" x14ac:dyDescent="0.2"/>
  <cols>
    <col min="1" max="1" width="15.28515625" style="91" customWidth="1"/>
    <col min="2" max="2" width="13.140625" style="91" customWidth="1"/>
    <col min="3" max="3" width="1.28515625" style="91" customWidth="1"/>
    <col min="4" max="4" width="19.140625" style="91" customWidth="1"/>
    <col min="5" max="5" width="1.42578125" style="91" customWidth="1"/>
    <col min="6" max="6" width="14.42578125" style="91" customWidth="1"/>
    <col min="7" max="7" width="11.140625" style="91" customWidth="1"/>
    <col min="8" max="8" width="13.42578125" style="91" customWidth="1"/>
    <col min="9" max="9" width="13.28515625" style="91" customWidth="1"/>
    <col min="10" max="16384" width="9.140625" style="9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G8" s="22" t="s">
        <v>31</v>
      </c>
    </row>
    <row r="9" spans="1:19" x14ac:dyDescent="0.2">
      <c r="G9" s="92" t="s">
        <v>1393</v>
      </c>
      <c r="H9" s="91" t="s">
        <v>7989</v>
      </c>
    </row>
    <row r="10" spans="1:19" x14ac:dyDescent="0.2">
      <c r="A10" s="91" t="s">
        <v>7991</v>
      </c>
      <c r="G10" s="92" t="s">
        <v>1356</v>
      </c>
      <c r="H10" s="91" t="s">
        <v>7982</v>
      </c>
    </row>
    <row r="11" spans="1:19" x14ac:dyDescent="0.2">
      <c r="A11" s="91" t="s">
        <v>7992</v>
      </c>
      <c r="G11" s="92" t="s">
        <v>1364</v>
      </c>
      <c r="H11" s="91" t="s">
        <v>1220</v>
      </c>
    </row>
    <row r="12" spans="1:19" x14ac:dyDescent="0.2">
      <c r="A12" s="91" t="s">
        <v>7993</v>
      </c>
      <c r="G12" s="92" t="s">
        <v>1394</v>
      </c>
      <c r="H12" s="91" t="s">
        <v>7990</v>
      </c>
    </row>
    <row r="13" spans="1:19" x14ac:dyDescent="0.2">
      <c r="A13" s="91" t="s">
        <v>7994</v>
      </c>
      <c r="G13" s="92"/>
      <c r="H13" s="91" t="s">
        <v>7762</v>
      </c>
    </row>
    <row r="16" spans="1:19" s="14" customFormat="1" ht="20.100000000000001" customHeight="1" x14ac:dyDescent="0.2">
      <c r="A16" s="17" t="s">
        <v>1247</v>
      </c>
      <c r="B16" s="463" t="s">
        <v>128</v>
      </c>
      <c r="C16" s="463"/>
      <c r="D16" s="18" t="s">
        <v>19</v>
      </c>
      <c r="E16" s="18"/>
      <c r="F16" s="18"/>
      <c r="G16" s="17"/>
      <c r="H16" s="15" t="s">
        <v>18</v>
      </c>
      <c r="K16" s="93"/>
      <c r="L16" s="93"/>
      <c r="M16" s="93"/>
      <c r="N16" s="2" t="s">
        <v>6627</v>
      </c>
      <c r="O16" s="2"/>
      <c r="P16" s="2"/>
      <c r="Q16" s="91"/>
      <c r="R16" s="91"/>
      <c r="S16" s="91"/>
    </row>
    <row r="17" spans="1:18" x14ac:dyDescent="0.2">
      <c r="K17" s="93"/>
      <c r="L17" s="93"/>
      <c r="M17" s="93"/>
      <c r="N17" s="2"/>
      <c r="O17" s="2"/>
      <c r="P17" s="2"/>
    </row>
    <row r="18" spans="1:18" x14ac:dyDescent="0.2">
      <c r="A18" s="93"/>
      <c r="B18" s="93"/>
      <c r="C18" s="93"/>
      <c r="D18" s="146" t="s">
        <v>5463</v>
      </c>
      <c r="E18" s="2"/>
      <c r="F18" s="2"/>
      <c r="K18" s="93" t="s">
        <v>6628</v>
      </c>
      <c r="L18" s="93" t="s">
        <v>6629</v>
      </c>
      <c r="M18" s="464"/>
      <c r="N18" s="91" t="s">
        <v>6630</v>
      </c>
      <c r="R18" s="91">
        <f>750+390+650+390+700+420+70+100</f>
        <v>3470</v>
      </c>
    </row>
    <row r="19" spans="1:18" x14ac:dyDescent="0.2">
      <c r="A19" s="93"/>
      <c r="B19" s="93"/>
      <c r="C19" s="93"/>
      <c r="D19" s="2"/>
      <c r="E19" s="2"/>
      <c r="F19" s="2"/>
      <c r="K19" s="93"/>
      <c r="L19" s="93"/>
      <c r="M19" s="464"/>
      <c r="N19" s="91" t="s">
        <v>6631</v>
      </c>
      <c r="R19" s="91">
        <v>550</v>
      </c>
    </row>
    <row r="20" spans="1:18" x14ac:dyDescent="0.2">
      <c r="A20" s="93" t="s">
        <v>7995</v>
      </c>
      <c r="B20" s="93" t="s">
        <v>7996</v>
      </c>
      <c r="C20" s="464"/>
      <c r="D20" s="91" t="s">
        <v>7997</v>
      </c>
      <c r="H20" s="91">
        <v>25</v>
      </c>
      <c r="K20" s="93"/>
      <c r="L20" s="93"/>
      <c r="M20" s="464"/>
    </row>
    <row r="21" spans="1:18" x14ac:dyDescent="0.2">
      <c r="A21" s="93"/>
      <c r="B21" s="93"/>
      <c r="C21" s="464"/>
      <c r="M21" s="464"/>
      <c r="N21" s="91" t="s">
        <v>2147</v>
      </c>
      <c r="R21" s="91">
        <f>SUM(R18+R19)*6%</f>
        <v>241.2</v>
      </c>
    </row>
    <row r="22" spans="1:18" x14ac:dyDescent="0.2">
      <c r="A22" s="93"/>
      <c r="B22" s="93"/>
      <c r="C22" s="464"/>
      <c r="D22" s="146" t="s">
        <v>7998</v>
      </c>
      <c r="K22" s="93"/>
      <c r="L22" s="464"/>
      <c r="M22" s="464"/>
    </row>
    <row r="23" spans="1:18" x14ac:dyDescent="0.2">
      <c r="A23" s="93"/>
      <c r="B23" s="464"/>
      <c r="C23" s="464"/>
      <c r="K23" s="93"/>
      <c r="L23" s="464"/>
      <c r="M23" s="464"/>
      <c r="N23" s="2" t="s">
        <v>6632</v>
      </c>
    </row>
    <row r="24" spans="1:18" x14ac:dyDescent="0.2">
      <c r="D24" s="91" t="s">
        <v>7997</v>
      </c>
      <c r="H24" s="91">
        <v>25</v>
      </c>
      <c r="M24" s="464"/>
      <c r="N24" s="2"/>
    </row>
    <row r="25" spans="1:18" x14ac:dyDescent="0.2">
      <c r="A25" s="93"/>
      <c r="B25" s="464"/>
      <c r="C25" s="464"/>
      <c r="D25" s="2"/>
      <c r="K25" s="93" t="s">
        <v>6567</v>
      </c>
      <c r="L25" s="464" t="s">
        <v>6633</v>
      </c>
      <c r="N25" s="91" t="s">
        <v>6634</v>
      </c>
      <c r="R25" s="91">
        <f>700+300+770+330+170+100</f>
        <v>2370</v>
      </c>
    </row>
    <row r="26" spans="1:18" x14ac:dyDescent="0.2">
      <c r="A26" s="93"/>
      <c r="B26" s="464"/>
      <c r="K26" s="93"/>
      <c r="L26" s="464"/>
      <c r="M26" s="464"/>
      <c r="N26" s="91" t="s">
        <v>6631</v>
      </c>
      <c r="R26" s="91">
        <v>1122</v>
      </c>
    </row>
    <row r="27" spans="1:18" x14ac:dyDescent="0.2">
      <c r="A27" s="93"/>
      <c r="B27" s="464"/>
      <c r="D27" s="458"/>
      <c r="K27" s="93"/>
      <c r="L27" s="464"/>
      <c r="M27" s="464"/>
      <c r="N27" s="91" t="s">
        <v>2147</v>
      </c>
      <c r="R27" s="91">
        <f>SUM(R25+R26)*6%</f>
        <v>209.51999999999998</v>
      </c>
    </row>
    <row r="28" spans="1:18" x14ac:dyDescent="0.2">
      <c r="A28" s="93"/>
      <c r="B28" s="464"/>
      <c r="K28" s="93"/>
      <c r="L28" s="464"/>
      <c r="M28" s="464"/>
      <c r="N28" s="2"/>
    </row>
    <row r="29" spans="1:18" x14ac:dyDescent="0.2">
      <c r="A29" s="93"/>
      <c r="B29" s="464"/>
      <c r="C29" s="464"/>
      <c r="K29" s="93"/>
      <c r="L29" s="464"/>
      <c r="M29" s="464"/>
      <c r="N29" s="2" t="s">
        <v>6635</v>
      </c>
    </row>
    <row r="30" spans="1:18" x14ac:dyDescent="0.2">
      <c r="C30" s="464"/>
      <c r="D30" s="2"/>
      <c r="K30" s="93"/>
      <c r="L30" s="464"/>
      <c r="M30" s="464"/>
      <c r="N30" s="2"/>
    </row>
    <row r="31" spans="1:18" x14ac:dyDescent="0.2">
      <c r="C31" s="464"/>
      <c r="D31" s="2"/>
      <c r="K31" s="93" t="s">
        <v>6636</v>
      </c>
      <c r="L31" s="464" t="s">
        <v>6637</v>
      </c>
      <c r="M31" s="464"/>
      <c r="N31" s="91" t="s">
        <v>6638</v>
      </c>
      <c r="R31" s="91">
        <f>200+100+840+120+700+300+350+150</f>
        <v>2760</v>
      </c>
    </row>
    <row r="32" spans="1:18" x14ac:dyDescent="0.2">
      <c r="A32" s="93"/>
      <c r="B32" s="464"/>
      <c r="C32" s="464"/>
      <c r="K32" s="93"/>
      <c r="L32" s="464"/>
      <c r="M32" s="464"/>
    </row>
    <row r="33" spans="1:13" hidden="1" x14ac:dyDescent="0.2">
      <c r="C33" s="464"/>
      <c r="K33" s="93"/>
      <c r="L33" s="464"/>
      <c r="M33" s="464"/>
    </row>
    <row r="34" spans="1:13" hidden="1" x14ac:dyDescent="0.2">
      <c r="C34" s="464"/>
      <c r="K34" s="93"/>
      <c r="L34" s="464"/>
      <c r="M34" s="464"/>
    </row>
    <row r="35" spans="1:13" hidden="1" x14ac:dyDescent="0.2">
      <c r="C35" s="464"/>
      <c r="K35" s="93"/>
      <c r="L35" s="464"/>
      <c r="M35" s="464"/>
    </row>
    <row r="36" spans="1:13" hidden="1" x14ac:dyDescent="0.2">
      <c r="A36" s="93"/>
      <c r="B36" s="464"/>
      <c r="C36" s="464"/>
      <c r="D36" s="2"/>
      <c r="K36" s="93"/>
      <c r="L36" s="464"/>
      <c r="M36" s="464"/>
    </row>
    <row r="37" spans="1:13" hidden="1" x14ac:dyDescent="0.2">
      <c r="A37" s="93"/>
      <c r="B37" s="464"/>
      <c r="C37" s="464"/>
      <c r="D37" s="2"/>
      <c r="K37" s="93"/>
      <c r="L37" s="464"/>
      <c r="M37" s="464"/>
    </row>
    <row r="38" spans="1:13" x14ac:dyDescent="0.2">
      <c r="A38" s="93"/>
      <c r="B38" s="464"/>
      <c r="C38" s="464"/>
      <c r="K38" s="93"/>
      <c r="L38" s="464"/>
      <c r="M38" s="464"/>
    </row>
    <row r="39" spans="1:13" x14ac:dyDescent="0.2">
      <c r="A39" s="93"/>
      <c r="B39" s="464"/>
      <c r="C39" s="464"/>
      <c r="K39" s="93"/>
      <c r="L39" s="464"/>
      <c r="M39" s="464"/>
    </row>
    <row r="40" spans="1:13" x14ac:dyDescent="0.2">
      <c r="A40" s="93"/>
      <c r="B40" s="93"/>
      <c r="C40" s="93"/>
    </row>
    <row r="41" spans="1:13" ht="13.5" thickBot="1" x14ac:dyDescent="0.25">
      <c r="H41" s="95">
        <f>SUM(H18:H40)</f>
        <v>50</v>
      </c>
    </row>
    <row r="42" spans="1:13" ht="13.5" thickTop="1" x14ac:dyDescent="0.2"/>
    <row r="43" spans="1:13" ht="20.25" customHeight="1" x14ac:dyDescent="0.2">
      <c r="A43" s="96" t="s">
        <v>1465</v>
      </c>
      <c r="B43" s="185" t="str">
        <f>IF(OR(H41&gt;1000000,H41&lt;=0),"",IF(H41&lt;1000,"",IF(MOD(H41,1000000)&gt;=100000,INDEX(numbers,TRUNC(MOD(H41,1000000)/100000,0)+1)&amp;" Hundred","")&amp;IF(MOD(H41,100000)&gt;=20000," "&amp;INDEX(tens,TRUNC(MOD(H41,100000)/10000,0)+1)&amp;IF(MOD(MOD(H41,100000),10000)&gt;=1000,"-"&amp;INDEX(numbers,TRUNC(MOD(MOD(H41,100000),10000)/1000,0)+1),""),IF(MOD(H41,100000)&gt;=1000," "&amp;INDEX(numbers,TRUNC(MOD(H41,100000)/1000,0)+1),""))&amp;" Thousand") &amp; IF(H41&lt;1,"Zero Dollars",IF(MOD(H41,1000)&gt;=100," "&amp;INDEX(numbers,TRUNC(MOD(H41,1000)/100,0)+1)&amp;" Hundred","")&amp;IF(MOD(H41,100)&gt;=20," "&amp;INDEX(tens,TRUNC(MOD(H41,100)/10,0)+1)&amp;IF(MOD(MOD(H41,100),10)&gt;=1,"-"&amp;INDEX(numbers,TRUNC(MOD(MOD(H41,100),10),0)+1),""),IF(MOD(H41,100)&gt;=1," "&amp;INDEX(numbers,TRUNC(MOD(H41,100),0)+1),""))&amp;"") &amp; " and " &amp; IF(MOD(H41,1)&lt;0.005,"NO",ROUND(MOD(H41,1)*100,0)) &amp; "/100 -----------")</f>
        <v xml:space="preserve"> Fifty and NO/100 -----------</v>
      </c>
      <c r="C43" s="185"/>
      <c r="D43" s="97"/>
      <c r="E43" s="97"/>
      <c r="F43" s="236"/>
      <c r="G43" s="232"/>
      <c r="H43" s="232"/>
    </row>
    <row r="44" spans="1:13" x14ac:dyDescent="0.2">
      <c r="A44" s="94" t="s">
        <v>11</v>
      </c>
    </row>
    <row r="45" spans="1:13" ht="25.5" x14ac:dyDescent="0.2">
      <c r="A45" s="61" t="s">
        <v>10</v>
      </c>
      <c r="F45" s="218" t="s">
        <v>3975</v>
      </c>
      <c r="G45" s="219"/>
      <c r="H45" s="220"/>
    </row>
    <row r="46" spans="1:13" x14ac:dyDescent="0.2">
      <c r="F46" s="227"/>
      <c r="G46" s="227"/>
      <c r="H46" s="227"/>
    </row>
    <row r="47" spans="1:13" x14ac:dyDescent="0.2">
      <c r="F47" s="228"/>
      <c r="G47" s="229"/>
      <c r="H47" s="229"/>
    </row>
    <row r="49" spans="1:8" s="61" customFormat="1" ht="17.100000000000001" customHeight="1" x14ac:dyDescent="0.2">
      <c r="A49" s="101"/>
      <c r="B49" s="101"/>
      <c r="C49" s="91"/>
      <c r="D49" s="91"/>
      <c r="E49" s="91"/>
      <c r="F49" s="91"/>
      <c r="G49" s="91"/>
      <c r="H49" s="91"/>
    </row>
    <row r="50" spans="1:8" x14ac:dyDescent="0.2">
      <c r="G50" s="102"/>
    </row>
    <row r="51" spans="1:8" x14ac:dyDescent="0.2">
      <c r="A51" s="98" t="s">
        <v>8</v>
      </c>
      <c r="D51" s="98" t="s">
        <v>8</v>
      </c>
      <c r="F51" s="98" t="s">
        <v>7</v>
      </c>
    </row>
    <row r="55" spans="1:8" x14ac:dyDescent="0.2">
      <c r="A55" s="101"/>
      <c r="B55" s="101"/>
      <c r="D55" s="101"/>
      <c r="F55" s="101"/>
      <c r="G55" s="101"/>
      <c r="H55" s="101"/>
    </row>
    <row r="56" spans="1:8" x14ac:dyDescent="0.2">
      <c r="A56" s="91" t="s">
        <v>4066</v>
      </c>
      <c r="B56" s="104"/>
      <c r="C56" s="104"/>
      <c r="D56" s="91" t="s">
        <v>50</v>
      </c>
      <c r="E56" s="61"/>
      <c r="F56" s="61" t="s">
        <v>3</v>
      </c>
      <c r="H56" s="61"/>
    </row>
    <row r="57" spans="1:8" x14ac:dyDescent="0.2">
      <c r="F57" s="91" t="s">
        <v>2</v>
      </c>
    </row>
    <row r="59" spans="1:8" x14ac:dyDescent="0.2">
      <c r="F59" s="2" t="s">
        <v>1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>
    <oddFooter>Page &amp;P of &amp;N</oddFooter>
  </headerFooter>
</worksheet>
</file>

<file path=xl/worksheets/sheet4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649C-468C-4771-9C01-4F2DE2DB1918}">
  <sheetPr codeName="Sheet724"/>
  <dimension ref="A1:G57"/>
  <sheetViews>
    <sheetView workbookViewId="0">
      <selection activeCell="F34" sqref="F34"/>
    </sheetView>
  </sheetViews>
  <sheetFormatPr defaultRowHeight="12.75" x14ac:dyDescent="0.2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5.140625" style="1" customWidth="1"/>
    <col min="8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7" x14ac:dyDescent="0.2">
      <c r="A2" s="522" t="s">
        <v>33</v>
      </c>
      <c r="B2" s="522"/>
      <c r="C2" s="522"/>
      <c r="D2" s="522"/>
      <c r="E2" s="522"/>
      <c r="F2" s="522"/>
      <c r="G2" s="522"/>
    </row>
    <row r="3" spans="1:7" x14ac:dyDescent="0.2">
      <c r="A3" s="522" t="s">
        <v>1829</v>
      </c>
      <c r="B3" s="522"/>
      <c r="C3" s="522"/>
      <c r="D3" s="522"/>
      <c r="E3" s="522"/>
      <c r="F3" s="522"/>
      <c r="G3" s="522"/>
    </row>
    <row r="4" spans="1:7" x14ac:dyDescent="0.2">
      <c r="A4" s="522" t="s">
        <v>1828</v>
      </c>
      <c r="B4" s="522"/>
      <c r="C4" s="522"/>
      <c r="D4" s="522"/>
      <c r="E4" s="522"/>
      <c r="F4" s="522"/>
      <c r="G4" s="522"/>
    </row>
    <row r="7" spans="1:7" s="91" customFormat="1" x14ac:dyDescent="0.2"/>
    <row r="8" spans="1:7" s="91" customFormat="1" x14ac:dyDescent="0.2">
      <c r="A8" s="91" t="s">
        <v>32</v>
      </c>
      <c r="F8" s="22" t="s">
        <v>31</v>
      </c>
    </row>
    <row r="9" spans="1:7" s="91" customFormat="1" x14ac:dyDescent="0.2">
      <c r="F9" s="92" t="s">
        <v>1705</v>
      </c>
      <c r="G9" s="91" t="s">
        <v>7419</v>
      </c>
    </row>
    <row r="10" spans="1:7" s="91" customFormat="1" x14ac:dyDescent="0.2">
      <c r="A10" s="91" t="s">
        <v>7420</v>
      </c>
      <c r="F10" s="92" t="s">
        <v>1706</v>
      </c>
      <c r="G10" s="91" t="s">
        <v>7408</v>
      </c>
    </row>
    <row r="11" spans="1:7" s="91" customFormat="1" x14ac:dyDescent="0.2">
      <c r="A11" s="91" t="s">
        <v>7421</v>
      </c>
      <c r="F11" s="92" t="s">
        <v>1707</v>
      </c>
      <c r="G11" s="91" t="s">
        <v>1220</v>
      </c>
    </row>
    <row r="12" spans="1:7" s="91" customFormat="1" x14ac:dyDescent="0.2">
      <c r="F12" s="92" t="s">
        <v>1355</v>
      </c>
      <c r="G12" s="91" t="s">
        <v>770</v>
      </c>
    </row>
    <row r="13" spans="1:7" s="91" customFormat="1" x14ac:dyDescent="0.2"/>
    <row r="14" spans="1:7" s="91" customFormat="1" x14ac:dyDescent="0.2"/>
    <row r="15" spans="1:7" s="91" customFormat="1" x14ac:dyDescent="0.2"/>
    <row r="16" spans="1:7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5" t="s">
        <v>18</v>
      </c>
    </row>
    <row r="17" spans="1:7" s="91" customFormat="1" x14ac:dyDescent="0.2"/>
    <row r="18" spans="1:7" s="91" customFormat="1" x14ac:dyDescent="0.2">
      <c r="A18" s="93"/>
      <c r="B18" s="99"/>
      <c r="C18" s="99"/>
      <c r="D18" s="2" t="s">
        <v>7413</v>
      </c>
    </row>
    <row r="19" spans="1:7" s="91" customFormat="1" x14ac:dyDescent="0.2"/>
    <row r="20" spans="1:7" s="91" customFormat="1" x14ac:dyDescent="0.2">
      <c r="A20" s="93" t="s">
        <v>11</v>
      </c>
      <c r="B20" s="93"/>
      <c r="C20" s="93"/>
      <c r="D20" s="91" t="s">
        <v>7422</v>
      </c>
      <c r="G20" s="91">
        <f>1335.58*4.1385</f>
        <v>5527.2978299999995</v>
      </c>
    </row>
    <row r="21" spans="1:7" s="91" customFormat="1" x14ac:dyDescent="0.2">
      <c r="D21" s="91" t="s">
        <v>7423</v>
      </c>
      <c r="G21" s="91">
        <f>1513.65*4.1385</f>
        <v>6264.2405250000002</v>
      </c>
    </row>
    <row r="22" spans="1:7" s="91" customFormat="1" x14ac:dyDescent="0.2">
      <c r="A22" s="93"/>
      <c r="B22" s="93"/>
      <c r="C22" s="93"/>
    </row>
    <row r="23" spans="1:7" s="91" customFormat="1" x14ac:dyDescent="0.2">
      <c r="D23" s="91" t="s">
        <v>52</v>
      </c>
      <c r="G23" s="91">
        <v>30</v>
      </c>
    </row>
    <row r="24" spans="1:7" s="91" customFormat="1" x14ac:dyDescent="0.2">
      <c r="A24" s="93"/>
      <c r="B24" s="93"/>
      <c r="C24" s="93"/>
    </row>
    <row r="25" spans="1:7" s="91" customFormat="1" x14ac:dyDescent="0.2"/>
    <row r="26" spans="1:7" s="91" customFormat="1" x14ac:dyDescent="0.2"/>
    <row r="27" spans="1:7" s="91" customFormat="1" x14ac:dyDescent="0.2"/>
    <row r="28" spans="1:7" s="91" customFormat="1" x14ac:dyDescent="0.2"/>
    <row r="29" spans="1:7" s="91" customFormat="1" x14ac:dyDescent="0.2">
      <c r="B29" s="94"/>
      <c r="C29" s="94"/>
    </row>
    <row r="30" spans="1:7" s="91" customFormat="1" x14ac:dyDescent="0.2">
      <c r="B30" s="94"/>
      <c r="C30" s="94"/>
    </row>
    <row r="31" spans="1:7" s="91" customFormat="1" x14ac:dyDescent="0.2">
      <c r="B31" s="94"/>
      <c r="C31" s="94"/>
    </row>
    <row r="32" spans="1:7" s="91" customFormat="1" x14ac:dyDescent="0.2"/>
    <row r="33" spans="1:7" s="91" customFormat="1" x14ac:dyDescent="0.2"/>
    <row r="34" spans="1:7" s="91" customFormat="1" x14ac:dyDescent="0.2"/>
    <row r="35" spans="1:7" s="91" customFormat="1" ht="13.5" thickBot="1" x14ac:dyDescent="0.25">
      <c r="G35" s="95">
        <f>SUM(G18:G33)</f>
        <v>11821.538355000001</v>
      </c>
    </row>
    <row r="36" spans="1:7" s="91" customFormat="1" ht="13.5" thickTop="1" x14ac:dyDescent="0.2">
      <c r="G36" s="101"/>
    </row>
    <row r="37" spans="1:7" s="91" customFormat="1" ht="20.100000000000001" customHeight="1" x14ac:dyDescent="0.2">
      <c r="A37" s="96" t="s">
        <v>336</v>
      </c>
      <c r="B37" s="185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Eleven Thousand Eight Hundred Twenty-One and 54/100 -----------</v>
      </c>
      <c r="C37" s="185"/>
      <c r="D37" s="97"/>
      <c r="E37" s="97"/>
      <c r="F37" s="97"/>
      <c r="G37" s="207"/>
    </row>
    <row r="38" spans="1:7" s="91" customFormat="1" x14ac:dyDescent="0.2">
      <c r="A38" s="94" t="s">
        <v>11</v>
      </c>
    </row>
    <row r="39" spans="1:7" s="91" customFormat="1" ht="25.5" x14ac:dyDescent="0.2">
      <c r="A39" s="91" t="s">
        <v>10</v>
      </c>
      <c r="F39" s="218" t="s">
        <v>3975</v>
      </c>
      <c r="G39" s="220"/>
    </row>
    <row r="40" spans="1:7" s="91" customFormat="1" x14ac:dyDescent="0.2">
      <c r="B40" s="386"/>
      <c r="C40" s="386"/>
    </row>
    <row r="41" spans="1:7" s="91" customFormat="1" x14ac:dyDescent="0.2">
      <c r="B41" s="386"/>
      <c r="C41" s="386"/>
      <c r="F41" s="227"/>
      <c r="G41" s="227"/>
    </row>
    <row r="42" spans="1:7" s="91" customFormat="1" x14ac:dyDescent="0.2">
      <c r="B42" s="386"/>
      <c r="C42" s="386"/>
      <c r="F42" s="228"/>
      <c r="G42" s="229"/>
    </row>
    <row r="43" spans="1:7" s="91" customFormat="1" x14ac:dyDescent="0.2">
      <c r="A43" s="101"/>
      <c r="B43" s="101"/>
      <c r="C43" s="386"/>
    </row>
    <row r="44" spans="1:7" s="91" customFormat="1" x14ac:dyDescent="0.2">
      <c r="B44" s="386"/>
      <c r="C44" s="386"/>
    </row>
    <row r="45" spans="1:7" s="91" customFormat="1" x14ac:dyDescent="0.2">
      <c r="A45" s="98" t="s">
        <v>8</v>
      </c>
      <c r="B45" s="98"/>
      <c r="C45" s="386"/>
      <c r="D45" s="98" t="s">
        <v>8</v>
      </c>
      <c r="F45" s="98" t="s">
        <v>7</v>
      </c>
      <c r="G45" s="102"/>
    </row>
    <row r="46" spans="1:7" s="91" customFormat="1" x14ac:dyDescent="0.2">
      <c r="C46" s="386"/>
    </row>
    <row r="47" spans="1:7" s="91" customFormat="1" x14ac:dyDescent="0.2">
      <c r="C47" s="386"/>
    </row>
    <row r="48" spans="1:7" s="91" customFormat="1" x14ac:dyDescent="0.2">
      <c r="C48" s="386"/>
    </row>
    <row r="49" spans="1:7" s="91" customFormat="1" x14ac:dyDescent="0.2">
      <c r="A49" s="101"/>
      <c r="B49" s="101"/>
      <c r="C49" s="386"/>
      <c r="D49" s="101"/>
      <c r="F49" s="101"/>
      <c r="G49" s="101"/>
    </row>
    <row r="50" spans="1:7" s="61" customFormat="1" ht="17.100000000000001" customHeight="1" x14ac:dyDescent="0.2">
      <c r="A50" s="103" t="s">
        <v>4047</v>
      </c>
      <c r="B50" s="103"/>
      <c r="C50" s="387"/>
      <c r="D50" s="103" t="s">
        <v>50</v>
      </c>
      <c r="F50" s="61" t="s">
        <v>3</v>
      </c>
    </row>
    <row r="51" spans="1:7" s="91" customFormat="1" x14ac:dyDescent="0.2">
      <c r="B51" s="386"/>
      <c r="C51" s="386"/>
      <c r="F51" s="91" t="s">
        <v>2</v>
      </c>
    </row>
    <row r="52" spans="1:7" s="91" customFormat="1" x14ac:dyDescent="0.2">
      <c r="B52" s="386"/>
      <c r="C52" s="386"/>
    </row>
    <row r="53" spans="1:7" s="91" customFormat="1" x14ac:dyDescent="0.2">
      <c r="B53" s="386"/>
      <c r="C53" s="386"/>
      <c r="F53" s="2" t="s">
        <v>1</v>
      </c>
    </row>
    <row r="54" spans="1:7" s="91" customFormat="1" x14ac:dyDescent="0.2">
      <c r="F54" s="2" t="s">
        <v>0</v>
      </c>
    </row>
    <row r="55" spans="1:7" s="91" customFormat="1" x14ac:dyDescent="0.2"/>
    <row r="56" spans="1:7" s="91" customFormat="1" x14ac:dyDescent="0.2"/>
    <row r="57" spans="1:7" s="91" customFormat="1" x14ac:dyDescent="0.2"/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E3FD-252F-4FD9-87AB-31EA8A6E22FF}">
  <sheetPr codeName="Sheet725"/>
  <dimension ref="A1:G55"/>
  <sheetViews>
    <sheetView topLeftCell="A13" workbookViewId="0">
      <selection activeCell="F34" sqref="F34"/>
    </sheetView>
  </sheetViews>
  <sheetFormatPr defaultRowHeight="12.75" x14ac:dyDescent="0.2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3.28515625" style="1" customWidth="1"/>
    <col min="8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7" x14ac:dyDescent="0.2">
      <c r="A2" s="522" t="s">
        <v>33</v>
      </c>
      <c r="B2" s="522"/>
      <c r="C2" s="522"/>
      <c r="D2" s="522"/>
      <c r="E2" s="522"/>
      <c r="F2" s="522"/>
      <c r="G2" s="522"/>
    </row>
    <row r="3" spans="1:7" x14ac:dyDescent="0.2">
      <c r="A3" s="522" t="s">
        <v>1829</v>
      </c>
      <c r="B3" s="522"/>
      <c r="C3" s="522"/>
      <c r="D3" s="522"/>
      <c r="E3" s="522"/>
      <c r="F3" s="522"/>
      <c r="G3" s="522"/>
    </row>
    <row r="4" spans="1:7" x14ac:dyDescent="0.2">
      <c r="A4" s="522" t="s">
        <v>1828</v>
      </c>
      <c r="B4" s="522"/>
      <c r="C4" s="522"/>
      <c r="D4" s="522"/>
      <c r="E4" s="522"/>
      <c r="F4" s="522"/>
      <c r="G4" s="522"/>
    </row>
    <row r="7" spans="1:7" s="91" customFormat="1" x14ac:dyDescent="0.2"/>
    <row r="8" spans="1:7" s="91" customFormat="1" x14ac:dyDescent="0.2">
      <c r="A8" s="91" t="s">
        <v>32</v>
      </c>
      <c r="F8" s="22" t="s">
        <v>31</v>
      </c>
    </row>
    <row r="9" spans="1:7" s="91" customFormat="1" x14ac:dyDescent="0.2">
      <c r="F9" s="92" t="s">
        <v>1705</v>
      </c>
      <c r="G9" s="91" t="s">
        <v>7405</v>
      </c>
    </row>
    <row r="10" spans="1:7" s="91" customFormat="1" x14ac:dyDescent="0.2">
      <c r="A10" s="91" t="s">
        <v>7399</v>
      </c>
      <c r="F10" s="92" t="s">
        <v>1706</v>
      </c>
      <c r="G10" s="91" t="s">
        <v>7406</v>
      </c>
    </row>
    <row r="11" spans="1:7" s="91" customFormat="1" x14ac:dyDescent="0.2">
      <c r="A11" s="91" t="s">
        <v>7400</v>
      </c>
      <c r="F11" s="92" t="s">
        <v>1707</v>
      </c>
      <c r="G11" s="91" t="s">
        <v>1220</v>
      </c>
    </row>
    <row r="12" spans="1:7" s="91" customFormat="1" x14ac:dyDescent="0.2">
      <c r="A12" s="91" t="s">
        <v>7401</v>
      </c>
      <c r="F12" s="92" t="s">
        <v>1355</v>
      </c>
      <c r="G12" s="91" t="s">
        <v>770</v>
      </c>
    </row>
    <row r="13" spans="1:7" s="91" customFormat="1" x14ac:dyDescent="0.2"/>
    <row r="14" spans="1:7" s="91" customFormat="1" x14ac:dyDescent="0.2"/>
    <row r="15" spans="1:7" s="91" customFormat="1" x14ac:dyDescent="0.2"/>
    <row r="16" spans="1:7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5" t="s">
        <v>18</v>
      </c>
    </row>
    <row r="17" spans="1:7" s="91" customFormat="1" x14ac:dyDescent="0.2"/>
    <row r="18" spans="1:7" s="91" customFormat="1" x14ac:dyDescent="0.2">
      <c r="A18" s="93"/>
      <c r="B18" s="99"/>
      <c r="C18" s="99"/>
      <c r="D18" s="2" t="s">
        <v>7402</v>
      </c>
    </row>
    <row r="19" spans="1:7" s="91" customFormat="1" x14ac:dyDescent="0.2"/>
    <row r="20" spans="1:7" s="91" customFormat="1" x14ac:dyDescent="0.2">
      <c r="A20" s="93" t="s">
        <v>7237</v>
      </c>
      <c r="B20" s="93" t="s">
        <v>7403</v>
      </c>
      <c r="C20" s="93"/>
      <c r="D20" s="91" t="s">
        <v>7404</v>
      </c>
      <c r="G20" s="91">
        <f>7128*4.1323</f>
        <v>29455.0344</v>
      </c>
    </row>
    <row r="21" spans="1:7" s="91" customFormat="1" x14ac:dyDescent="0.2"/>
    <row r="22" spans="1:7" s="91" customFormat="1" x14ac:dyDescent="0.2">
      <c r="A22" s="93"/>
      <c r="B22" s="93"/>
      <c r="C22" s="93"/>
      <c r="D22" s="91" t="s">
        <v>52</v>
      </c>
      <c r="G22" s="91">
        <v>30</v>
      </c>
    </row>
    <row r="23" spans="1:7" s="91" customFormat="1" x14ac:dyDescent="0.2"/>
    <row r="24" spans="1:7" s="91" customFormat="1" x14ac:dyDescent="0.2">
      <c r="A24" s="93"/>
      <c r="B24" s="93"/>
      <c r="C24" s="93"/>
    </row>
    <row r="25" spans="1:7" s="91" customFormat="1" x14ac:dyDescent="0.2"/>
    <row r="26" spans="1:7" s="91" customFormat="1" x14ac:dyDescent="0.2"/>
    <row r="27" spans="1:7" s="91" customFormat="1" x14ac:dyDescent="0.2">
      <c r="B27" s="94"/>
      <c r="C27" s="94"/>
    </row>
    <row r="28" spans="1:7" s="91" customFormat="1" x14ac:dyDescent="0.2">
      <c r="B28" s="94"/>
      <c r="C28" s="94"/>
    </row>
    <row r="29" spans="1:7" s="91" customFormat="1" x14ac:dyDescent="0.2">
      <c r="B29" s="94"/>
      <c r="C29" s="94"/>
    </row>
    <row r="30" spans="1:7" s="91" customFormat="1" x14ac:dyDescent="0.2"/>
    <row r="31" spans="1:7" s="91" customFormat="1" x14ac:dyDescent="0.2"/>
    <row r="32" spans="1:7" s="91" customFormat="1" x14ac:dyDescent="0.2"/>
    <row r="33" spans="1:7" s="91" customFormat="1" ht="13.5" thickBot="1" x14ac:dyDescent="0.25">
      <c r="G33" s="95">
        <f>SUM(G18:G31)</f>
        <v>29485.0344</v>
      </c>
    </row>
    <row r="34" spans="1:7" s="91" customFormat="1" ht="13.5" thickTop="1" x14ac:dyDescent="0.2">
      <c r="G34" s="101"/>
    </row>
    <row r="35" spans="1:7" s="91" customFormat="1" ht="20.100000000000001" customHeight="1" x14ac:dyDescent="0.2">
      <c r="A35" s="96" t="s">
        <v>336</v>
      </c>
      <c r="B35" s="185" t="str">
        <f>IF(OR(G33&gt;1000000,G33&lt;=0),"",IF(G33&lt;1000,"",IF(MOD(G33,1000000)&gt;=100000,INDEX(numbers,TRUNC(MOD(G33,1000000)/100000,0)+1)&amp;" Hundred","")&amp;IF(MOD(G33,100000)&gt;=20000," "&amp;INDEX(tens,TRUNC(MOD(G33,100000)/10000,0)+1)&amp;IF(MOD(MOD(G33,100000),10000)&gt;=1000,"-"&amp;INDEX(numbers,TRUNC(MOD(MOD(G33,100000),10000)/1000,0)+1),""),IF(MOD(G33,100000)&gt;=1000," "&amp;INDEX(numbers,TRUNC(MOD(G33,100000)/1000,0)+1),""))&amp;" Thousand") &amp; IF(G33&lt;1,"Zero Dollars",IF(MOD(G33,1000)&gt;=100," "&amp;INDEX(numbers,TRUNC(MOD(G33,1000)/100,0)+1)&amp;" Hundred","")&amp;IF(MOD(G33,100)&gt;=20," "&amp;INDEX(tens,TRUNC(MOD(G33,100)/10,0)+1)&amp;IF(MOD(MOD(G33,100),10)&gt;=1,"-"&amp;INDEX(numbers,TRUNC(MOD(MOD(G33,100),10),0)+1),""),IF(MOD(G33,100)&gt;=1," "&amp;INDEX(numbers,TRUNC(MOD(G33,100),0)+1),""))&amp;"") &amp; " and " &amp; IF(MOD(G33,1)&lt;0.005,"NO",ROUND(MOD(G33,1)*100,0)) &amp; "/100 -----------")</f>
        <v xml:space="preserve"> Twenty-Nine Thousand Four Hundred Eighty-Five and 3/100 -----------</v>
      </c>
      <c r="C35" s="185"/>
      <c r="D35" s="97"/>
      <c r="E35" s="97"/>
      <c r="F35" s="97"/>
      <c r="G35" s="207"/>
    </row>
    <row r="36" spans="1:7" s="91" customFormat="1" x14ac:dyDescent="0.2">
      <c r="A36" s="94" t="s">
        <v>11</v>
      </c>
    </row>
    <row r="37" spans="1:7" s="91" customFormat="1" ht="25.5" x14ac:dyDescent="0.2">
      <c r="A37" s="91" t="s">
        <v>10</v>
      </c>
      <c r="F37" s="218" t="s">
        <v>3975</v>
      </c>
      <c r="G37" s="220"/>
    </row>
    <row r="38" spans="1:7" s="91" customFormat="1" x14ac:dyDescent="0.2">
      <c r="B38" s="386"/>
      <c r="C38" s="386"/>
    </row>
    <row r="39" spans="1:7" s="91" customFormat="1" x14ac:dyDescent="0.2">
      <c r="B39" s="386"/>
      <c r="C39" s="386"/>
      <c r="F39" s="227"/>
      <c r="G39" s="227"/>
    </row>
    <row r="40" spans="1:7" s="91" customFormat="1" x14ac:dyDescent="0.2">
      <c r="B40" s="386"/>
      <c r="C40" s="386"/>
      <c r="F40" s="228"/>
      <c r="G40" s="229"/>
    </row>
    <row r="41" spans="1:7" s="91" customFormat="1" x14ac:dyDescent="0.2">
      <c r="A41" s="101"/>
      <c r="B41" s="101"/>
      <c r="C41" s="386"/>
    </row>
    <row r="42" spans="1:7" s="91" customFormat="1" x14ac:dyDescent="0.2">
      <c r="B42" s="386"/>
      <c r="C42" s="386"/>
    </row>
    <row r="43" spans="1:7" s="91" customFormat="1" x14ac:dyDescent="0.2">
      <c r="A43" s="98" t="s">
        <v>8</v>
      </c>
      <c r="B43" s="98"/>
      <c r="C43" s="386"/>
      <c r="D43" s="98" t="s">
        <v>8</v>
      </c>
      <c r="F43" s="98" t="s">
        <v>7</v>
      </c>
      <c r="G43" s="102"/>
    </row>
    <row r="44" spans="1:7" s="91" customFormat="1" x14ac:dyDescent="0.2">
      <c r="C44" s="386"/>
    </row>
    <row r="45" spans="1:7" s="91" customFormat="1" x14ac:dyDescent="0.2">
      <c r="C45" s="386"/>
    </row>
    <row r="46" spans="1:7" s="91" customFormat="1" x14ac:dyDescent="0.2">
      <c r="C46" s="386"/>
    </row>
    <row r="47" spans="1:7" s="91" customFormat="1" x14ac:dyDescent="0.2">
      <c r="A47" s="101"/>
      <c r="B47" s="101"/>
      <c r="C47" s="386"/>
      <c r="D47" s="101"/>
      <c r="F47" s="101"/>
      <c r="G47" s="101"/>
    </row>
    <row r="48" spans="1:7" s="61" customFormat="1" ht="17.100000000000001" customHeight="1" x14ac:dyDescent="0.2">
      <c r="A48" s="103" t="s">
        <v>4047</v>
      </c>
      <c r="B48" s="103"/>
      <c r="C48" s="387"/>
      <c r="D48" s="103" t="s">
        <v>50</v>
      </c>
      <c r="F48" s="61" t="s">
        <v>3</v>
      </c>
    </row>
    <row r="49" spans="2:6" s="91" customFormat="1" x14ac:dyDescent="0.2">
      <c r="B49" s="386"/>
      <c r="C49" s="386"/>
      <c r="F49" s="91" t="s">
        <v>2</v>
      </c>
    </row>
    <row r="50" spans="2:6" s="91" customFormat="1" x14ac:dyDescent="0.2">
      <c r="B50" s="386"/>
      <c r="C50" s="386"/>
    </row>
    <row r="51" spans="2:6" s="91" customFormat="1" x14ac:dyDescent="0.2">
      <c r="B51" s="386"/>
      <c r="C51" s="386"/>
      <c r="F51" s="2" t="s">
        <v>1</v>
      </c>
    </row>
    <row r="52" spans="2:6" s="91" customFormat="1" x14ac:dyDescent="0.2">
      <c r="F52" s="2" t="s">
        <v>0</v>
      </c>
    </row>
    <row r="53" spans="2:6" s="91" customFormat="1" x14ac:dyDescent="0.2"/>
    <row r="54" spans="2:6" s="91" customFormat="1" x14ac:dyDescent="0.2"/>
    <row r="55" spans="2:6" s="91" customFormat="1" x14ac:dyDescent="0.2"/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1-000000000000}">
  <sheetPr codeName="Sheet585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5767</v>
      </c>
      <c r="D9" s="92" t="s">
        <v>1317</v>
      </c>
      <c r="E9" s="155" t="s">
        <v>5765</v>
      </c>
    </row>
    <row r="10" spans="1:14" x14ac:dyDescent="0.2">
      <c r="A10" s="91" t="s">
        <v>5768</v>
      </c>
      <c r="D10" s="92" t="s">
        <v>1329</v>
      </c>
      <c r="E10" s="155" t="s">
        <v>5764</v>
      </c>
    </row>
    <row r="11" spans="1:14" x14ac:dyDescent="0.2">
      <c r="A11" s="91" t="s">
        <v>5769</v>
      </c>
      <c r="D11" s="92" t="s">
        <v>1330</v>
      </c>
      <c r="E11" s="155" t="s">
        <v>1220</v>
      </c>
    </row>
    <row r="12" spans="1:14" x14ac:dyDescent="0.2">
      <c r="A12" s="91" t="s">
        <v>1516</v>
      </c>
      <c r="D12" s="92" t="s">
        <v>1331</v>
      </c>
      <c r="E12" s="91" t="s">
        <v>5766</v>
      </c>
    </row>
    <row r="13" spans="1:14" x14ac:dyDescent="0.2">
      <c r="A13" s="91" t="s">
        <v>5770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/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5708</v>
      </c>
      <c r="K18" s="91"/>
      <c r="L18" s="91"/>
      <c r="M18" s="91"/>
      <c r="N18" s="91"/>
    </row>
    <row r="19" spans="1:14" x14ac:dyDescent="0.2">
      <c r="A19" s="93"/>
      <c r="B19" s="93"/>
      <c r="K19" s="91"/>
      <c r="L19" s="91"/>
      <c r="M19" s="91"/>
      <c r="N19" s="91"/>
    </row>
    <row r="20" spans="1:14" x14ac:dyDescent="0.2">
      <c r="A20" s="93" t="s">
        <v>5741</v>
      </c>
      <c r="B20" s="93" t="s">
        <v>5771</v>
      </c>
      <c r="C20" s="91" t="s">
        <v>5772</v>
      </c>
      <c r="F20" s="91">
        <v>210</v>
      </c>
      <c r="K20" s="91"/>
      <c r="L20" s="91"/>
      <c r="M20" s="91"/>
      <c r="N20" s="91"/>
    </row>
    <row r="21" spans="1:14" x14ac:dyDescent="0.2">
      <c r="A21" s="93"/>
      <c r="B21" s="93"/>
      <c r="C21" s="91" t="s">
        <v>5773</v>
      </c>
      <c r="K21" s="91"/>
      <c r="L21" s="91"/>
      <c r="M21" s="91"/>
      <c r="N21" s="91"/>
    </row>
    <row r="22" spans="1:14" x14ac:dyDescent="0.2">
      <c r="A22" s="93"/>
      <c r="B22" s="93"/>
      <c r="C22" s="91" t="s">
        <v>5776</v>
      </c>
      <c r="F22" s="91">
        <v>200</v>
      </c>
      <c r="K22" s="91"/>
      <c r="L22" s="91"/>
      <c r="M22" s="91"/>
      <c r="N22" s="91"/>
    </row>
    <row r="23" spans="1:14" x14ac:dyDescent="0.2">
      <c r="A23" s="93"/>
      <c r="B23" s="93"/>
      <c r="C23" s="91" t="s">
        <v>5774</v>
      </c>
      <c r="F23" s="91">
        <v>400</v>
      </c>
      <c r="K23" s="91"/>
      <c r="L23" s="91"/>
      <c r="M23" s="91"/>
      <c r="N23" s="91"/>
    </row>
    <row r="24" spans="1:14" x14ac:dyDescent="0.2">
      <c r="C24" s="91" t="s">
        <v>5775</v>
      </c>
      <c r="K24" s="91"/>
      <c r="L24" s="91"/>
      <c r="M24" s="91"/>
      <c r="N24" s="91"/>
    </row>
    <row r="25" spans="1:14" x14ac:dyDescent="0.2">
      <c r="A25" s="93"/>
      <c r="B25" s="93"/>
      <c r="C25" s="91" t="s">
        <v>2147</v>
      </c>
      <c r="D25" s="1"/>
      <c r="E25" s="1"/>
      <c r="F25" s="91">
        <f>SUM(F20+F22+F23)*6%</f>
        <v>48.6</v>
      </c>
      <c r="K25" s="91"/>
      <c r="L25" s="91"/>
      <c r="M25" s="91"/>
      <c r="N25" s="91"/>
    </row>
    <row r="26" spans="1:14" x14ac:dyDescent="0.2">
      <c r="A26" s="93"/>
      <c r="B26" s="93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858.6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 Hundred Fifty-Eight and 60/100 -----------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D52E-1A67-4DFB-9486-2EA95BCF5959}">
  <sheetPr codeName="Sheet702">
    <pageSetUpPr fitToPage="1"/>
  </sheetPr>
  <dimension ref="A1:P55"/>
  <sheetViews>
    <sheetView topLeftCell="A15" zoomScaleNormal="100" workbookViewId="0">
      <selection activeCell="M28" sqref="M28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5" width="9.140625" style="1"/>
    <col min="16" max="16" width="10.42578125" style="1" bestFit="1" customWidth="1"/>
    <col min="17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1334</v>
      </c>
      <c r="G9" s="153" t="s">
        <v>8882</v>
      </c>
      <c r="I9" s="61"/>
    </row>
    <row r="10" spans="1:16" x14ac:dyDescent="0.2">
      <c r="A10" s="91" t="s">
        <v>7175</v>
      </c>
      <c r="F10" s="92" t="s">
        <v>1335</v>
      </c>
      <c r="G10" s="155" t="s">
        <v>8852</v>
      </c>
      <c r="I10" s="113"/>
    </row>
    <row r="11" spans="1:16" x14ac:dyDescent="0.2">
      <c r="A11" s="91" t="s">
        <v>7582</v>
      </c>
      <c r="F11" s="92" t="s">
        <v>1333</v>
      </c>
      <c r="G11" s="155" t="s">
        <v>1220</v>
      </c>
      <c r="I11" s="113"/>
    </row>
    <row r="12" spans="1:16" x14ac:dyDescent="0.2">
      <c r="F12" s="92" t="s">
        <v>1331</v>
      </c>
      <c r="G12" s="155" t="s">
        <v>8883</v>
      </c>
      <c r="I12" s="113"/>
      <c r="L12" s="91" t="s">
        <v>7249</v>
      </c>
      <c r="M12" s="91"/>
      <c r="N12" s="91"/>
      <c r="O12" s="91"/>
      <c r="P12" s="91">
        <v>15375</v>
      </c>
    </row>
    <row r="13" spans="1:16" x14ac:dyDescent="0.2">
      <c r="G13" s="153"/>
      <c r="L13" s="91" t="s">
        <v>7250</v>
      </c>
      <c r="M13" s="91"/>
      <c r="N13" s="91"/>
      <c r="O13" s="91"/>
      <c r="P13" s="91"/>
    </row>
    <row r="14" spans="1:16" x14ac:dyDescent="0.2">
      <c r="L14" s="91"/>
      <c r="M14" s="91"/>
      <c r="N14" s="91"/>
      <c r="O14" s="91"/>
      <c r="P14" s="91"/>
    </row>
    <row r="15" spans="1:16" x14ac:dyDescent="0.2">
      <c r="L15" s="91"/>
      <c r="M15" s="91"/>
      <c r="N15" s="91"/>
      <c r="O15" s="91"/>
      <c r="P15" s="91"/>
    </row>
    <row r="16" spans="1:16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2" x14ac:dyDescent="0.2">
      <c r="A18" s="93"/>
      <c r="B18" s="93"/>
      <c r="C18" s="93"/>
      <c r="D18" s="2" t="s">
        <v>6088</v>
      </c>
    </row>
    <row r="19" spans="1:12" x14ac:dyDescent="0.2">
      <c r="A19" s="93"/>
      <c r="B19" s="99"/>
    </row>
    <row r="20" spans="1:12" x14ac:dyDescent="0.2">
      <c r="A20" s="93" t="s">
        <v>8884</v>
      </c>
      <c r="B20" s="93" t="s">
        <v>8585</v>
      </c>
      <c r="C20" s="93"/>
      <c r="D20" s="91" t="s">
        <v>8885</v>
      </c>
      <c r="H20" s="91">
        <f>7600*50%</f>
        <v>3800</v>
      </c>
      <c r="L20" s="91" t="s">
        <v>8324</v>
      </c>
    </row>
    <row r="21" spans="1:12" x14ac:dyDescent="0.2">
      <c r="A21" s="93"/>
      <c r="B21" s="93"/>
      <c r="C21" s="93"/>
      <c r="D21" s="91" t="s">
        <v>8586</v>
      </c>
      <c r="L21" s="91" t="s">
        <v>8325</v>
      </c>
    </row>
    <row r="22" spans="1:12" x14ac:dyDescent="0.2">
      <c r="A22" s="93"/>
      <c r="B22" s="93"/>
      <c r="D22" s="91" t="s">
        <v>8886</v>
      </c>
      <c r="L22" s="91" t="s">
        <v>8326</v>
      </c>
    </row>
    <row r="23" spans="1:12" x14ac:dyDescent="0.2">
      <c r="A23" s="93"/>
      <c r="B23" s="93"/>
    </row>
    <row r="24" spans="1:12" x14ac:dyDescent="0.2">
      <c r="D24" s="2" t="s">
        <v>5268</v>
      </c>
    </row>
    <row r="25" spans="1:12" x14ac:dyDescent="0.2">
      <c r="A25" s="93"/>
      <c r="B25" s="93"/>
    </row>
    <row r="26" spans="1:12" x14ac:dyDescent="0.2">
      <c r="A26" s="93" t="s">
        <v>8884</v>
      </c>
      <c r="B26" s="93" t="s">
        <v>8887</v>
      </c>
      <c r="C26" s="93"/>
      <c r="D26" s="91" t="s">
        <v>8324</v>
      </c>
      <c r="H26" s="110">
        <f>15000*50%</f>
        <v>7500</v>
      </c>
    </row>
    <row r="27" spans="1:12" x14ac:dyDescent="0.2">
      <c r="A27" s="111"/>
      <c r="B27" s="93"/>
      <c r="C27" s="93"/>
      <c r="D27" s="91" t="s">
        <v>8325</v>
      </c>
      <c r="H27" s="110"/>
    </row>
    <row r="28" spans="1:12" x14ac:dyDescent="0.2">
      <c r="A28" s="111"/>
      <c r="B28" s="93"/>
      <c r="C28" s="93"/>
      <c r="D28" s="91" t="s">
        <v>8326</v>
      </c>
      <c r="H28" s="110"/>
    </row>
    <row r="29" spans="1:12" x14ac:dyDescent="0.2">
      <c r="A29" s="111"/>
      <c r="B29" s="93"/>
      <c r="C29" s="93"/>
      <c r="H29" s="110"/>
    </row>
    <row r="30" spans="1:12" x14ac:dyDescent="0.2">
      <c r="A30" s="111"/>
      <c r="B30" s="93"/>
      <c r="C30" s="93"/>
      <c r="H30" s="110"/>
    </row>
    <row r="31" spans="1:12" x14ac:dyDescent="0.2">
      <c r="A31" s="111"/>
      <c r="B31" s="93"/>
      <c r="C31" s="93"/>
      <c r="H31" s="110"/>
    </row>
    <row r="32" spans="1:12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09"/>
      <c r="B34" s="99"/>
      <c r="C34" s="99"/>
    </row>
    <row r="36" spans="1:8" ht="13.5" thickBot="1" x14ac:dyDescent="0.25">
      <c r="H36" s="107">
        <f>SUM(H18:H34)</f>
        <v>11300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Eleven Thousand Three Hundred and NO/100 -----------</v>
      </c>
      <c r="C38" s="185"/>
      <c r="D38" s="97"/>
      <c r="E38" s="97"/>
      <c r="F38" s="97"/>
      <c r="G38" s="97"/>
      <c r="H38" s="97"/>
    </row>
    <row r="39" spans="1:8" ht="20.100000000000001" customHeight="1" x14ac:dyDescent="0.2">
      <c r="A39" s="113"/>
      <c r="B39" s="103"/>
      <c r="C39" s="103"/>
      <c r="D39" s="61"/>
      <c r="E39" s="61"/>
      <c r="F39" s="61"/>
      <c r="G39" s="61"/>
      <c r="H39" s="61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99"/>
      <c r="E42" s="99"/>
    </row>
    <row r="43" spans="1:8" x14ac:dyDescent="0.2">
      <c r="A43" s="91" t="s">
        <v>121</v>
      </c>
      <c r="D43" s="99"/>
      <c r="E43" s="99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1-000000000000}">
  <sheetPr codeName="Sheet640">
    <pageSetUpPr fitToPage="1"/>
  </sheetPr>
  <dimension ref="A1:H55"/>
  <sheetViews>
    <sheetView topLeftCell="A1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425781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6350</v>
      </c>
    </row>
    <row r="10" spans="1:8" x14ac:dyDescent="0.2">
      <c r="A10" s="91" t="s">
        <v>6346</v>
      </c>
      <c r="F10" s="92" t="s">
        <v>1329</v>
      </c>
      <c r="G10" s="92" t="s">
        <v>6340</v>
      </c>
    </row>
    <row r="11" spans="1:8" x14ac:dyDescent="0.2">
      <c r="A11" s="91" t="s">
        <v>6347</v>
      </c>
      <c r="F11" s="92" t="s">
        <v>1330</v>
      </c>
      <c r="G11" s="92" t="s">
        <v>1220</v>
      </c>
    </row>
    <row r="12" spans="1:8" x14ac:dyDescent="0.2">
      <c r="A12" s="91" t="s">
        <v>6348</v>
      </c>
      <c r="F12" s="92" t="s">
        <v>1377</v>
      </c>
      <c r="G12" s="92" t="s">
        <v>770</v>
      </c>
    </row>
    <row r="13" spans="1:8" x14ac:dyDescent="0.2">
      <c r="A13" s="91" t="s">
        <v>6349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6351</v>
      </c>
    </row>
    <row r="19" spans="1:8" x14ac:dyDescent="0.2">
      <c r="A19" s="106"/>
      <c r="D19" s="2" t="s">
        <v>6352</v>
      </c>
    </row>
    <row r="20" spans="1:8" x14ac:dyDescent="0.2">
      <c r="A20" s="92"/>
      <c r="B20" s="93"/>
      <c r="C20" s="93"/>
    </row>
    <row r="21" spans="1:8" x14ac:dyDescent="0.2">
      <c r="A21" s="137" t="s">
        <v>6353</v>
      </c>
      <c r="D21" s="94" t="s">
        <v>6354</v>
      </c>
      <c r="E21" s="94"/>
      <c r="H21" s="91">
        <f>756.29*3.1013</f>
        <v>2345.4821769999999</v>
      </c>
    </row>
    <row r="22" spans="1:8" x14ac:dyDescent="0.2">
      <c r="A22" s="106"/>
      <c r="D22" s="91" t="s">
        <v>6409</v>
      </c>
    </row>
    <row r="23" spans="1:8" x14ac:dyDescent="0.2">
      <c r="A23" s="106"/>
    </row>
    <row r="24" spans="1:8" x14ac:dyDescent="0.2">
      <c r="D24" s="91" t="s">
        <v>52</v>
      </c>
      <c r="H24" s="91">
        <v>20</v>
      </c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  <c r="D26" s="91" t="s">
        <v>2147</v>
      </c>
      <c r="H26" s="91">
        <f>H24*6%</f>
        <v>1.2</v>
      </c>
    </row>
    <row r="27" spans="1:8" x14ac:dyDescent="0.2">
      <c r="A27" s="1"/>
      <c r="B27" s="1"/>
      <c r="C27" s="1"/>
      <c r="D27" s="94"/>
      <c r="E27" s="94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</row>
    <row r="34" spans="1:8" x14ac:dyDescent="0.2">
      <c r="A34" s="106"/>
    </row>
    <row r="35" spans="1:8" ht="13.5" thickBot="1" x14ac:dyDescent="0.25">
      <c r="A35" s="106"/>
      <c r="H35" s="107">
        <f>SUM(H19:H33)</f>
        <v>2366.6821769999997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Three Hundred Sixty-Six and 68/100 -----------</v>
      </c>
      <c r="C37" s="185"/>
      <c r="D37" s="97"/>
      <c r="E37" s="97"/>
      <c r="F37" s="97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E41" s="99"/>
    </row>
    <row r="42" spans="1:8" x14ac:dyDescent="0.2">
      <c r="A42" s="91" t="s">
        <v>120</v>
      </c>
      <c r="E42" s="99"/>
    </row>
    <row r="43" spans="1:8" x14ac:dyDescent="0.2">
      <c r="A43" s="101"/>
      <c r="B43" s="101"/>
    </row>
    <row r="46" spans="1:8" x14ac:dyDescent="0.2">
      <c r="A46" s="91" t="s">
        <v>8</v>
      </c>
      <c r="F46" s="98" t="s">
        <v>7</v>
      </c>
      <c r="H46" s="102"/>
    </row>
    <row r="50" spans="1:8" x14ac:dyDescent="0.2">
      <c r="A50" s="101"/>
      <c r="B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/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4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17F6-28E6-4236-BBC2-91F178F6F9A1}">
  <sheetPr codeName="Sheet670">
    <pageSetUpPr fitToPage="1"/>
  </sheetPr>
  <dimension ref="A1:H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91" t="s">
        <v>6736</v>
      </c>
    </row>
    <row r="10" spans="1:8" s="91" customFormat="1" x14ac:dyDescent="0.2">
      <c r="A10" s="91" t="s">
        <v>6738</v>
      </c>
      <c r="F10" s="92" t="s">
        <v>1706</v>
      </c>
      <c r="G10" s="92" t="s">
        <v>6731</v>
      </c>
    </row>
    <row r="11" spans="1:8" s="91" customFormat="1" x14ac:dyDescent="0.2">
      <c r="A11" s="91" t="s">
        <v>6739</v>
      </c>
      <c r="F11" s="92" t="s">
        <v>1707</v>
      </c>
      <c r="G11" s="92" t="s">
        <v>1220</v>
      </c>
    </row>
    <row r="12" spans="1:8" s="91" customFormat="1" x14ac:dyDescent="0.2">
      <c r="A12" s="91" t="s">
        <v>6740</v>
      </c>
      <c r="F12" s="92" t="s">
        <v>1355</v>
      </c>
      <c r="G12" s="92" t="s">
        <v>6737</v>
      </c>
    </row>
    <row r="13" spans="1:8" s="91" customFormat="1" x14ac:dyDescent="0.2">
      <c r="A13" s="91" t="s">
        <v>6741</v>
      </c>
    </row>
    <row r="14" spans="1:8" s="91" customFormat="1" x14ac:dyDescent="0.2">
      <c r="A14" s="91" t="s">
        <v>6742</v>
      </c>
    </row>
    <row r="15" spans="1:8" s="91" customFormat="1" x14ac:dyDescent="0.2">
      <c r="A15" s="91" t="s">
        <v>1862</v>
      </c>
    </row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3"/>
      <c r="C18" s="93"/>
      <c r="D18" s="2" t="s">
        <v>6743</v>
      </c>
    </row>
    <row r="19" spans="1:8" s="91" customFormat="1" x14ac:dyDescent="0.2">
      <c r="A19" s="93"/>
      <c r="B19" s="93"/>
      <c r="C19" s="93"/>
    </row>
    <row r="20" spans="1:8" s="91" customFormat="1" x14ac:dyDescent="0.2">
      <c r="A20" s="93" t="s">
        <v>6744</v>
      </c>
      <c r="B20" s="93"/>
      <c r="C20" s="93"/>
      <c r="D20" s="91" t="s">
        <v>6745</v>
      </c>
      <c r="H20" s="91">
        <v>100</v>
      </c>
    </row>
    <row r="21" spans="1:8" s="91" customFormat="1" x14ac:dyDescent="0.2">
      <c r="D21" s="91" t="s">
        <v>6746</v>
      </c>
      <c r="H21" s="91">
        <v>100</v>
      </c>
    </row>
    <row r="22" spans="1:8" s="91" customFormat="1" x14ac:dyDescent="0.2">
      <c r="A22" s="93"/>
      <c r="B22" s="93"/>
      <c r="C22" s="93"/>
      <c r="D22" s="91" t="s">
        <v>6747</v>
      </c>
      <c r="H22" s="91">
        <v>100</v>
      </c>
    </row>
    <row r="23" spans="1:8" s="91" customFormat="1" x14ac:dyDescent="0.2">
      <c r="E23" s="2"/>
    </row>
    <row r="24" spans="1:8" s="91" customFormat="1" x14ac:dyDescent="0.2">
      <c r="A24" s="93"/>
      <c r="B24" s="93"/>
      <c r="C24" s="93"/>
    </row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  <c r="E26" s="2"/>
    </row>
    <row r="27" spans="1:8" s="91" customFormat="1" x14ac:dyDescent="0.2"/>
    <row r="28" spans="1:8" s="91" customFormat="1" x14ac:dyDescent="0.2">
      <c r="A28" s="93"/>
      <c r="B28" s="93"/>
      <c r="C28" s="93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SUM(H18:H33)</f>
        <v>300</v>
      </c>
    </row>
    <row r="35" spans="1:8" s="91" customFormat="1" ht="13.5" thickTop="1" x14ac:dyDescent="0.2"/>
    <row r="36" spans="1:8" s="91" customFormat="1" ht="21.75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Hundred and NO/100 -----------</v>
      </c>
      <c r="C36" s="185"/>
      <c r="D36" s="97"/>
      <c r="E36" s="97"/>
      <c r="F36" s="237"/>
      <c r="G36" s="237"/>
      <c r="H36" s="237"/>
    </row>
    <row r="37" spans="1:8" s="91" customFormat="1" ht="15.75" customHeight="1" x14ac:dyDescent="0.2">
      <c r="A37" s="113"/>
      <c r="B37" s="103"/>
      <c r="C37" s="103"/>
      <c r="D37" s="61"/>
      <c r="E37" s="61"/>
      <c r="F37" s="227"/>
      <c r="G37" s="227"/>
      <c r="H37" s="227"/>
    </row>
    <row r="38" spans="1:8" s="91" customFormat="1" ht="24" customHeight="1" x14ac:dyDescent="0.2">
      <c r="A38" s="61" t="s">
        <v>10</v>
      </c>
      <c r="B38" s="103"/>
      <c r="C38" s="103"/>
      <c r="D38" s="61"/>
      <c r="E38" s="61"/>
      <c r="F38" s="218" t="s">
        <v>3975</v>
      </c>
      <c r="G38" s="219"/>
      <c r="H38" s="220"/>
    </row>
    <row r="39" spans="1:8" s="91" customFormat="1" x14ac:dyDescent="0.2">
      <c r="F39" s="228"/>
      <c r="G39" s="229"/>
      <c r="H39" s="229"/>
    </row>
    <row r="40" spans="1:8" s="91" customFormat="1" x14ac:dyDescent="0.2"/>
    <row r="41" spans="1:8" s="91" customFormat="1" x14ac:dyDescent="0.2"/>
    <row r="42" spans="1:8" s="91" customFormat="1" x14ac:dyDescent="0.2"/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/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F49" s="101"/>
      <c r="G49" s="101"/>
      <c r="H49" s="101"/>
    </row>
    <row r="50" spans="1:8" s="61" customFormat="1" ht="17.100000000000001" customHeight="1" x14ac:dyDescent="0.2">
      <c r="A50" s="209" t="s">
        <v>4066</v>
      </c>
      <c r="B50" s="104"/>
      <c r="C50" s="104"/>
      <c r="D50" s="91"/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1-000000000000}">
  <sheetPr codeName="Sheet586"/>
  <dimension ref="A1:H58"/>
  <sheetViews>
    <sheetView view="pageBreakPreview" topLeftCell="A7" zoomScaleNormal="100" zoomScaleSheetLayoutView="100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6058</v>
      </c>
    </row>
    <row r="10" spans="1:8" x14ac:dyDescent="0.2">
      <c r="A10" s="91" t="s">
        <v>5777</v>
      </c>
      <c r="F10" s="92" t="s">
        <v>1329</v>
      </c>
      <c r="G10" s="92" t="s">
        <v>6060</v>
      </c>
    </row>
    <row r="11" spans="1:8" x14ac:dyDescent="0.2">
      <c r="A11" s="91" t="s">
        <v>5778</v>
      </c>
      <c r="F11" s="92" t="s">
        <v>1330</v>
      </c>
      <c r="G11" s="92" t="s">
        <v>1220</v>
      </c>
    </row>
    <row r="12" spans="1:8" x14ac:dyDescent="0.2">
      <c r="A12" s="91" t="s">
        <v>5779</v>
      </c>
      <c r="F12" s="92" t="s">
        <v>1224</v>
      </c>
      <c r="G12" s="94" t="s">
        <v>6059</v>
      </c>
    </row>
    <row r="13" spans="1:8" x14ac:dyDescent="0.2">
      <c r="A13" s="91" t="s">
        <v>1314</v>
      </c>
    </row>
    <row r="14" spans="1:8" x14ac:dyDescent="0.2">
      <c r="A14" s="91" t="s">
        <v>5780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5781</v>
      </c>
      <c r="E18" s="2"/>
    </row>
    <row r="19" spans="1:8" x14ac:dyDescent="0.2">
      <c r="D19" s="2"/>
      <c r="E19" s="2"/>
    </row>
    <row r="20" spans="1:8" x14ac:dyDescent="0.2">
      <c r="A20" s="134" t="s">
        <v>6061</v>
      </c>
      <c r="B20" s="93" t="s">
        <v>6062</v>
      </c>
      <c r="C20" s="93"/>
      <c r="D20" s="91" t="s">
        <v>6063</v>
      </c>
      <c r="H20" s="91">
        <f>750000*20%</f>
        <v>150000</v>
      </c>
    </row>
    <row r="21" spans="1:8" x14ac:dyDescent="0.2">
      <c r="A21" s="93"/>
      <c r="B21" s="93"/>
      <c r="C21" s="93"/>
      <c r="D21" s="91" t="s">
        <v>6064</v>
      </c>
    </row>
    <row r="23" spans="1:8" x14ac:dyDescent="0.2">
      <c r="A23" s="134"/>
      <c r="B23" s="93"/>
      <c r="C23" s="93"/>
    </row>
    <row r="24" spans="1:8" x14ac:dyDescent="0.2">
      <c r="A24" s="93"/>
      <c r="B24" s="93"/>
      <c r="C24" s="93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4"/>
    </row>
    <row r="29" spans="1:8" x14ac:dyDescent="0.2">
      <c r="A29" s="94"/>
    </row>
    <row r="30" spans="1:8" x14ac:dyDescent="0.2">
      <c r="A30" s="94"/>
    </row>
    <row r="31" spans="1:8" x14ac:dyDescent="0.2">
      <c r="A31" s="94"/>
    </row>
    <row r="32" spans="1:8" x14ac:dyDescent="0.2">
      <c r="A32" s="93"/>
      <c r="B32" s="99"/>
    </row>
    <row r="33" spans="1:8" x14ac:dyDescent="0.2">
      <c r="D33" s="2"/>
      <c r="E33" s="2"/>
    </row>
    <row r="34" spans="1:8" x14ac:dyDescent="0.2">
      <c r="E34" s="2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93"/>
      <c r="B36" s="99"/>
      <c r="C36" s="1"/>
      <c r="E36" s="1"/>
      <c r="F36" s="1"/>
      <c r="G36" s="1"/>
    </row>
    <row r="37" spans="1:8" x14ac:dyDescent="0.2">
      <c r="A37" s="112"/>
    </row>
    <row r="38" spans="1:8" ht="13.5" thickBot="1" x14ac:dyDescent="0.25">
      <c r="A38" s="112"/>
      <c r="H38" s="95">
        <f>SUM(H20:H37)</f>
        <v>150000</v>
      </c>
    </row>
    <row r="39" spans="1:8" ht="13.5" thickTop="1" x14ac:dyDescent="0.2">
      <c r="A39" s="112"/>
      <c r="H39" s="238"/>
    </row>
    <row r="40" spans="1:8" ht="20.100000000000001" customHeight="1" x14ac:dyDescent="0.2">
      <c r="A40" s="96" t="s">
        <v>1347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>One Hundred Fifty Thousand and NO/100 -----------</v>
      </c>
      <c r="C40" s="185"/>
      <c r="D40" s="97"/>
      <c r="E40" s="97"/>
      <c r="F40" s="97"/>
      <c r="G40" s="97"/>
      <c r="H40" s="97"/>
    </row>
    <row r="41" spans="1:8" x14ac:dyDescent="0.2">
      <c r="A41" s="94"/>
    </row>
    <row r="42" spans="1:8" ht="25.5" x14ac:dyDescent="0.2">
      <c r="A42" s="91" t="s">
        <v>10</v>
      </c>
      <c r="D42" s="98" t="s">
        <v>8</v>
      </c>
      <c r="F42" s="218" t="s">
        <v>3975</v>
      </c>
      <c r="G42" s="219"/>
      <c r="H42" s="220"/>
    </row>
    <row r="43" spans="1:8" x14ac:dyDescent="0.2">
      <c r="D43" s="98"/>
    </row>
    <row r="44" spans="1:8" x14ac:dyDescent="0.2">
      <c r="D44" s="98"/>
      <c r="F44" s="227"/>
      <c r="G44" s="227"/>
      <c r="H44" s="227"/>
    </row>
    <row r="45" spans="1:8" x14ac:dyDescent="0.2">
      <c r="A45" s="98" t="s">
        <v>121</v>
      </c>
      <c r="D45" s="98"/>
      <c r="E45" s="99"/>
      <c r="F45" s="228"/>
      <c r="G45" s="229"/>
      <c r="H45" s="229"/>
    </row>
    <row r="46" spans="1:8" x14ac:dyDescent="0.2">
      <c r="A46" s="23"/>
      <c r="B46" s="101"/>
      <c r="D46" s="100"/>
    </row>
    <row r="47" spans="1:8" x14ac:dyDescent="0.2">
      <c r="A47" s="98"/>
      <c r="D47" s="103" t="s">
        <v>50</v>
      </c>
    </row>
    <row r="48" spans="1:8" x14ac:dyDescent="0.2">
      <c r="A48" s="98"/>
      <c r="D48" s="103"/>
    </row>
    <row r="49" spans="1:8" x14ac:dyDescent="0.2">
      <c r="A49" s="98" t="s">
        <v>8</v>
      </c>
      <c r="D49" s="98" t="s">
        <v>8</v>
      </c>
      <c r="F49" s="98" t="s">
        <v>7</v>
      </c>
      <c r="H49" s="102"/>
    </row>
    <row r="50" spans="1:8" x14ac:dyDescent="0.2">
      <c r="A50" s="98"/>
      <c r="D50" s="98"/>
    </row>
    <row r="51" spans="1:8" x14ac:dyDescent="0.2">
      <c r="A51" s="98"/>
      <c r="D51" s="98"/>
    </row>
    <row r="52" spans="1:8" x14ac:dyDescent="0.2">
      <c r="A52" s="98"/>
      <c r="D52" s="98"/>
    </row>
    <row r="53" spans="1:8" x14ac:dyDescent="0.2">
      <c r="A53" s="100"/>
      <c r="B53" s="101"/>
      <c r="D53" s="100"/>
      <c r="F53" s="101"/>
      <c r="G53" s="101"/>
      <c r="H53" s="101"/>
    </row>
    <row r="54" spans="1:8" s="3" customFormat="1" ht="17.100000000000001" customHeight="1" x14ac:dyDescent="0.2">
      <c r="A54" s="103" t="s">
        <v>4047</v>
      </c>
      <c r="B54" s="104"/>
      <c r="C54" s="104"/>
      <c r="D54" s="103" t="s">
        <v>50</v>
      </c>
      <c r="E54" s="61"/>
      <c r="F54" s="61" t="s">
        <v>3</v>
      </c>
      <c r="G54" s="61"/>
      <c r="H54" s="61"/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A61C-AADD-4F25-83DE-BF987FCD2B70}">
  <sheetPr>
    <tabColor rgb="FFFFFF00"/>
  </sheetPr>
  <dimension ref="A1:M53"/>
  <sheetViews>
    <sheetView view="pageBreakPreview" zoomScaleNormal="100" zoomScaleSheetLayoutView="100" workbookViewId="0">
      <selection activeCell="A20" sqref="A20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42578125" style="91" customWidth="1"/>
    <col min="6" max="6" width="14" style="91" customWidth="1"/>
    <col min="7" max="7" width="8" style="91" customWidth="1"/>
    <col min="8" max="8" width="12.85546875" style="91" customWidth="1"/>
    <col min="9" max="12" width="9.140625" style="1"/>
    <col min="13" max="13" width="9.42578125" style="1" bestFit="1" customWidth="1"/>
    <col min="14" max="16384" width="9.140625" style="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1317</v>
      </c>
      <c r="G9" s="91" t="s">
        <v>8943</v>
      </c>
    </row>
    <row r="10" spans="1:13" x14ac:dyDescent="0.2">
      <c r="A10" s="91" t="s">
        <v>8946</v>
      </c>
      <c r="F10" s="92" t="s">
        <v>1329</v>
      </c>
      <c r="G10" s="94" t="s">
        <v>8945</v>
      </c>
      <c r="K10" s="518" t="s">
        <v>8943</v>
      </c>
      <c r="L10" s="519">
        <v>43910</v>
      </c>
      <c r="M10" s="520" t="s">
        <v>8944</v>
      </c>
    </row>
    <row r="11" spans="1:13" x14ac:dyDescent="0.2">
      <c r="A11" s="91" t="s">
        <v>8947</v>
      </c>
      <c r="F11" s="92" t="s">
        <v>1330</v>
      </c>
      <c r="G11" s="91" t="s">
        <v>1220</v>
      </c>
    </row>
    <row r="12" spans="1:13" x14ac:dyDescent="0.2">
      <c r="A12" s="91" t="s">
        <v>8948</v>
      </c>
      <c r="F12" s="92" t="s">
        <v>1377</v>
      </c>
      <c r="G12" s="91" t="s">
        <v>8944</v>
      </c>
    </row>
    <row r="13" spans="1:13" x14ac:dyDescent="0.2">
      <c r="A13" s="91" t="s">
        <v>1471</v>
      </c>
      <c r="G13" s="91" t="s">
        <v>7762</v>
      </c>
    </row>
    <row r="14" spans="1:13" x14ac:dyDescent="0.2">
      <c r="A14" s="91" t="s">
        <v>1314</v>
      </c>
    </row>
    <row r="16" spans="1:13" s="14" customFormat="1" ht="20.100000000000001" customHeight="1" x14ac:dyDescent="0.2">
      <c r="A16" s="17" t="s">
        <v>1247</v>
      </c>
      <c r="B16" s="515" t="s">
        <v>128</v>
      </c>
      <c r="C16" s="515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7801</v>
      </c>
    </row>
    <row r="19" spans="1:8" x14ac:dyDescent="0.2">
      <c r="A19" s="106"/>
    </row>
    <row r="20" spans="1:8" x14ac:dyDescent="0.2">
      <c r="A20" s="142" t="s">
        <v>8949</v>
      </c>
      <c r="B20" s="142" t="s">
        <v>8950</v>
      </c>
      <c r="C20" s="93"/>
      <c r="D20" s="91" t="s">
        <v>8951</v>
      </c>
      <c r="H20" s="91">
        <v>500</v>
      </c>
    </row>
    <row r="21" spans="1:8" x14ac:dyDescent="0.2">
      <c r="A21" s="106"/>
      <c r="D21" s="94"/>
      <c r="E21" s="94"/>
    </row>
    <row r="22" spans="1:8" x14ac:dyDescent="0.2">
      <c r="A22" s="106"/>
    </row>
    <row r="23" spans="1:8" x14ac:dyDescent="0.2">
      <c r="A23" s="93"/>
      <c r="B23" s="93"/>
      <c r="C23" s="93"/>
    </row>
    <row r="24" spans="1:8" x14ac:dyDescent="0.2">
      <c r="A24" s="93"/>
      <c r="B24" s="93"/>
      <c r="C24" s="93"/>
    </row>
    <row r="25" spans="1:8" x14ac:dyDescent="0.2">
      <c r="A25" s="1"/>
      <c r="B25" s="1"/>
      <c r="C25" s="1"/>
      <c r="D25" s="94"/>
      <c r="E25" s="94"/>
    </row>
    <row r="26" spans="1:8" x14ac:dyDescent="0.2">
      <c r="A26" s="1"/>
      <c r="B26" s="1"/>
      <c r="C26" s="1"/>
    </row>
    <row r="27" spans="1:8" x14ac:dyDescent="0.2">
      <c r="A27" s="1"/>
      <c r="B27" s="1"/>
      <c r="C27" s="1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13" ht="13.5" thickBot="1" x14ac:dyDescent="0.25">
      <c r="A33" s="106"/>
      <c r="H33" s="107">
        <f>SUM(H19:H31)</f>
        <v>500</v>
      </c>
    </row>
    <row r="34" spans="1:13" ht="13.5" thickTop="1" x14ac:dyDescent="0.2">
      <c r="A34" s="106"/>
    </row>
    <row r="35" spans="1:13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Hundred and NO/100 -----------</v>
      </c>
      <c r="C35" s="185"/>
      <c r="D35" s="97"/>
      <c r="E35" s="97"/>
      <c r="F35" s="97"/>
      <c r="G35" s="222"/>
      <c r="H35" s="222"/>
      <c r="L35" s="26"/>
      <c r="M35" s="26"/>
    </row>
    <row r="36" spans="1:13" ht="20.100000000000001" customHeight="1" x14ac:dyDescent="0.2">
      <c r="A36" s="113"/>
      <c r="B36" s="103"/>
      <c r="C36" s="103"/>
      <c r="D36" s="61"/>
      <c r="E36" s="61"/>
      <c r="F36" s="61"/>
      <c r="G36" s="222"/>
      <c r="H36" s="222"/>
    </row>
    <row r="37" spans="1:13" ht="25.5" x14ac:dyDescent="0.2">
      <c r="A37" s="94" t="s">
        <v>3973</v>
      </c>
      <c r="F37" s="218" t="s">
        <v>3975</v>
      </c>
      <c r="G37" s="219"/>
      <c r="H37" s="220"/>
    </row>
    <row r="38" spans="1:13" x14ac:dyDescent="0.2">
      <c r="F38" s="228"/>
      <c r="G38" s="229"/>
      <c r="H38" s="229"/>
    </row>
    <row r="39" spans="1:13" x14ac:dyDescent="0.2">
      <c r="A39" s="1"/>
      <c r="E39" s="516"/>
    </row>
    <row r="40" spans="1:13" x14ac:dyDescent="0.2">
      <c r="A40" s="91" t="s">
        <v>120</v>
      </c>
      <c r="E40" s="516"/>
    </row>
    <row r="41" spans="1:13" x14ac:dyDescent="0.2">
      <c r="A41" s="101"/>
      <c r="B41" s="101"/>
    </row>
    <row r="44" spans="1:13" x14ac:dyDescent="0.2">
      <c r="A44" s="91" t="s">
        <v>8</v>
      </c>
      <c r="D44" s="91" t="s">
        <v>8</v>
      </c>
      <c r="F44" s="98" t="s">
        <v>7</v>
      </c>
      <c r="H44" s="102"/>
    </row>
    <row r="48" spans="1:13" x14ac:dyDescent="0.2">
      <c r="A48" s="101"/>
      <c r="B48" s="101"/>
      <c r="D48" s="101"/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374C-F0DD-471B-9123-C72F1D476E3D}">
  <sheetPr codeName="Sheet710">
    <pageSetUpPr fitToPage="1"/>
  </sheetPr>
  <dimension ref="A1:H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7109375" style="91" customWidth="1"/>
    <col min="4" max="4" width="21" style="91" customWidth="1"/>
    <col min="5" max="5" width="2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10" t="s">
        <v>7291</v>
      </c>
    </row>
    <row r="10" spans="1:8" x14ac:dyDescent="0.2">
      <c r="A10" s="91" t="s">
        <v>7293</v>
      </c>
      <c r="F10" s="92" t="s">
        <v>1329</v>
      </c>
      <c r="G10" s="289" t="s">
        <v>7290</v>
      </c>
    </row>
    <row r="11" spans="1:8" x14ac:dyDescent="0.2">
      <c r="A11" s="91" t="s">
        <v>7294</v>
      </c>
      <c r="F11" s="92" t="s">
        <v>1330</v>
      </c>
      <c r="G11" s="370" t="s">
        <v>1220</v>
      </c>
    </row>
    <row r="12" spans="1:8" x14ac:dyDescent="0.2">
      <c r="A12" s="91" t="s">
        <v>1973</v>
      </c>
      <c r="F12" s="92" t="s">
        <v>1377</v>
      </c>
      <c r="G12" s="370" t="s">
        <v>7292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7295</v>
      </c>
      <c r="E18" s="2"/>
    </row>
    <row r="19" spans="1:8" x14ac:dyDescent="0.2">
      <c r="A19" s="106"/>
    </row>
    <row r="20" spans="1:8" x14ac:dyDescent="0.2">
      <c r="A20" s="93" t="s">
        <v>7296</v>
      </c>
      <c r="B20" s="93" t="s">
        <v>7297</v>
      </c>
      <c r="C20" s="93"/>
      <c r="D20" s="94" t="s">
        <v>7299</v>
      </c>
      <c r="E20" s="94"/>
      <c r="H20" s="91">
        <v>5680</v>
      </c>
    </row>
    <row r="21" spans="1:8" x14ac:dyDescent="0.2">
      <c r="A21" s="92"/>
      <c r="B21" s="93"/>
      <c r="C21" s="93"/>
      <c r="D21" s="94" t="s">
        <v>7298</v>
      </c>
      <c r="E21" s="94"/>
      <c r="H21" s="91">
        <v>6864</v>
      </c>
    </row>
    <row r="22" spans="1:8" x14ac:dyDescent="0.2">
      <c r="A22" s="92"/>
      <c r="B22" s="93"/>
      <c r="C22" s="93"/>
      <c r="D22" s="94" t="s">
        <v>7300</v>
      </c>
      <c r="E22" s="94"/>
      <c r="H22" s="91">
        <v>2944</v>
      </c>
    </row>
    <row r="23" spans="1:8" x14ac:dyDescent="0.2">
      <c r="A23" s="92"/>
      <c r="B23" s="93"/>
      <c r="C23" s="93"/>
      <c r="D23" s="94" t="s">
        <v>7301</v>
      </c>
      <c r="E23" s="94"/>
      <c r="H23" s="91">
        <v>6167</v>
      </c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21655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Twenty-One Thousand Six Hundred Fifty-Five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B37" s="91" t="s">
        <v>658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99"/>
      <c r="F40" s="228"/>
      <c r="G40" s="229"/>
      <c r="H40" s="229"/>
    </row>
    <row r="41" spans="1:8" x14ac:dyDescent="0.2">
      <c r="A41" s="23"/>
      <c r="B41" s="101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5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1-000000000000}">
  <sheetPr codeName="Sheet563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5535</v>
      </c>
    </row>
    <row r="10" spans="1:6" x14ac:dyDescent="0.2">
      <c r="A10" s="91" t="s">
        <v>5539</v>
      </c>
      <c r="D10" s="92" t="s">
        <v>1329</v>
      </c>
      <c r="E10" s="92" t="s">
        <v>5532</v>
      </c>
    </row>
    <row r="11" spans="1:6" x14ac:dyDescent="0.2">
      <c r="A11" s="91" t="s">
        <v>5540</v>
      </c>
      <c r="D11" s="92" t="s">
        <v>1330</v>
      </c>
      <c r="E11" s="92" t="s">
        <v>1220</v>
      </c>
    </row>
    <row r="12" spans="1:6" x14ac:dyDescent="0.2">
      <c r="A12" s="91" t="s">
        <v>5541</v>
      </c>
      <c r="D12" s="92" t="s">
        <v>1224</v>
      </c>
      <c r="E12" s="94" t="s">
        <v>5536</v>
      </c>
    </row>
    <row r="13" spans="1:6" x14ac:dyDescent="0.2">
      <c r="A13" s="91" t="s">
        <v>1245</v>
      </c>
    </row>
    <row r="14" spans="1:6" x14ac:dyDescent="0.2">
      <c r="A14" s="91" t="s">
        <v>5542</v>
      </c>
    </row>
    <row r="15" spans="1:6" x14ac:dyDescent="0.2">
      <c r="A15" s="91" t="s">
        <v>5543</v>
      </c>
    </row>
    <row r="16" spans="1:6" s="67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12"/>
    </row>
    <row r="18" spans="1:6" x14ac:dyDescent="0.2">
      <c r="C18" s="2" t="s">
        <v>5544</v>
      </c>
    </row>
    <row r="19" spans="1:6" x14ac:dyDescent="0.2">
      <c r="A19" s="134"/>
      <c r="B19" s="93"/>
      <c r="C19" s="2" t="s">
        <v>5545</v>
      </c>
    </row>
    <row r="20" spans="1:6" x14ac:dyDescent="0.2">
      <c r="A20" s="134"/>
      <c r="B20" s="93"/>
    </row>
    <row r="21" spans="1:6" x14ac:dyDescent="0.2">
      <c r="A21" s="134" t="s">
        <v>5510</v>
      </c>
      <c r="B21" s="93" t="s">
        <v>5546</v>
      </c>
      <c r="C21" s="91" t="s">
        <v>5547</v>
      </c>
      <c r="F21" s="91">
        <f>60*3</f>
        <v>180</v>
      </c>
    </row>
    <row r="22" spans="1:6" x14ac:dyDescent="0.2">
      <c r="A22" s="112"/>
    </row>
    <row r="23" spans="1:6" x14ac:dyDescent="0.2">
      <c r="A23" s="112"/>
    </row>
    <row r="24" spans="1:6" x14ac:dyDescent="0.2">
      <c r="A24" s="112"/>
    </row>
    <row r="25" spans="1:6" x14ac:dyDescent="0.2">
      <c r="A25" s="112"/>
    </row>
    <row r="26" spans="1:6" x14ac:dyDescent="0.2">
      <c r="A26" s="112"/>
    </row>
    <row r="27" spans="1:6" x14ac:dyDescent="0.2">
      <c r="A27" s="112"/>
    </row>
    <row r="28" spans="1:6" x14ac:dyDescent="0.2">
      <c r="A28" s="112"/>
    </row>
    <row r="29" spans="1:6" x14ac:dyDescent="0.2">
      <c r="A29" s="112"/>
    </row>
    <row r="31" spans="1:6" x14ac:dyDescent="0.2">
      <c r="A31" s="134"/>
      <c r="B31" s="93"/>
    </row>
    <row r="33" spans="1:6" x14ac:dyDescent="0.2">
      <c r="A33" s="134"/>
      <c r="B33" s="93"/>
    </row>
    <row r="34" spans="1:6" s="91" customFormat="1" ht="13.5" thickBot="1" x14ac:dyDescent="0.25">
      <c r="F34" s="107">
        <f>SUM(F16:F32)</f>
        <v>180</v>
      </c>
    </row>
    <row r="35" spans="1:6" s="91" customFormat="1" ht="13.5" thickTop="1" x14ac:dyDescent="0.2">
      <c r="F35" s="101"/>
    </row>
    <row r="36" spans="1:6" s="91" customFormat="1" ht="20.100000000000001" customHeight="1" x14ac:dyDescent="0.2">
      <c r="A36" s="96" t="s">
        <v>122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Hundred Eighty and NO/100 -----------</v>
      </c>
      <c r="C36" s="97"/>
      <c r="D36" s="97"/>
      <c r="E36" s="97"/>
      <c r="F36" s="207"/>
    </row>
    <row r="37" spans="1:6" s="91" customFormat="1" x14ac:dyDescent="0.2">
      <c r="A37" s="94" t="s">
        <v>11</v>
      </c>
    </row>
    <row r="38" spans="1:6" s="91" customFormat="1" ht="25.5" x14ac:dyDescent="0.2">
      <c r="A38" s="91" t="s">
        <v>10</v>
      </c>
      <c r="D38" s="218" t="s">
        <v>3975</v>
      </c>
      <c r="E38" s="219"/>
      <c r="F38" s="220"/>
    </row>
    <row r="39" spans="1:6" s="91" customFormat="1" x14ac:dyDescent="0.2"/>
    <row r="40" spans="1:6" s="91" customFormat="1" x14ac:dyDescent="0.2">
      <c r="D40" s="227"/>
      <c r="E40" s="227"/>
      <c r="F40" s="227"/>
    </row>
    <row r="41" spans="1:6" s="91" customFormat="1" x14ac:dyDescent="0.2">
      <c r="C41" s="99"/>
      <c r="D41" s="228"/>
      <c r="E41" s="229"/>
      <c r="F41" s="229"/>
    </row>
    <row r="42" spans="1:6" s="91" customFormat="1" x14ac:dyDescent="0.2">
      <c r="A42" s="101"/>
      <c r="B42" s="101"/>
    </row>
    <row r="43" spans="1:6" s="91" customFormat="1" x14ac:dyDescent="0.2"/>
    <row r="44" spans="1:6" s="91" customFormat="1" x14ac:dyDescent="0.2">
      <c r="A44" s="98" t="s">
        <v>8</v>
      </c>
      <c r="D44" s="98" t="s">
        <v>7</v>
      </c>
      <c r="F44" s="102"/>
    </row>
    <row r="45" spans="1:6" s="91" customFormat="1" x14ac:dyDescent="0.2"/>
    <row r="46" spans="1:6" s="91" customFormat="1" x14ac:dyDescent="0.2"/>
    <row r="47" spans="1:6" s="91" customFormat="1" x14ac:dyDescent="0.2"/>
    <row r="48" spans="1:6" s="91" customFormat="1" x14ac:dyDescent="0.2">
      <c r="A48" s="101"/>
      <c r="B48" s="101"/>
      <c r="D48" s="101"/>
      <c r="E48" s="101"/>
      <c r="F48" s="101"/>
    </row>
    <row r="49" spans="1:4" s="61" customFormat="1" ht="17.100000000000001" customHeight="1" x14ac:dyDescent="0.2">
      <c r="A49" s="91" t="s">
        <v>4066</v>
      </c>
      <c r="B49" s="104"/>
      <c r="D49" s="61" t="s">
        <v>3</v>
      </c>
    </row>
    <row r="50" spans="1:4" s="91" customFormat="1" x14ac:dyDescent="0.2">
      <c r="D50" s="91" t="s">
        <v>2</v>
      </c>
    </row>
    <row r="51" spans="1:4" s="91" customFormat="1" x14ac:dyDescent="0.2"/>
    <row r="52" spans="1:4" s="91" customFormat="1" x14ac:dyDescent="0.2">
      <c r="D52" s="2" t="s">
        <v>1</v>
      </c>
    </row>
    <row r="53" spans="1:4" s="91" customFormat="1" x14ac:dyDescent="0.2">
      <c r="D53" s="2" t="s">
        <v>0</v>
      </c>
    </row>
    <row r="54" spans="1:4" s="91" customFormat="1" x14ac:dyDescent="0.2"/>
    <row r="55" spans="1:4" s="91" customFormat="1" x14ac:dyDescent="0.2"/>
    <row r="56" spans="1:4" s="91" customFormat="1" x14ac:dyDescent="0.2"/>
    <row r="57" spans="1:4" s="91" customFormat="1" x14ac:dyDescent="0.2"/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1-000000000000}">
  <sheetPr codeName="Sheet550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 t="s">
        <v>5358</v>
      </c>
      <c r="B9" s="91"/>
      <c r="C9" s="91"/>
      <c r="D9" s="92" t="s">
        <v>1517</v>
      </c>
      <c r="E9" s="155" t="s">
        <v>6527</v>
      </c>
      <c r="F9" s="91"/>
    </row>
    <row r="10" spans="1:6" x14ac:dyDescent="0.2">
      <c r="A10" s="91" t="s">
        <v>5359</v>
      </c>
      <c r="B10" s="91"/>
      <c r="C10" s="91"/>
      <c r="D10" s="92" t="s">
        <v>1357</v>
      </c>
      <c r="E10" s="155" t="s">
        <v>6529</v>
      </c>
      <c r="F10" s="91"/>
    </row>
    <row r="11" spans="1:6" x14ac:dyDescent="0.2">
      <c r="A11" s="91"/>
      <c r="B11" s="91"/>
      <c r="C11" s="91"/>
      <c r="D11" s="92" t="s">
        <v>1330</v>
      </c>
      <c r="E11" s="155" t="s">
        <v>1220</v>
      </c>
      <c r="F11" s="91"/>
    </row>
    <row r="12" spans="1:6" x14ac:dyDescent="0.2">
      <c r="A12" s="91"/>
      <c r="B12" s="91"/>
      <c r="C12" s="91"/>
      <c r="D12" s="92" t="s">
        <v>1224</v>
      </c>
      <c r="E12" s="91" t="s">
        <v>6528</v>
      </c>
      <c r="F12" s="91"/>
    </row>
    <row r="13" spans="1:6" x14ac:dyDescent="0.2">
      <c r="A13" s="91"/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6495</v>
      </c>
      <c r="D18" s="91"/>
      <c r="E18" s="91"/>
      <c r="F18" s="91"/>
    </row>
    <row r="19" spans="1:6" x14ac:dyDescent="0.2">
      <c r="A19" s="91"/>
      <c r="B19" s="93"/>
      <c r="C19" s="91"/>
      <c r="D19" s="91"/>
      <c r="E19" s="91"/>
      <c r="F19" s="91"/>
    </row>
    <row r="20" spans="1:6" x14ac:dyDescent="0.2">
      <c r="A20" s="93"/>
      <c r="B20" s="93"/>
      <c r="C20" s="2" t="s">
        <v>6530</v>
      </c>
      <c r="D20" s="91"/>
      <c r="E20" s="91"/>
      <c r="F20" s="91"/>
    </row>
    <row r="21" spans="1:6" x14ac:dyDescent="0.2">
      <c r="A21" s="92"/>
      <c r="B21" s="91"/>
      <c r="C21" s="2"/>
      <c r="D21" s="91"/>
      <c r="E21" s="91"/>
      <c r="F21" s="91"/>
    </row>
    <row r="22" spans="1:6" x14ac:dyDescent="0.2">
      <c r="A22" s="91" t="s">
        <v>6531</v>
      </c>
      <c r="C22" s="91" t="s">
        <v>6532</v>
      </c>
      <c r="F22" s="91">
        <v>500</v>
      </c>
    </row>
    <row r="23" spans="1:6" x14ac:dyDescent="0.2">
      <c r="A23" s="91"/>
      <c r="B23" s="91"/>
      <c r="C23" s="91" t="s">
        <v>6533</v>
      </c>
      <c r="D23" s="91"/>
      <c r="E23" s="91"/>
      <c r="F23" s="91">
        <v>500</v>
      </c>
    </row>
    <row r="24" spans="1:6" x14ac:dyDescent="0.2">
      <c r="B24" s="91"/>
      <c r="C24" s="91" t="s">
        <v>6534</v>
      </c>
      <c r="D24" s="91"/>
      <c r="E24" s="91"/>
      <c r="F24" s="91">
        <v>500</v>
      </c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</row>
    <row r="33" spans="1:6" ht="13.5" thickBot="1" x14ac:dyDescent="0.25">
      <c r="A33" s="91"/>
      <c r="B33" s="91"/>
      <c r="C33" s="91"/>
      <c r="D33" s="91"/>
      <c r="E33" s="91"/>
      <c r="F33" s="107">
        <f>SUM(F19:F32)</f>
        <v>1500</v>
      </c>
    </row>
    <row r="34" spans="1:6" ht="13.5" thickTop="1" x14ac:dyDescent="0.2">
      <c r="A34" s="91"/>
      <c r="B34" s="91"/>
      <c r="C34" s="91"/>
      <c r="D34" s="91"/>
      <c r="E34" s="91"/>
      <c r="F34" s="91"/>
    </row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Five Hundred and NO/100 -----------</v>
      </c>
      <c r="C35" s="97"/>
      <c r="D35" s="97"/>
      <c r="E35" s="97"/>
      <c r="F35" s="97"/>
    </row>
    <row r="36" spans="1:6" x14ac:dyDescent="0.2">
      <c r="A36" s="94" t="s">
        <v>11</v>
      </c>
      <c r="B36" s="91"/>
      <c r="C36" s="91"/>
      <c r="D36" s="91"/>
      <c r="E36" s="91"/>
      <c r="F36" s="91"/>
    </row>
    <row r="37" spans="1:6" ht="25.5" x14ac:dyDescent="0.2">
      <c r="A37" s="91" t="s">
        <v>10</v>
      </c>
      <c r="B37" s="91"/>
      <c r="C37" s="91"/>
      <c r="D37" s="218" t="s">
        <v>3975</v>
      </c>
      <c r="E37" s="219"/>
      <c r="F37" s="220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61"/>
      <c r="B39" s="91"/>
      <c r="C39" s="91"/>
    </row>
    <row r="40" spans="1:6" x14ac:dyDescent="0.2">
      <c r="A40" s="91"/>
      <c r="B40" s="91"/>
      <c r="C40" s="99"/>
      <c r="D40" s="91"/>
      <c r="E40" s="91"/>
      <c r="F40" s="91"/>
    </row>
    <row r="41" spans="1:6" x14ac:dyDescent="0.2">
      <c r="A41" s="101"/>
      <c r="B41" s="10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/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1:6" x14ac:dyDescent="0.2">
      <c r="A49" s="91"/>
      <c r="B49" s="91"/>
      <c r="C49" s="91"/>
      <c r="D49" s="91" t="s">
        <v>2</v>
      </c>
      <c r="E49" s="91"/>
      <c r="F49" s="91"/>
    </row>
    <row r="50" spans="1:6" x14ac:dyDescent="0.2">
      <c r="A50" s="103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5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1-000000000000}">
  <sheetPr codeName="Sheet564">
    <pageSetUpPr fitToPage="1"/>
  </sheetPr>
  <dimension ref="A1:T58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 t="s">
        <v>5526</v>
      </c>
      <c r="B9" s="91"/>
      <c r="C9" s="91"/>
      <c r="D9" s="91"/>
      <c r="E9" s="91"/>
      <c r="F9" s="92" t="s">
        <v>1517</v>
      </c>
      <c r="G9" s="91" t="s">
        <v>5550</v>
      </c>
      <c r="H9" s="91"/>
    </row>
    <row r="10" spans="1:8" x14ac:dyDescent="0.2">
      <c r="A10" s="91" t="s">
        <v>5527</v>
      </c>
      <c r="B10" s="91"/>
      <c r="C10" s="91"/>
      <c r="D10" s="91"/>
      <c r="E10" s="91"/>
      <c r="F10" s="92" t="s">
        <v>1357</v>
      </c>
      <c r="G10" s="92" t="s">
        <v>5549</v>
      </c>
      <c r="H10" s="91"/>
    </row>
    <row r="11" spans="1:8" x14ac:dyDescent="0.2">
      <c r="A11" s="91" t="s">
        <v>5528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5529</v>
      </c>
      <c r="B12" s="91"/>
      <c r="C12" s="91"/>
      <c r="D12" s="91"/>
      <c r="E12" s="91"/>
      <c r="F12" s="92" t="s">
        <v>1377</v>
      </c>
      <c r="G12" s="94" t="s">
        <v>5551</v>
      </c>
      <c r="H12" s="91"/>
    </row>
    <row r="13" spans="1:8" x14ac:dyDescent="0.2">
      <c r="A13" s="91" t="s">
        <v>5530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 t="s">
        <v>5531</v>
      </c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7" spans="1:20" x14ac:dyDescent="0.2">
      <c r="A17" s="91"/>
      <c r="B17" s="91"/>
      <c r="C17" s="91"/>
      <c r="D17" s="91"/>
      <c r="E17" s="91"/>
      <c r="F17" s="91"/>
      <c r="G17" s="91"/>
      <c r="H17" s="91"/>
    </row>
    <row r="18" spans="1:20" x14ac:dyDescent="0.2">
      <c r="A18" s="108"/>
      <c r="B18" s="91"/>
      <c r="C18" s="91"/>
      <c r="D18" s="2" t="s">
        <v>4580</v>
      </c>
      <c r="E18" s="2"/>
      <c r="F18" s="91"/>
      <c r="G18" s="91"/>
      <c r="H18" s="110"/>
      <c r="I18" s="91"/>
    </row>
    <row r="19" spans="1:20" x14ac:dyDescent="0.2">
      <c r="A19" s="136"/>
      <c r="B19" s="91"/>
      <c r="C19" s="91"/>
      <c r="D19" s="2"/>
      <c r="E19" s="2"/>
      <c r="F19" s="91"/>
      <c r="G19" s="91"/>
      <c r="H19" s="110"/>
      <c r="I19" s="91"/>
      <c r="N19" s="99"/>
      <c r="O19" s="99"/>
      <c r="P19" s="61"/>
      <c r="Q19" s="61"/>
      <c r="R19" s="98"/>
      <c r="S19" s="98"/>
      <c r="T19" s="289"/>
    </row>
    <row r="20" spans="1:20" x14ac:dyDescent="0.2">
      <c r="A20" s="111" t="s">
        <v>5552</v>
      </c>
      <c r="B20" s="99"/>
      <c r="C20" s="99"/>
      <c r="D20" s="61" t="s">
        <v>5554</v>
      </c>
      <c r="E20" s="61"/>
      <c r="F20" s="98"/>
      <c r="G20" s="98"/>
      <c r="H20" s="289">
        <v>6000</v>
      </c>
      <c r="I20" s="91"/>
    </row>
    <row r="21" spans="1:20" x14ac:dyDescent="0.2">
      <c r="A21" s="530" t="s">
        <v>5553</v>
      </c>
      <c r="B21" s="530"/>
      <c r="C21" s="99"/>
      <c r="D21" s="61"/>
      <c r="E21" s="98"/>
      <c r="F21" s="98"/>
      <c r="G21" s="98"/>
      <c r="H21" s="289"/>
      <c r="I21" s="91"/>
    </row>
    <row r="22" spans="1:20" x14ac:dyDescent="0.2">
      <c r="A22" s="111"/>
      <c r="B22" s="99"/>
      <c r="C22" s="99"/>
      <c r="D22" s="61"/>
      <c r="E22" s="98"/>
      <c r="F22" s="98"/>
      <c r="G22" s="98"/>
      <c r="H22" s="289"/>
      <c r="I22" s="91"/>
    </row>
    <row r="23" spans="1:20" x14ac:dyDescent="0.2">
      <c r="A23" s="111"/>
      <c r="B23" s="99"/>
      <c r="C23" s="99"/>
      <c r="D23" s="61"/>
      <c r="E23" s="288"/>
      <c r="F23" s="98"/>
      <c r="G23" s="98"/>
      <c r="H23" s="289"/>
      <c r="I23" s="91"/>
    </row>
    <row r="24" spans="1:20" x14ac:dyDescent="0.2">
      <c r="A24" s="111"/>
      <c r="B24" s="99"/>
      <c r="C24" s="99"/>
      <c r="D24" s="61"/>
      <c r="E24" s="288"/>
      <c r="F24" s="98"/>
      <c r="G24" s="98"/>
      <c r="H24" s="289"/>
      <c r="I24" s="91"/>
    </row>
    <row r="25" spans="1:20" x14ac:dyDescent="0.2">
      <c r="A25" s="109"/>
      <c r="B25" s="99"/>
      <c r="C25" s="99"/>
      <c r="D25" s="98"/>
      <c r="E25" s="98"/>
      <c r="F25" s="98"/>
      <c r="G25" s="98"/>
      <c r="H25" s="289"/>
      <c r="I25" s="91"/>
    </row>
    <row r="26" spans="1:20" x14ac:dyDescent="0.2">
      <c r="A26" s="111"/>
      <c r="B26" s="99"/>
      <c r="C26" s="99"/>
      <c r="D26" s="98"/>
      <c r="E26" s="98"/>
      <c r="F26" s="98"/>
      <c r="G26" s="98"/>
      <c r="H26" s="289"/>
      <c r="I26" s="91"/>
    </row>
    <row r="27" spans="1:20" x14ac:dyDescent="0.2">
      <c r="A27" s="290"/>
      <c r="B27" s="99"/>
      <c r="C27" s="99"/>
      <c r="D27" s="98"/>
      <c r="E27" s="98"/>
      <c r="F27" s="98"/>
      <c r="G27" s="98"/>
      <c r="H27" s="289"/>
      <c r="I27" s="91"/>
    </row>
    <row r="28" spans="1:20" x14ac:dyDescent="0.2">
      <c r="A28" s="109"/>
      <c r="B28" s="99"/>
      <c r="C28" s="99"/>
      <c r="D28" s="98"/>
      <c r="E28" s="98"/>
      <c r="F28" s="98"/>
      <c r="G28" s="98"/>
      <c r="H28" s="289"/>
      <c r="I28" s="91"/>
    </row>
    <row r="29" spans="1:20" x14ac:dyDescent="0.2">
      <c r="A29" s="109"/>
      <c r="B29" s="99"/>
      <c r="C29" s="99"/>
      <c r="D29" s="98"/>
      <c r="E29" s="98"/>
      <c r="F29" s="98"/>
      <c r="G29" s="98"/>
      <c r="H29" s="289"/>
      <c r="I29" s="91"/>
    </row>
    <row r="30" spans="1:20" x14ac:dyDescent="0.2">
      <c r="A30" s="109"/>
      <c r="B30" s="99"/>
      <c r="C30" s="99"/>
      <c r="D30" s="98"/>
      <c r="E30" s="98"/>
      <c r="F30" s="98"/>
      <c r="G30" s="98"/>
      <c r="H30" s="289"/>
      <c r="I30" s="91"/>
    </row>
    <row r="31" spans="1:20" x14ac:dyDescent="0.2">
      <c r="A31" s="99"/>
      <c r="B31" s="99"/>
      <c r="C31" s="99"/>
      <c r="D31" s="98"/>
      <c r="E31" s="98"/>
      <c r="F31" s="98"/>
      <c r="G31" s="98"/>
      <c r="H31" s="289"/>
      <c r="I31" s="91"/>
    </row>
    <row r="32" spans="1:20" x14ac:dyDescent="0.2">
      <c r="A32" s="109"/>
      <c r="B32" s="99"/>
      <c r="C32" s="99"/>
      <c r="D32" s="98"/>
      <c r="E32" s="98"/>
      <c r="F32" s="98"/>
      <c r="G32" s="98"/>
      <c r="H32" s="289"/>
      <c r="I32" s="91"/>
    </row>
    <row r="33" spans="1:9" x14ac:dyDescent="0.2">
      <c r="A33" s="109"/>
      <c r="B33" s="99"/>
      <c r="C33" s="99"/>
      <c r="D33" s="98"/>
      <c r="E33" s="98"/>
      <c r="F33" s="98"/>
      <c r="G33" s="98"/>
      <c r="H33" s="289"/>
      <c r="I33" s="91"/>
    </row>
    <row r="34" spans="1:9" x14ac:dyDescent="0.2">
      <c r="A34" s="109"/>
      <c r="B34" s="99"/>
      <c r="C34" s="99"/>
      <c r="D34" s="98"/>
      <c r="E34" s="98"/>
      <c r="F34" s="98"/>
      <c r="G34" s="98"/>
      <c r="H34" s="289"/>
      <c r="I34" s="91"/>
    </row>
    <row r="35" spans="1:9" x14ac:dyDescent="0.2">
      <c r="A35" s="109"/>
      <c r="B35" s="99"/>
      <c r="C35" s="99"/>
      <c r="D35" s="98"/>
      <c r="E35" s="98"/>
      <c r="F35" s="98"/>
      <c r="G35" s="98"/>
      <c r="H35" s="289"/>
      <c r="I35" s="91"/>
    </row>
    <row r="36" spans="1:9" x14ac:dyDescent="0.2">
      <c r="D36" s="2"/>
      <c r="E36" s="2"/>
      <c r="F36" s="91"/>
      <c r="G36" s="91"/>
      <c r="H36" s="110"/>
      <c r="I36" s="91"/>
    </row>
    <row r="37" spans="1:9" ht="13.5" thickBot="1" x14ac:dyDescent="0.25">
      <c r="A37" s="136"/>
      <c r="B37" s="91"/>
      <c r="C37" s="91"/>
      <c r="D37" s="91"/>
      <c r="E37" s="91"/>
      <c r="F37" s="91"/>
      <c r="G37" s="91"/>
      <c r="H37" s="95">
        <f>SUM(H19:H36)</f>
        <v>6000</v>
      </c>
      <c r="I37" s="91"/>
    </row>
    <row r="38" spans="1:9" ht="13.5" thickTop="1" x14ac:dyDescent="0.2">
      <c r="A38" s="61"/>
      <c r="B38" s="91"/>
      <c r="C38" s="91"/>
      <c r="D38" s="91"/>
      <c r="E38" s="91"/>
      <c r="F38" s="91"/>
      <c r="G38" s="91"/>
      <c r="H38" s="91"/>
      <c r="I38" s="91"/>
    </row>
    <row r="39" spans="1:9" ht="20.100000000000001" customHeight="1" x14ac:dyDescent="0.2">
      <c r="A39" s="96" t="s">
        <v>122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Six Thousand and NO/100 -----------</v>
      </c>
      <c r="C39" s="185"/>
      <c r="D39" s="97"/>
      <c r="E39" s="97"/>
      <c r="F39" s="97"/>
      <c r="G39" s="97"/>
      <c r="H39" s="97"/>
      <c r="I39" s="91"/>
    </row>
    <row r="40" spans="1:9" x14ac:dyDescent="0.2">
      <c r="A40" s="94" t="s">
        <v>11</v>
      </c>
      <c r="B40" s="91"/>
      <c r="C40" s="91"/>
      <c r="D40" s="91"/>
      <c r="E40" s="91"/>
      <c r="F40" s="91"/>
      <c r="G40" s="91"/>
      <c r="H40" s="91"/>
    </row>
    <row r="41" spans="1:9" ht="25.5" x14ac:dyDescent="0.2">
      <c r="A41" s="61" t="s">
        <v>10</v>
      </c>
      <c r="B41" s="91"/>
      <c r="C41" s="91"/>
      <c r="D41" s="91"/>
      <c r="E41" s="91"/>
      <c r="F41" s="218" t="s">
        <v>3975</v>
      </c>
      <c r="G41" s="219"/>
      <c r="H41" s="220"/>
    </row>
    <row r="42" spans="1:9" x14ac:dyDescent="0.2">
      <c r="A42" s="91"/>
      <c r="B42" s="91"/>
      <c r="C42" s="91"/>
      <c r="D42" s="91"/>
      <c r="E42" s="91"/>
      <c r="F42" s="91"/>
      <c r="G42" s="91"/>
      <c r="H42" s="91"/>
    </row>
    <row r="43" spans="1:9" x14ac:dyDescent="0.2">
      <c r="A43" s="103"/>
      <c r="B43" s="91"/>
      <c r="C43" s="91"/>
      <c r="D43" s="91"/>
      <c r="E43" s="91"/>
      <c r="F43" s="91"/>
      <c r="G43" s="91"/>
      <c r="H43" s="91"/>
    </row>
    <row r="44" spans="1:9" x14ac:dyDescent="0.2">
      <c r="A44" s="91"/>
      <c r="B44" s="91"/>
      <c r="C44" s="91"/>
      <c r="D44" s="99"/>
      <c r="E44" s="99"/>
      <c r="F44" s="91"/>
      <c r="G44" s="91"/>
      <c r="H44" s="91"/>
    </row>
    <row r="45" spans="1:9" x14ac:dyDescent="0.2">
      <c r="A45" s="101"/>
      <c r="B45" s="101"/>
      <c r="C45" s="91"/>
      <c r="D45" s="91"/>
      <c r="E45" s="91"/>
      <c r="F45" s="91"/>
      <c r="G45" s="91"/>
      <c r="H45" s="91"/>
    </row>
    <row r="46" spans="1:9" x14ac:dyDescent="0.2">
      <c r="B46" s="91"/>
      <c r="C46" s="91"/>
      <c r="D46" s="91"/>
      <c r="E46" s="91"/>
      <c r="F46" s="91"/>
      <c r="G46" s="91"/>
      <c r="H46" s="91"/>
    </row>
    <row r="47" spans="1:9" x14ac:dyDescent="0.2">
      <c r="A47" s="98" t="s">
        <v>8</v>
      </c>
      <c r="D47" s="98"/>
      <c r="E47" s="91"/>
      <c r="F47" s="98" t="s">
        <v>7</v>
      </c>
      <c r="G47" s="91"/>
      <c r="H47" s="102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91"/>
      <c r="B50" s="91"/>
      <c r="C50" s="91"/>
      <c r="D50" s="91"/>
      <c r="E50" s="91"/>
      <c r="F50" s="91"/>
      <c r="G50" s="91"/>
      <c r="H50" s="91"/>
    </row>
    <row r="51" spans="1:8" x14ac:dyDescent="0.2">
      <c r="A51" s="101"/>
      <c r="B51" s="101"/>
      <c r="C51" s="91"/>
      <c r="D51" s="91"/>
      <c r="E51" s="91"/>
      <c r="F51" s="101"/>
      <c r="G51" s="101"/>
      <c r="H51" s="101"/>
    </row>
    <row r="52" spans="1:8" s="3" customFormat="1" ht="17.100000000000001" customHeight="1" x14ac:dyDescent="0.2">
      <c r="A52" s="103" t="s">
        <v>4066</v>
      </c>
      <c r="B52" s="104"/>
      <c r="C52" s="104"/>
      <c r="D52" s="103"/>
      <c r="E52" s="61"/>
      <c r="F52" s="61" t="s">
        <v>3</v>
      </c>
      <c r="G52" s="61"/>
      <c r="H52" s="61"/>
    </row>
    <row r="53" spans="1:8" x14ac:dyDescent="0.2">
      <c r="A53" s="91"/>
      <c r="B53" s="91"/>
      <c r="C53" s="91"/>
      <c r="D53" s="91"/>
      <c r="E53" s="91"/>
      <c r="F53" s="91" t="s">
        <v>2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1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2" t="s">
        <v>0</v>
      </c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</sheetData>
  <mergeCells count="5">
    <mergeCell ref="A1:H1"/>
    <mergeCell ref="A2:H2"/>
    <mergeCell ref="A3:H3"/>
    <mergeCell ref="A4:H4"/>
    <mergeCell ref="A21:B21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1-000000000000}">
  <sheetPr codeName="Sheet262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3727</v>
      </c>
    </row>
    <row r="10" spans="1:6" s="91" customFormat="1" x14ac:dyDescent="0.2">
      <c r="A10" s="91" t="s">
        <v>2834</v>
      </c>
      <c r="D10" s="92" t="s">
        <v>1706</v>
      </c>
      <c r="E10" s="92" t="s">
        <v>3710</v>
      </c>
    </row>
    <row r="11" spans="1:6" s="91" customFormat="1" x14ac:dyDescent="0.2">
      <c r="A11" s="91" t="s">
        <v>2835</v>
      </c>
      <c r="D11" s="92" t="s">
        <v>1707</v>
      </c>
      <c r="E11" s="92" t="s">
        <v>1220</v>
      </c>
    </row>
    <row r="12" spans="1:6" s="91" customFormat="1" x14ac:dyDescent="0.2">
      <c r="A12" s="91" t="s">
        <v>2836</v>
      </c>
      <c r="D12" s="92" t="s">
        <v>1355</v>
      </c>
      <c r="E12" s="92" t="s">
        <v>3728</v>
      </c>
    </row>
    <row r="13" spans="1:6" s="91" customFormat="1" x14ac:dyDescent="0.2">
      <c r="A13" s="91" t="s">
        <v>2837</v>
      </c>
    </row>
    <row r="14" spans="1:6" s="91" customFormat="1" x14ac:dyDescent="0.2">
      <c r="A14" s="91" t="s">
        <v>1508</v>
      </c>
    </row>
    <row r="15" spans="1:6" s="91" customFormat="1" x14ac:dyDescent="0.2">
      <c r="A15" s="91" t="s">
        <v>2838</v>
      </c>
    </row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C18" s="2" t="s">
        <v>2839</v>
      </c>
    </row>
    <row r="19" spans="1:6" s="91" customFormat="1" x14ac:dyDescent="0.2"/>
    <row r="20" spans="1:6" s="91" customFormat="1" x14ac:dyDescent="0.2">
      <c r="A20" s="93" t="s">
        <v>3721</v>
      </c>
      <c r="B20" s="93" t="s">
        <v>3729</v>
      </c>
      <c r="C20" s="91" t="s">
        <v>2971</v>
      </c>
      <c r="F20" s="91">
        <v>498.2</v>
      </c>
    </row>
    <row r="21" spans="1:6" s="91" customFormat="1" x14ac:dyDescent="0.2"/>
    <row r="22" spans="1:6" s="91" customFormat="1" x14ac:dyDescent="0.2">
      <c r="C22" s="2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ht="13.5" thickBot="1" x14ac:dyDescent="0.25">
      <c r="F32" s="95">
        <f>SUM(F18:F31)</f>
        <v>498.2</v>
      </c>
    </row>
    <row r="33" spans="1:6" s="91" customFormat="1" ht="13.5" thickTop="1" x14ac:dyDescent="0.2"/>
    <row r="34" spans="1:6" s="91" customFormat="1" ht="13.5" thickBot="1" x14ac:dyDescent="0.25">
      <c r="F34" s="107"/>
    </row>
    <row r="35" spans="1:6" s="91" customFormat="1" ht="20.100000000000001" customHeight="1" thickTop="1" x14ac:dyDescent="0.2">
      <c r="A35" s="96" t="s">
        <v>336</v>
      </c>
      <c r="B35" s="96" t="s">
        <v>2972</v>
      </c>
      <c r="C35" s="97"/>
      <c r="D35" s="97"/>
      <c r="E35" s="97"/>
      <c r="F35" s="97"/>
    </row>
    <row r="36" spans="1:6" s="91" customFormat="1" ht="25.5" x14ac:dyDescent="0.2">
      <c r="A36" s="94" t="s">
        <v>11</v>
      </c>
      <c r="D36" s="218" t="s">
        <v>3975</v>
      </c>
      <c r="E36" s="219"/>
      <c r="F36" s="220"/>
    </row>
    <row r="37" spans="1:6" s="91" customFormat="1" x14ac:dyDescent="0.2">
      <c r="A37" s="91" t="s">
        <v>10</v>
      </c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B41" s="101"/>
    </row>
    <row r="42" spans="1:6" s="91" customFormat="1" x14ac:dyDescent="0.2">
      <c r="A42" s="101"/>
    </row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s="91" customFormat="1" x14ac:dyDescent="0.2">
      <c r="A49" s="91" t="s">
        <v>4066</v>
      </c>
      <c r="D49" s="91" t="s">
        <v>2</v>
      </c>
    </row>
    <row r="50" spans="1:4" s="91" customFormat="1" x14ac:dyDescent="0.2"/>
    <row r="51" spans="1:4" s="91" customFormat="1" x14ac:dyDescent="0.2">
      <c r="D51" s="2" t="s">
        <v>1</v>
      </c>
    </row>
    <row r="52" spans="1:4" s="91" customFormat="1" x14ac:dyDescent="0.2">
      <c r="D52" s="2" t="s">
        <v>0</v>
      </c>
    </row>
    <row r="53" spans="1:4" s="91" customFormat="1" x14ac:dyDescent="0.2"/>
    <row r="54" spans="1:4" s="91" customFormat="1" x14ac:dyDescent="0.2"/>
    <row r="55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5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1-000000000000}">
  <sheetPr codeName="Sheet533">
    <pageSetUpPr fitToPage="1"/>
  </sheetPr>
  <dimension ref="A1:K64"/>
  <sheetViews>
    <sheetView topLeftCell="A16" workbookViewId="0">
      <selection activeCell="F34" sqref="F3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0.85546875" style="1" customWidth="1"/>
    <col min="4" max="4" width="21" style="1" customWidth="1"/>
    <col min="5" max="5" width="1.14062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 t="s">
        <v>5050</v>
      </c>
      <c r="B9" s="91"/>
      <c r="C9" s="91"/>
      <c r="D9" s="91"/>
      <c r="E9" s="91"/>
      <c r="F9" s="92" t="s">
        <v>30</v>
      </c>
      <c r="G9" s="91" t="s">
        <v>5201</v>
      </c>
      <c r="H9" s="91"/>
    </row>
    <row r="10" spans="1:10" x14ac:dyDescent="0.2">
      <c r="A10" s="91" t="s">
        <v>5051</v>
      </c>
      <c r="B10" s="91"/>
      <c r="C10" s="91"/>
      <c r="D10" s="91"/>
      <c r="E10" s="91"/>
      <c r="F10" s="92" t="s">
        <v>27</v>
      </c>
      <c r="G10" s="92" t="s">
        <v>5202</v>
      </c>
      <c r="H10" s="91"/>
      <c r="J10" s="20"/>
    </row>
    <row r="11" spans="1:10" x14ac:dyDescent="0.2">
      <c r="A11" s="91" t="s">
        <v>5052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</row>
    <row r="12" spans="1:10" x14ac:dyDescent="0.2">
      <c r="A12" s="91"/>
      <c r="B12" s="91"/>
      <c r="C12" s="91"/>
      <c r="D12" s="91"/>
      <c r="E12" s="91"/>
      <c r="F12" s="92" t="s">
        <v>22</v>
      </c>
      <c r="G12" s="92" t="s">
        <v>770</v>
      </c>
      <c r="H12" s="91"/>
    </row>
    <row r="13" spans="1:10" x14ac:dyDescent="0.2">
      <c r="A13" s="91"/>
      <c r="B13" s="91"/>
      <c r="C13" s="91"/>
      <c r="D13" s="91"/>
      <c r="E13" s="91"/>
      <c r="F13" s="91"/>
      <c r="G13" s="91"/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91"/>
      <c r="B17" s="91"/>
      <c r="C17" s="91"/>
      <c r="D17" s="91"/>
      <c r="E17" s="91"/>
      <c r="F17" s="91"/>
      <c r="G17" s="91"/>
      <c r="H17" s="91"/>
    </row>
    <row r="18" spans="1:11" x14ac:dyDescent="0.2">
      <c r="A18" s="91"/>
      <c r="B18" s="91"/>
      <c r="C18" s="91"/>
      <c r="D18" s="2" t="s">
        <v>5048</v>
      </c>
      <c r="E18" s="2"/>
      <c r="F18" s="91"/>
      <c r="G18" s="91"/>
      <c r="H18" s="91"/>
      <c r="K18" s="247"/>
    </row>
    <row r="19" spans="1:11" x14ac:dyDescent="0.2">
      <c r="A19" s="91"/>
      <c r="B19" s="91"/>
      <c r="C19" s="91"/>
      <c r="D19" s="2"/>
      <c r="E19" s="2"/>
      <c r="F19" s="91"/>
      <c r="G19" s="91"/>
      <c r="H19" s="91"/>
    </row>
    <row r="20" spans="1:11" x14ac:dyDescent="0.2">
      <c r="A20" s="93" t="s">
        <v>5207</v>
      </c>
      <c r="B20" s="93" t="s">
        <v>5208</v>
      </c>
      <c r="C20" s="93"/>
      <c r="D20" s="91" t="s">
        <v>5049</v>
      </c>
      <c r="E20" s="91"/>
      <c r="F20" s="91"/>
      <c r="G20" s="91"/>
      <c r="H20" s="91">
        <f>15000*3.2438</f>
        <v>48657</v>
      </c>
    </row>
    <row r="21" spans="1:11" x14ac:dyDescent="0.2">
      <c r="A21" s="91"/>
      <c r="B21" s="94"/>
      <c r="C21" s="94"/>
      <c r="D21" s="91" t="s">
        <v>5209</v>
      </c>
      <c r="E21" s="91"/>
      <c r="F21" s="91"/>
      <c r="G21" s="91"/>
      <c r="H21" s="91"/>
    </row>
    <row r="22" spans="1:11" x14ac:dyDescent="0.2">
      <c r="A22" s="93"/>
      <c r="B22" s="93"/>
      <c r="C22" s="93"/>
      <c r="F22" s="91"/>
      <c r="G22" s="91"/>
      <c r="H22" s="91"/>
    </row>
    <row r="23" spans="1:11" x14ac:dyDescent="0.2">
      <c r="A23" s="91"/>
      <c r="B23" s="94"/>
      <c r="C23" s="94"/>
      <c r="D23" s="91" t="s">
        <v>52</v>
      </c>
      <c r="E23" s="91"/>
      <c r="F23" s="91"/>
      <c r="G23" s="91"/>
      <c r="H23" s="91">
        <v>30</v>
      </c>
    </row>
    <row r="24" spans="1:11" x14ac:dyDescent="0.2">
      <c r="A24" s="93"/>
      <c r="B24" s="93"/>
      <c r="C24" s="93"/>
      <c r="D24" s="91"/>
      <c r="E24" s="91"/>
      <c r="F24" s="91"/>
      <c r="G24" s="91"/>
      <c r="H24" s="91"/>
    </row>
    <row r="25" spans="1:11" x14ac:dyDescent="0.2">
      <c r="A25" s="91"/>
      <c r="B25" s="91"/>
      <c r="C25" s="91"/>
      <c r="D25" s="91" t="s">
        <v>4596</v>
      </c>
      <c r="E25" s="91"/>
      <c r="H25" s="91">
        <f>H23*6%</f>
        <v>1.7999999999999998</v>
      </c>
    </row>
    <row r="26" spans="1:11" x14ac:dyDescent="0.2">
      <c r="A26" s="91"/>
      <c r="B26" s="94"/>
      <c r="C26" s="94"/>
      <c r="D26" s="91"/>
      <c r="E26" s="91"/>
    </row>
    <row r="27" spans="1:11" x14ac:dyDescent="0.2">
      <c r="A27" s="91"/>
      <c r="B27" s="91"/>
      <c r="C27" s="91"/>
    </row>
    <row r="28" spans="1:11" x14ac:dyDescent="0.2">
      <c r="A28" s="91"/>
      <c r="B28" s="91"/>
      <c r="C28" s="91"/>
      <c r="D28" s="91"/>
      <c r="E28" s="91"/>
      <c r="F28" s="91"/>
      <c r="G28" s="91"/>
      <c r="H28" s="91"/>
    </row>
    <row r="29" spans="1:11" x14ac:dyDescent="0.2">
      <c r="A29" s="91"/>
      <c r="B29" s="91"/>
      <c r="C29" s="91"/>
      <c r="F29" s="91"/>
      <c r="G29" s="91"/>
      <c r="H29" s="91"/>
    </row>
    <row r="30" spans="1:11" x14ac:dyDescent="0.2">
      <c r="A30" s="91"/>
      <c r="B30" s="94"/>
      <c r="C30" s="94"/>
      <c r="D30" s="143"/>
      <c r="E30" s="143"/>
      <c r="F30" s="91"/>
      <c r="G30" s="91"/>
      <c r="H30" s="91"/>
    </row>
    <row r="31" spans="1:11" x14ac:dyDescent="0.2">
      <c r="A31" s="91"/>
      <c r="B31" s="91"/>
      <c r="C31" s="91"/>
    </row>
    <row r="32" spans="1:11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48688.800000000003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Forty-Eight Thousand Six Hundred Eighty-Eight and 80/100 -----------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1-000000000000}">
  <sheetPr codeName="Sheet379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3732</v>
      </c>
      <c r="D9" s="92" t="s">
        <v>1317</v>
      </c>
      <c r="E9" s="91" t="s">
        <v>3846</v>
      </c>
    </row>
    <row r="10" spans="1:6" x14ac:dyDescent="0.2">
      <c r="D10" s="92" t="s">
        <v>1329</v>
      </c>
      <c r="E10" s="91" t="s">
        <v>3840</v>
      </c>
    </row>
    <row r="11" spans="1:6" x14ac:dyDescent="0.2">
      <c r="D11" s="92" t="s">
        <v>1330</v>
      </c>
      <c r="E11" s="91" t="s">
        <v>1220</v>
      </c>
    </row>
    <row r="12" spans="1:6" x14ac:dyDescent="0.2">
      <c r="D12" s="92" t="s">
        <v>1331</v>
      </c>
      <c r="E12" s="94" t="s">
        <v>3847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3780</v>
      </c>
    </row>
    <row r="19" spans="1:6" x14ac:dyDescent="0.2">
      <c r="A19" s="106"/>
      <c r="C19" s="2" t="s">
        <v>3848</v>
      </c>
    </row>
    <row r="21" spans="1:6" x14ac:dyDescent="0.2">
      <c r="A21" s="93"/>
      <c r="B21" s="145" t="s">
        <v>3849</v>
      </c>
      <c r="C21" s="91" t="s">
        <v>3850</v>
      </c>
      <c r="F21" s="91">
        <v>1500</v>
      </c>
    </row>
    <row r="22" spans="1:6" x14ac:dyDescent="0.2">
      <c r="A22" s="93"/>
      <c r="B22" s="94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1500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Five Hundred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1-000000000000}">
  <sheetPr codeName="Sheet315">
    <tabColor rgb="FFFFFF00"/>
  </sheetPr>
  <dimension ref="A1:O56"/>
  <sheetViews>
    <sheetView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16.28515625" style="1" customWidth="1"/>
    <col min="2" max="2" width="13.5703125" style="1" customWidth="1"/>
    <col min="3" max="3" width="1" style="1" customWidth="1"/>
    <col min="4" max="4" width="21.85546875" style="1" customWidth="1"/>
    <col min="5" max="5" width="0.7109375" style="1" customWidth="1"/>
    <col min="6" max="6" width="15.140625" style="1" customWidth="1"/>
    <col min="7" max="7" width="10.85546875" style="1" customWidth="1"/>
    <col min="8" max="8" width="12" style="1" customWidth="1"/>
    <col min="9" max="9" width="3.85546875" style="1" customWidth="1"/>
    <col min="10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15" s="91" customFormat="1" x14ac:dyDescent="0.2"/>
    <row r="8" spans="1:15" s="91" customFormat="1" x14ac:dyDescent="0.2">
      <c r="A8" s="91" t="s">
        <v>32</v>
      </c>
      <c r="F8" s="22" t="s">
        <v>31</v>
      </c>
      <c r="K8" s="91" t="s">
        <v>8913</v>
      </c>
      <c r="L8" s="91">
        <v>43921</v>
      </c>
      <c r="M8" s="91" t="s">
        <v>8914</v>
      </c>
      <c r="N8" s="91" t="s">
        <v>3187</v>
      </c>
    </row>
    <row r="9" spans="1:15" s="91" customFormat="1" x14ac:dyDescent="0.2">
      <c r="F9" s="92" t="s">
        <v>1705</v>
      </c>
      <c r="G9" s="91" t="s">
        <v>8913</v>
      </c>
    </row>
    <row r="10" spans="1:15" s="91" customFormat="1" x14ac:dyDescent="0.2">
      <c r="A10" s="91" t="s">
        <v>3187</v>
      </c>
      <c r="F10" s="92" t="s">
        <v>1706</v>
      </c>
      <c r="G10" s="92" t="s">
        <v>8898</v>
      </c>
    </row>
    <row r="11" spans="1:15" s="91" customFormat="1" x14ac:dyDescent="0.2">
      <c r="A11" s="91" t="s">
        <v>3188</v>
      </c>
      <c r="F11" s="92" t="s">
        <v>1707</v>
      </c>
      <c r="G11" s="92" t="s">
        <v>1220</v>
      </c>
      <c r="L11" s="91" t="s">
        <v>7732</v>
      </c>
      <c r="M11" s="91">
        <v>43690</v>
      </c>
      <c r="O11" s="91" t="s">
        <v>7733</v>
      </c>
    </row>
    <row r="12" spans="1:15" s="91" customFormat="1" x14ac:dyDescent="0.2">
      <c r="A12" s="91" t="s">
        <v>2752</v>
      </c>
      <c r="F12" s="92" t="s">
        <v>1355</v>
      </c>
      <c r="G12" s="92" t="s">
        <v>8914</v>
      </c>
    </row>
    <row r="13" spans="1:15" s="91" customFormat="1" x14ac:dyDescent="0.2">
      <c r="A13" s="91" t="s">
        <v>1314</v>
      </c>
      <c r="G13" s="91" t="s">
        <v>7762</v>
      </c>
    </row>
    <row r="14" spans="1:15" s="91" customFormat="1" x14ac:dyDescent="0.2">
      <c r="A14" s="91" t="s">
        <v>3189</v>
      </c>
    </row>
    <row r="15" spans="1:15" s="91" customFormat="1" x14ac:dyDescent="0.2"/>
    <row r="16" spans="1:15" s="14" customFormat="1" ht="20.100000000000001" customHeight="1" x14ac:dyDescent="0.2">
      <c r="A16" s="17" t="s">
        <v>129</v>
      </c>
      <c r="B16" s="31" t="s">
        <v>1379</v>
      </c>
      <c r="C16" s="420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 t="s">
        <v>8916</v>
      </c>
      <c r="B18" s="99"/>
      <c r="C18" s="421"/>
      <c r="D18" s="91" t="s">
        <v>3190</v>
      </c>
      <c r="H18" s="91">
        <v>850</v>
      </c>
    </row>
    <row r="19" spans="1:8" s="91" customFormat="1" x14ac:dyDescent="0.2">
      <c r="D19" s="91" t="s">
        <v>8915</v>
      </c>
    </row>
    <row r="20" spans="1:8" s="91" customFormat="1" x14ac:dyDescent="0.2">
      <c r="A20" s="93"/>
      <c r="B20" s="93"/>
      <c r="C20" s="93"/>
    </row>
    <row r="21" spans="1:8" s="91" customFormat="1" x14ac:dyDescent="0.2"/>
    <row r="22" spans="1:8" s="91" customFormat="1" x14ac:dyDescent="0.2"/>
    <row r="23" spans="1:8" s="91" customFormat="1" x14ac:dyDescent="0.2"/>
    <row r="24" spans="1:8" s="91" customFormat="1" x14ac:dyDescent="0.2">
      <c r="A24" s="93"/>
      <c r="B24" s="93"/>
      <c r="C24" s="93"/>
    </row>
    <row r="25" spans="1:8" s="91" customFormat="1" x14ac:dyDescent="0.2"/>
    <row r="26" spans="1:8" s="91" customFormat="1" x14ac:dyDescent="0.2">
      <c r="A26" s="93"/>
      <c r="B26" s="93"/>
      <c r="C26" s="93"/>
    </row>
    <row r="27" spans="1:8" s="91" customFormat="1" x14ac:dyDescent="0.2"/>
    <row r="28" spans="1:8" s="91" customFormat="1" x14ac:dyDescent="0.2"/>
    <row r="29" spans="1:8" s="91" customFormat="1" x14ac:dyDescent="0.2">
      <c r="B29" s="94"/>
      <c r="C29" s="94"/>
    </row>
    <row r="30" spans="1:8" s="91" customFormat="1" x14ac:dyDescent="0.2">
      <c r="B30" s="94"/>
      <c r="C30" s="94"/>
    </row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SUM(H18:H32)</f>
        <v>850</v>
      </c>
    </row>
    <row r="35" spans="1:8" s="91" customFormat="1" ht="13.5" thickTop="1" x14ac:dyDescent="0.2">
      <c r="H35" s="101"/>
    </row>
    <row r="36" spans="1:8" s="91" customFormat="1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Hundred Fifty and NO/100 -----------</v>
      </c>
      <c r="C36" s="185"/>
      <c r="D36" s="97"/>
      <c r="E36" s="97"/>
      <c r="F36" s="97"/>
      <c r="G36" s="97"/>
      <c r="H36" s="207"/>
    </row>
    <row r="37" spans="1:8" s="91" customFormat="1" x14ac:dyDescent="0.2">
      <c r="A37" s="94" t="s">
        <v>11</v>
      </c>
    </row>
    <row r="38" spans="1:8" s="91" customFormat="1" ht="25.5" x14ac:dyDescent="0.2">
      <c r="A38" s="91" t="s">
        <v>10</v>
      </c>
      <c r="F38" s="218" t="s">
        <v>3975</v>
      </c>
      <c r="G38" s="219"/>
      <c r="H38" s="220"/>
    </row>
    <row r="39" spans="1:8" s="91" customFormat="1" x14ac:dyDescent="0.2"/>
    <row r="40" spans="1:8" s="91" customFormat="1" x14ac:dyDescent="0.2">
      <c r="F40" s="227"/>
      <c r="G40" s="227"/>
      <c r="H40" s="227"/>
    </row>
    <row r="41" spans="1:8" s="91" customFormat="1" x14ac:dyDescent="0.2">
      <c r="F41" s="228"/>
      <c r="G41" s="229"/>
      <c r="H41" s="229"/>
    </row>
    <row r="42" spans="1:8" s="91" customFormat="1" x14ac:dyDescent="0.2">
      <c r="A42" s="101"/>
      <c r="B42" s="101"/>
      <c r="C42" s="386"/>
    </row>
    <row r="43" spans="1:8" s="91" customFormat="1" x14ac:dyDescent="0.2"/>
    <row r="44" spans="1:8" s="91" customFormat="1" x14ac:dyDescent="0.2">
      <c r="A44" s="98" t="s">
        <v>8</v>
      </c>
      <c r="D44" s="98" t="s">
        <v>8</v>
      </c>
      <c r="F44" s="98" t="s">
        <v>7</v>
      </c>
      <c r="H44" s="102"/>
    </row>
    <row r="45" spans="1:8" s="91" customFormat="1" x14ac:dyDescent="0.2"/>
    <row r="46" spans="1:8" s="91" customFormat="1" x14ac:dyDescent="0.2"/>
    <row r="47" spans="1:8" s="91" customFormat="1" x14ac:dyDescent="0.2"/>
    <row r="48" spans="1:8" s="91" customFormat="1" x14ac:dyDescent="0.2">
      <c r="A48" s="101"/>
      <c r="B48" s="101"/>
      <c r="C48" s="386"/>
      <c r="D48" s="101"/>
      <c r="F48" s="101"/>
      <c r="G48" s="101"/>
      <c r="H48" s="101"/>
    </row>
    <row r="49" spans="1:6" s="61" customFormat="1" ht="17.100000000000001" customHeight="1" x14ac:dyDescent="0.2">
      <c r="A49" s="103" t="s">
        <v>4047</v>
      </c>
      <c r="B49" s="104"/>
      <c r="C49" s="104"/>
      <c r="D49" s="103" t="s">
        <v>50</v>
      </c>
      <c r="F49" s="61" t="s">
        <v>3</v>
      </c>
    </row>
    <row r="50" spans="1:6" s="91" customFormat="1" x14ac:dyDescent="0.2">
      <c r="F50" s="91" t="s">
        <v>2</v>
      </c>
    </row>
    <row r="51" spans="1:6" s="91" customFormat="1" x14ac:dyDescent="0.2"/>
    <row r="52" spans="1:6" s="91" customFormat="1" x14ac:dyDescent="0.2">
      <c r="F52" s="2" t="s">
        <v>1</v>
      </c>
    </row>
    <row r="53" spans="1:6" s="91" customFormat="1" x14ac:dyDescent="0.2">
      <c r="F53" s="2" t="s">
        <v>0</v>
      </c>
    </row>
    <row r="54" spans="1:6" s="91" customFormat="1" x14ac:dyDescent="0.2"/>
    <row r="55" spans="1:6" s="91" customFormat="1" x14ac:dyDescent="0.2"/>
    <row r="56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5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1-000000000000}">
  <sheetPr codeName="Sheet346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3234</v>
      </c>
      <c r="D9" s="92" t="s">
        <v>1317</v>
      </c>
      <c r="E9" s="156" t="s">
        <v>3233</v>
      </c>
    </row>
    <row r="10" spans="1:6" x14ac:dyDescent="0.2">
      <c r="A10" s="91" t="s">
        <v>3235</v>
      </c>
      <c r="D10" s="92" t="s">
        <v>1329</v>
      </c>
      <c r="E10" s="197" t="s">
        <v>3239</v>
      </c>
    </row>
    <row r="11" spans="1:6" x14ac:dyDescent="0.2">
      <c r="A11" s="91" t="s">
        <v>3236</v>
      </c>
      <c r="D11" s="92" t="s">
        <v>1330</v>
      </c>
      <c r="E11" s="197" t="s">
        <v>1220</v>
      </c>
    </row>
    <row r="12" spans="1:6" x14ac:dyDescent="0.2">
      <c r="A12" s="91" t="s">
        <v>3237</v>
      </c>
      <c r="D12" s="92" t="s">
        <v>1331</v>
      </c>
      <c r="E12" s="197" t="s">
        <v>3240</v>
      </c>
    </row>
    <row r="13" spans="1:6" x14ac:dyDescent="0.2">
      <c r="A13" s="91" t="s">
        <v>3238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9"/>
      <c r="C18" s="2" t="s">
        <v>3241</v>
      </c>
    </row>
    <row r="20" spans="1:6" x14ac:dyDescent="0.2">
      <c r="A20" s="93" t="s">
        <v>3242</v>
      </c>
      <c r="B20" s="99" t="s">
        <v>3243</v>
      </c>
      <c r="C20" s="91" t="s">
        <v>3244</v>
      </c>
      <c r="F20" s="91">
        <v>4000</v>
      </c>
    </row>
    <row r="21" spans="1:6" x14ac:dyDescent="0.2">
      <c r="A21" s="93"/>
      <c r="B21" s="94"/>
    </row>
    <row r="22" spans="1:6" x14ac:dyDescent="0.2">
      <c r="A22" s="93"/>
      <c r="B22" s="99"/>
    </row>
    <row r="27" spans="1:6" x14ac:dyDescent="0.2">
      <c r="A27" s="137"/>
      <c r="B27" s="99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SUM(F20:F33)</f>
        <v>4000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">
        <v>3245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1-000000000000}">
  <sheetPr codeName="Sheet263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6.4257812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2578</v>
      </c>
      <c r="F9" s="153"/>
    </row>
    <row r="10" spans="1:6" x14ac:dyDescent="0.2">
      <c r="A10" s="153" t="s">
        <v>2580</v>
      </c>
      <c r="B10" s="153"/>
      <c r="C10" s="153"/>
      <c r="D10" s="155" t="s">
        <v>1357</v>
      </c>
      <c r="E10" s="92" t="s">
        <v>2579</v>
      </c>
      <c r="F10" s="153"/>
    </row>
    <row r="11" spans="1:6" x14ac:dyDescent="0.2">
      <c r="A11" s="153" t="s">
        <v>2581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2582</v>
      </c>
      <c r="B12" s="153"/>
      <c r="C12" s="153"/>
      <c r="D12" s="155" t="s">
        <v>1377</v>
      </c>
      <c r="E12" s="92" t="s">
        <v>770</v>
      </c>
      <c r="F12" s="153"/>
    </row>
    <row r="13" spans="1:6" x14ac:dyDescent="0.2">
      <c r="A13" s="153" t="s">
        <v>2583</v>
      </c>
      <c r="B13" s="153"/>
      <c r="C13" s="153"/>
      <c r="D13" s="153"/>
      <c r="E13" s="91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7" x14ac:dyDescent="0.2">
      <c r="A17" s="153"/>
      <c r="B17" s="153"/>
      <c r="C17" s="153"/>
      <c r="D17" s="153"/>
      <c r="E17" s="153"/>
      <c r="F17" s="153"/>
    </row>
    <row r="18" spans="1:7" x14ac:dyDescent="0.2">
      <c r="A18" s="153"/>
      <c r="B18" s="153"/>
      <c r="C18" s="163" t="s">
        <v>2584</v>
      </c>
      <c r="D18" s="153"/>
      <c r="E18" s="153"/>
      <c r="F18" s="153"/>
    </row>
    <row r="19" spans="1:7" x14ac:dyDescent="0.2">
      <c r="A19" s="153"/>
      <c r="B19" s="153"/>
      <c r="C19" s="163" t="s">
        <v>2585</v>
      </c>
      <c r="D19" s="153"/>
      <c r="E19" s="153"/>
      <c r="F19" s="153"/>
      <c r="G19" s="153"/>
    </row>
    <row r="20" spans="1:7" x14ac:dyDescent="0.2">
      <c r="A20" s="164"/>
      <c r="B20" s="153"/>
      <c r="C20" s="163"/>
      <c r="D20" s="153"/>
      <c r="E20" s="153"/>
      <c r="F20" s="153"/>
      <c r="G20" s="153"/>
    </row>
    <row r="21" spans="1:7" x14ac:dyDescent="0.2">
      <c r="A21" s="168" t="s">
        <v>2586</v>
      </c>
      <c r="B21" s="173" t="s">
        <v>2587</v>
      </c>
      <c r="C21" s="153" t="s">
        <v>2588</v>
      </c>
      <c r="D21" s="153"/>
      <c r="E21" s="153"/>
      <c r="F21" s="153">
        <f>1700000*0.000329</f>
        <v>559.29999999999995</v>
      </c>
      <c r="G21" s="153"/>
    </row>
    <row r="22" spans="1:7" x14ac:dyDescent="0.2">
      <c r="G22" s="153"/>
    </row>
    <row r="23" spans="1:7" x14ac:dyDescent="0.2">
      <c r="A23" s="168" t="s">
        <v>2586</v>
      </c>
      <c r="B23" s="173" t="s">
        <v>2589</v>
      </c>
      <c r="C23" s="153" t="s">
        <v>2611</v>
      </c>
      <c r="D23" s="153"/>
      <c r="E23" s="153"/>
      <c r="F23" s="153">
        <f>3040000*0.000329</f>
        <v>1000.16</v>
      </c>
      <c r="G23" s="153"/>
    </row>
    <row r="24" spans="1:7" x14ac:dyDescent="0.2">
      <c r="C24" s="153" t="s">
        <v>2591</v>
      </c>
      <c r="G24" s="153"/>
    </row>
    <row r="25" spans="1:7" x14ac:dyDescent="0.2">
      <c r="F25" s="153"/>
      <c r="G25" s="153"/>
    </row>
    <row r="26" spans="1:7" x14ac:dyDescent="0.2">
      <c r="A26" s="168" t="s">
        <v>2586</v>
      </c>
      <c r="B26" s="173" t="s">
        <v>2590</v>
      </c>
      <c r="C26" s="153" t="s">
        <v>2612</v>
      </c>
      <c r="D26" s="153"/>
      <c r="E26" s="153"/>
      <c r="F26" s="153">
        <f>6000000*0.000329</f>
        <v>1973.9999999999998</v>
      </c>
      <c r="G26" s="153"/>
    </row>
    <row r="27" spans="1:7" x14ac:dyDescent="0.2">
      <c r="G27" s="153"/>
    </row>
    <row r="28" spans="1:7" x14ac:dyDescent="0.2">
      <c r="A28" s="168" t="s">
        <v>2586</v>
      </c>
      <c r="B28" s="173" t="s">
        <v>2592</v>
      </c>
      <c r="C28" s="153" t="s">
        <v>2613</v>
      </c>
      <c r="F28" s="153">
        <f>1000000*0.000329</f>
        <v>329</v>
      </c>
      <c r="G28" s="153"/>
    </row>
    <row r="29" spans="1:7" x14ac:dyDescent="0.2">
      <c r="A29" s="168"/>
      <c r="B29" s="169"/>
      <c r="C29" s="153"/>
      <c r="D29" s="153"/>
      <c r="E29" s="153"/>
      <c r="F29" s="153"/>
      <c r="G29" s="153"/>
    </row>
    <row r="30" spans="1:7" x14ac:dyDescent="0.2">
      <c r="A30" s="168"/>
      <c r="B30" s="169"/>
      <c r="C30" s="153" t="s">
        <v>52</v>
      </c>
      <c r="D30" s="153"/>
      <c r="E30" s="153"/>
      <c r="F30" s="153">
        <v>20</v>
      </c>
      <c r="G30" s="153"/>
    </row>
    <row r="31" spans="1:7" x14ac:dyDescent="0.2">
      <c r="A31" s="168"/>
      <c r="B31" s="169"/>
      <c r="C31" s="153"/>
      <c r="D31" s="153"/>
      <c r="E31" s="153"/>
      <c r="F31" s="153"/>
      <c r="G31" s="153"/>
    </row>
    <row r="32" spans="1:7" ht="13.5" thickBot="1" x14ac:dyDescent="0.25">
      <c r="A32" s="153"/>
      <c r="B32" s="153"/>
      <c r="C32" s="153"/>
      <c r="D32" s="153"/>
      <c r="E32" s="153"/>
      <c r="F32" s="170">
        <f>SUM(F20:F31)</f>
        <v>3882.46</v>
      </c>
      <c r="G32" s="153"/>
    </row>
    <row r="33" spans="1:7" ht="13.5" thickTop="1" x14ac:dyDescent="0.2">
      <c r="A33" s="153"/>
      <c r="B33" s="153"/>
      <c r="C33" s="153"/>
      <c r="D33" s="153"/>
      <c r="E33" s="153"/>
      <c r="F33" s="153"/>
      <c r="G33" s="153"/>
    </row>
    <row r="34" spans="1:7" ht="13.5" thickBot="1" x14ac:dyDescent="0.25">
      <c r="A34" s="153"/>
      <c r="B34" s="153"/>
      <c r="C34" s="153"/>
      <c r="D34" s="153"/>
      <c r="E34" s="153"/>
      <c r="F34" s="170"/>
      <c r="G34" s="153"/>
    </row>
    <row r="35" spans="1:7" ht="20.100000000000001" customHeight="1" thickTop="1" x14ac:dyDescent="0.2">
      <c r="A35" s="171" t="s">
        <v>122</v>
      </c>
      <c r="B35" s="171" t="s">
        <v>2593</v>
      </c>
      <c r="C35" s="172"/>
      <c r="D35" s="172"/>
      <c r="E35" s="172"/>
      <c r="F35" s="172"/>
      <c r="G35" s="153"/>
    </row>
    <row r="36" spans="1:7" ht="25.5" x14ac:dyDescent="0.2">
      <c r="A36" s="169" t="s">
        <v>11</v>
      </c>
      <c r="B36" s="153"/>
      <c r="C36" s="153"/>
      <c r="D36" s="218" t="s">
        <v>3975</v>
      </c>
      <c r="E36" s="219"/>
      <c r="F36" s="220"/>
    </row>
    <row r="37" spans="1:7" x14ac:dyDescent="0.2">
      <c r="A37" s="153" t="s">
        <v>10</v>
      </c>
      <c r="B37" s="153"/>
      <c r="C37" s="153"/>
      <c r="D37" s="153"/>
      <c r="E37" s="153"/>
      <c r="F37" s="153"/>
    </row>
    <row r="38" spans="1:7" x14ac:dyDescent="0.2">
      <c r="A38" s="153"/>
      <c r="B38" s="153"/>
      <c r="C38" s="153"/>
      <c r="D38" s="153"/>
      <c r="E38" s="153"/>
      <c r="F38" s="153"/>
    </row>
    <row r="39" spans="1:7" x14ac:dyDescent="0.2">
      <c r="A39" s="153"/>
      <c r="B39" s="153"/>
      <c r="C39" s="153"/>
      <c r="D39" s="227"/>
      <c r="E39" s="227"/>
      <c r="F39" s="227"/>
    </row>
    <row r="40" spans="1:7" x14ac:dyDescent="0.2">
      <c r="A40" s="153"/>
      <c r="B40" s="153"/>
      <c r="C40" s="173"/>
      <c r="D40" s="228"/>
      <c r="E40" s="229"/>
      <c r="F40" s="229"/>
    </row>
    <row r="41" spans="1:7" x14ac:dyDescent="0.2">
      <c r="B41" s="153"/>
      <c r="C41" s="153"/>
      <c r="D41" s="153"/>
      <c r="E41" s="153"/>
      <c r="F41" s="153"/>
    </row>
    <row r="42" spans="1:7" x14ac:dyDescent="0.2">
      <c r="B42" s="153"/>
      <c r="C42" s="153"/>
      <c r="D42" s="153"/>
      <c r="E42" s="153"/>
      <c r="F42" s="153"/>
    </row>
    <row r="43" spans="1:7" x14ac:dyDescent="0.2">
      <c r="A43" s="175" t="s">
        <v>8</v>
      </c>
      <c r="C43" s="153"/>
      <c r="D43" s="175" t="s">
        <v>7</v>
      </c>
      <c r="E43" s="153"/>
      <c r="F43" s="176"/>
    </row>
    <row r="44" spans="1:7" x14ac:dyDescent="0.2">
      <c r="A44" s="153"/>
      <c r="B44" s="153"/>
      <c r="C44" s="153"/>
      <c r="D44" s="153"/>
      <c r="E44" s="153"/>
      <c r="F44" s="153"/>
    </row>
    <row r="45" spans="1:7" x14ac:dyDescent="0.2">
      <c r="A45" s="153"/>
      <c r="B45" s="153"/>
      <c r="C45" s="153"/>
      <c r="D45" s="153"/>
      <c r="E45" s="153"/>
      <c r="F45" s="153"/>
    </row>
    <row r="46" spans="1:7" x14ac:dyDescent="0.2">
      <c r="A46" s="153"/>
      <c r="B46" s="153"/>
      <c r="C46" s="153"/>
      <c r="D46" s="153"/>
      <c r="E46" s="153"/>
      <c r="F46" s="153"/>
    </row>
    <row r="47" spans="1:7" x14ac:dyDescent="0.2">
      <c r="A47" s="174" t="s">
        <v>3972</v>
      </c>
      <c r="B47" s="174"/>
      <c r="C47" s="153"/>
      <c r="D47" s="174"/>
      <c r="E47" s="174"/>
      <c r="F47" s="174"/>
    </row>
    <row r="48" spans="1:7" s="178" customFormat="1" ht="17.100000000000001" customHeight="1" x14ac:dyDescent="0.2">
      <c r="A48" s="177" t="s">
        <v>35</v>
      </c>
      <c r="B48" s="177"/>
      <c r="C48" s="156"/>
      <c r="D48" s="156" t="s">
        <v>3</v>
      </c>
      <c r="E48" s="156"/>
      <c r="F48" s="156"/>
    </row>
    <row r="49" spans="1:6" x14ac:dyDescent="0.2">
      <c r="A49" s="153" t="s">
        <v>4066</v>
      </c>
      <c r="B49" s="153"/>
      <c r="C49" s="153"/>
      <c r="D49" s="153" t="s">
        <v>2</v>
      </c>
      <c r="E49" s="153"/>
      <c r="F49" s="153"/>
    </row>
    <row r="50" spans="1:6" x14ac:dyDescent="0.2">
      <c r="A50" s="153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1-000000000000}">
  <sheetPr codeName="Sheet236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91" customWidth="1"/>
    <col min="2" max="2" width="16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4366</v>
      </c>
    </row>
    <row r="10" spans="1:6" x14ac:dyDescent="0.2">
      <c r="A10" s="91" t="s">
        <v>2335</v>
      </c>
      <c r="D10" s="92" t="s">
        <v>1329</v>
      </c>
      <c r="E10" s="92" t="s">
        <v>4362</v>
      </c>
    </row>
    <row r="11" spans="1:6" x14ac:dyDescent="0.2">
      <c r="A11" s="91" t="s">
        <v>2336</v>
      </c>
      <c r="D11" s="92" t="s">
        <v>1330</v>
      </c>
      <c r="E11" s="92" t="s">
        <v>1220</v>
      </c>
    </row>
    <row r="12" spans="1:6" x14ac:dyDescent="0.2">
      <c r="A12" s="91" t="s">
        <v>2337</v>
      </c>
      <c r="D12" s="92" t="s">
        <v>1331</v>
      </c>
      <c r="E12" s="92" t="s">
        <v>4365</v>
      </c>
    </row>
    <row r="13" spans="1:6" x14ac:dyDescent="0.2">
      <c r="A13" s="91" t="s">
        <v>2338</v>
      </c>
    </row>
    <row r="14" spans="1:6" x14ac:dyDescent="0.2">
      <c r="A14" s="91" t="s">
        <v>2339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4367</v>
      </c>
    </row>
    <row r="19" spans="1:6" x14ac:dyDescent="0.2">
      <c r="C19" s="2"/>
    </row>
    <row r="20" spans="1:6" x14ac:dyDescent="0.2">
      <c r="A20" s="93" t="s">
        <v>4368</v>
      </c>
      <c r="B20" s="94" t="s">
        <v>4369</v>
      </c>
      <c r="C20" s="91" t="s">
        <v>4370</v>
      </c>
      <c r="F20" s="91">
        <v>11000</v>
      </c>
    </row>
    <row r="21" spans="1:6" x14ac:dyDescent="0.2">
      <c r="C21" s="91" t="s">
        <v>4371</v>
      </c>
    </row>
    <row r="22" spans="1:6" x14ac:dyDescent="0.2">
      <c r="C22" s="2"/>
    </row>
    <row r="23" spans="1:6" x14ac:dyDescent="0.2">
      <c r="A23" s="93"/>
      <c r="B23" s="201"/>
    </row>
    <row r="24" spans="1:6" x14ac:dyDescent="0.2">
      <c r="A24" s="93"/>
      <c r="B24" s="94"/>
      <c r="C24" s="143"/>
    </row>
    <row r="25" spans="1:6" x14ac:dyDescent="0.2">
      <c r="A25" s="93"/>
      <c r="B25" s="92"/>
    </row>
    <row r="26" spans="1:6" x14ac:dyDescent="0.2">
      <c r="A26" s="93"/>
      <c r="B26" s="93"/>
    </row>
    <row r="27" spans="1:6" x14ac:dyDescent="0.2">
      <c r="B27" s="99"/>
    </row>
    <row r="31" spans="1:6" x14ac:dyDescent="0.2">
      <c r="A31" s="1"/>
      <c r="B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06"/>
      <c r="F33" s="1"/>
    </row>
    <row r="34" spans="1:6" ht="13.5" thickBot="1" x14ac:dyDescent="0.25">
      <c r="A34" s="106"/>
      <c r="F34" s="107">
        <f>SUM(F18:F32)</f>
        <v>11000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Eleven Thousand and NO/100 -----------</v>
      </c>
      <c r="C36" s="97"/>
      <c r="D36" s="97"/>
      <c r="E36" s="97"/>
      <c r="F36" s="97"/>
    </row>
    <row r="37" spans="1:6" x14ac:dyDescent="0.2">
      <c r="A37" s="94"/>
    </row>
    <row r="38" spans="1:6" ht="25.5" x14ac:dyDescent="0.2">
      <c r="A38" s="98" t="s">
        <v>10</v>
      </c>
      <c r="D38" s="218" t="s">
        <v>3975</v>
      </c>
      <c r="E38" s="219"/>
      <c r="F38" s="220"/>
    </row>
    <row r="40" spans="1:6" x14ac:dyDescent="0.2">
      <c r="D40" s="1"/>
      <c r="E40" s="1"/>
      <c r="F40" s="1"/>
    </row>
    <row r="41" spans="1:6" x14ac:dyDescent="0.2">
      <c r="A41" s="91" t="s">
        <v>120</v>
      </c>
      <c r="C41" s="99"/>
    </row>
    <row r="42" spans="1:6" x14ac:dyDescent="0.2">
      <c r="C42" s="99"/>
    </row>
    <row r="43" spans="1:6" x14ac:dyDescent="0.2">
      <c r="A43" s="101"/>
      <c r="B43" s="101"/>
      <c r="D43" s="227"/>
      <c r="E43" s="227"/>
      <c r="F43" s="227"/>
    </row>
    <row r="44" spans="1:6" x14ac:dyDescent="0.2">
      <c r="A44" s="1"/>
      <c r="D44" s="228"/>
      <c r="E44" s="229"/>
      <c r="F44" s="229"/>
    </row>
    <row r="45" spans="1:6" x14ac:dyDescent="0.2">
      <c r="A45" s="91" t="s">
        <v>8</v>
      </c>
      <c r="D45" s="98" t="s">
        <v>7</v>
      </c>
    </row>
    <row r="49" spans="1:6" x14ac:dyDescent="0.2">
      <c r="A49" s="101" t="s">
        <v>120</v>
      </c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9855-C2AB-47E0-A246-C36ABA655814}">
  <sheetPr codeName="Sheet740"/>
  <dimension ref="A1:N54"/>
  <sheetViews>
    <sheetView view="pageBreakPreview" zoomScale="115" zoomScaleNormal="100" zoomScaleSheetLayoutView="115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4" x14ac:dyDescent="0.2">
      <c r="A8" s="91" t="s">
        <v>32</v>
      </c>
      <c r="F8" s="22" t="s">
        <v>31</v>
      </c>
      <c r="J8" s="1" t="s">
        <v>7790</v>
      </c>
      <c r="K8" s="1">
        <v>43720</v>
      </c>
      <c r="M8" s="1" t="s">
        <v>7791</v>
      </c>
    </row>
    <row r="9" spans="1:14" x14ac:dyDescent="0.2">
      <c r="F9" s="92" t="s">
        <v>1317</v>
      </c>
      <c r="G9" s="91" t="s">
        <v>7790</v>
      </c>
    </row>
    <row r="10" spans="1:14" x14ac:dyDescent="0.2">
      <c r="A10" s="91" t="s">
        <v>7793</v>
      </c>
      <c r="F10" s="92" t="s">
        <v>1329</v>
      </c>
      <c r="G10" s="155" t="s">
        <v>7792</v>
      </c>
      <c r="K10" s="1" t="s">
        <v>7708</v>
      </c>
      <c r="L10" s="1">
        <v>43678</v>
      </c>
      <c r="N10" s="1" t="s">
        <v>7709</v>
      </c>
    </row>
    <row r="11" spans="1:14" x14ac:dyDescent="0.2">
      <c r="A11" s="91" t="s">
        <v>7794</v>
      </c>
      <c r="F11" s="92" t="s">
        <v>1330</v>
      </c>
      <c r="G11" s="155" t="s">
        <v>1220</v>
      </c>
    </row>
    <row r="12" spans="1:14" x14ac:dyDescent="0.2">
      <c r="A12" s="91" t="s">
        <v>5779</v>
      </c>
      <c r="F12" s="92" t="s">
        <v>1331</v>
      </c>
      <c r="G12" s="91" t="s">
        <v>7791</v>
      </c>
      <c r="J12" s="1" t="s">
        <v>7788</v>
      </c>
      <c r="K12" s="1">
        <v>43712</v>
      </c>
      <c r="M12" s="1" t="s">
        <v>7789</v>
      </c>
    </row>
    <row r="13" spans="1:14" x14ac:dyDescent="0.2">
      <c r="A13" s="91" t="s">
        <v>1314</v>
      </c>
      <c r="G13" s="91" t="s">
        <v>6823</v>
      </c>
    </row>
    <row r="16" spans="1:14" s="14" customFormat="1" ht="20.100000000000001" customHeight="1" x14ac:dyDescent="0.2">
      <c r="A16" s="448" t="s">
        <v>1226</v>
      </c>
      <c r="B16" s="448" t="s">
        <v>128</v>
      </c>
      <c r="C16" s="448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7222</v>
      </c>
      <c r="E18" s="2"/>
    </row>
    <row r="19" spans="1:8" x14ac:dyDescent="0.2">
      <c r="A19" s="106"/>
      <c r="E19" s="2"/>
    </row>
    <row r="20" spans="1:8" x14ac:dyDescent="0.2">
      <c r="A20" s="93" t="s">
        <v>7739</v>
      </c>
      <c r="B20" s="449"/>
      <c r="C20" s="449"/>
      <c r="D20" s="91" t="s">
        <v>7795</v>
      </c>
      <c r="H20" s="91">
        <v>9000</v>
      </c>
    </row>
    <row r="21" spans="1:8" x14ac:dyDescent="0.2">
      <c r="B21" s="94"/>
      <c r="C21" s="94"/>
      <c r="D21" s="91" t="s">
        <v>7796</v>
      </c>
    </row>
    <row r="22" spans="1:8" x14ac:dyDescent="0.2">
      <c r="B22" s="449"/>
      <c r="C22" s="449"/>
    </row>
    <row r="31" spans="1:8" x14ac:dyDescent="0.2">
      <c r="A31" s="93"/>
      <c r="B31" s="449"/>
      <c r="C31" s="449"/>
    </row>
    <row r="32" spans="1:8" x14ac:dyDescent="0.2">
      <c r="A32" s="449"/>
    </row>
    <row r="33" spans="1:8" x14ac:dyDescent="0.2">
      <c r="A33" s="137"/>
      <c r="B33" s="94"/>
      <c r="C33" s="94"/>
    </row>
    <row r="34" spans="1:8" x14ac:dyDescent="0.2">
      <c r="A34" s="7"/>
      <c r="B34" s="1"/>
      <c r="C34" s="1"/>
      <c r="D34" s="1"/>
      <c r="E34" s="1"/>
      <c r="F34" s="1"/>
      <c r="G34" s="1"/>
      <c r="H34" s="1"/>
    </row>
    <row r="35" spans="1:8" ht="13.5" thickBot="1" x14ac:dyDescent="0.25">
      <c r="A35" s="106"/>
      <c r="H35" s="107">
        <f>SUM(H19:H34)</f>
        <v>9000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 Thousand and NO/100 -----------</v>
      </c>
      <c r="C37" s="185"/>
      <c r="D37" s="97"/>
      <c r="E37" s="97"/>
      <c r="F37" s="206"/>
      <c r="G37" s="206"/>
      <c r="H37" s="206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F40" s="227"/>
      <c r="G40" s="227"/>
      <c r="H40" s="227"/>
    </row>
    <row r="41" spans="1:8" x14ac:dyDescent="0.2">
      <c r="F41" s="228"/>
      <c r="G41" s="229"/>
      <c r="H41" s="229"/>
    </row>
    <row r="42" spans="1:8" x14ac:dyDescent="0.2">
      <c r="A42" s="1"/>
    </row>
    <row r="43" spans="1:8" x14ac:dyDescent="0.2">
      <c r="A43" s="101"/>
      <c r="B43" s="101"/>
      <c r="C43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C49" s="386"/>
      <c r="D49" s="101"/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5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1-000000000000}">
  <sheetPr codeName="Sheet5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846</v>
      </c>
    </row>
    <row r="10" spans="1:6" x14ac:dyDescent="0.2">
      <c r="A10" s="1" t="s">
        <v>845</v>
      </c>
      <c r="D10" s="20" t="s">
        <v>27</v>
      </c>
      <c r="E10" s="20" t="s">
        <v>156</v>
      </c>
    </row>
    <row r="11" spans="1:6" x14ac:dyDescent="0.2">
      <c r="A11" s="1" t="s">
        <v>844</v>
      </c>
      <c r="D11" s="20" t="s">
        <v>24</v>
      </c>
      <c r="E11" s="20" t="s">
        <v>23</v>
      </c>
    </row>
    <row r="12" spans="1:6" x14ac:dyDescent="0.2">
      <c r="A12" s="1" t="s">
        <v>843</v>
      </c>
      <c r="D12" s="20" t="s">
        <v>22</v>
      </c>
      <c r="E12" s="19" t="s">
        <v>842</v>
      </c>
    </row>
    <row r="13" spans="1:6" x14ac:dyDescent="0.2">
      <c r="A13" s="1" t="s">
        <v>343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2:6" x14ac:dyDescent="0.2">
      <c r="C19" s="13" t="s">
        <v>841</v>
      </c>
    </row>
    <row r="20" spans="2:6" x14ac:dyDescent="0.2">
      <c r="C20" s="13" t="s">
        <v>840</v>
      </c>
    </row>
    <row r="21" spans="2:6" x14ac:dyDescent="0.2">
      <c r="C21" s="12"/>
    </row>
    <row r="23" spans="2:6" x14ac:dyDescent="0.2">
      <c r="C23" s="1" t="s">
        <v>839</v>
      </c>
      <c r="F23" s="1">
        <v>400</v>
      </c>
    </row>
    <row r="25" spans="2:6" x14ac:dyDescent="0.2">
      <c r="C25" s="21"/>
      <c r="D25" s="21"/>
      <c r="E25" s="21"/>
      <c r="F25" s="21"/>
    </row>
    <row r="26" spans="2:6" x14ac:dyDescent="0.2">
      <c r="C26" s="21"/>
      <c r="D26" s="21"/>
      <c r="E26" s="21"/>
      <c r="F26" s="21"/>
    </row>
    <row r="27" spans="2:6" x14ac:dyDescent="0.2">
      <c r="C27" s="12"/>
      <c r="D27" s="21"/>
      <c r="E27" s="21"/>
      <c r="F27" s="42"/>
    </row>
    <row r="28" spans="2:6" x14ac:dyDescent="0.2">
      <c r="C28" s="21"/>
      <c r="D28" s="21"/>
      <c r="E28" s="21"/>
      <c r="F28" s="21"/>
    </row>
    <row r="29" spans="2:6" x14ac:dyDescent="0.2">
      <c r="B29" s="8"/>
      <c r="C29" s="21"/>
      <c r="D29" s="21"/>
      <c r="E29" s="21"/>
      <c r="F29" s="21"/>
    </row>
    <row r="30" spans="2:6" x14ac:dyDescent="0.2">
      <c r="B30" s="8"/>
    </row>
    <row r="32" spans="2:6" ht="13.5" thickBot="1" x14ac:dyDescent="0.25">
      <c r="F32" s="25">
        <f>SUM(F19:F31)</f>
        <v>400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838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1-000000000000}">
  <sheetPr codeName="Sheet361">
    <pageSetUpPr fitToPage="1"/>
  </sheetPr>
  <dimension ref="A3:F49"/>
  <sheetViews>
    <sheetView workbookViewId="0">
      <selection activeCell="F34" sqref="F34"/>
    </sheetView>
  </sheetViews>
  <sheetFormatPr defaultRowHeight="12.75" x14ac:dyDescent="0.2"/>
  <cols>
    <col min="3" max="3" width="21" customWidth="1"/>
    <col min="4" max="4" width="16.42578125" customWidth="1"/>
    <col min="6" max="6" width="13.28515625" customWidth="1"/>
  </cols>
  <sheetData>
    <row r="3" spans="1:1" x14ac:dyDescent="0.2">
      <c r="A3" t="s">
        <v>1829</v>
      </c>
    </row>
    <row r="4" spans="1:1" x14ac:dyDescent="0.2">
      <c r="A4" t="s">
        <v>1828</v>
      </c>
    </row>
    <row r="34" spans="1:6" ht="13.5" thickBot="1" x14ac:dyDescent="0.25">
      <c r="F34" s="65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7" spans="1:6" x14ac:dyDescent="0.2">
      <c r="A47" t="s">
        <v>3972</v>
      </c>
    </row>
    <row r="49" spans="1:1" x14ac:dyDescent="0.2">
      <c r="A49" t="s">
        <v>4066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5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1-000000000000}">
  <sheetPr codeName="Sheet37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528</v>
      </c>
    </row>
    <row r="10" spans="1:6" x14ac:dyDescent="0.2">
      <c r="A10" s="1" t="s">
        <v>527</v>
      </c>
      <c r="D10" s="20" t="s">
        <v>27</v>
      </c>
      <c r="E10" s="20" t="s">
        <v>526</v>
      </c>
    </row>
    <row r="11" spans="1:6" x14ac:dyDescent="0.2">
      <c r="A11" s="1" t="s">
        <v>525</v>
      </c>
      <c r="D11" s="20" t="s">
        <v>24</v>
      </c>
      <c r="E11" s="20" t="s">
        <v>23</v>
      </c>
    </row>
    <row r="12" spans="1:6" x14ac:dyDescent="0.2">
      <c r="A12" s="1" t="s">
        <v>524</v>
      </c>
      <c r="D12" s="20" t="s">
        <v>22</v>
      </c>
      <c r="E12" s="20" t="s">
        <v>523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4" spans="1:6" x14ac:dyDescent="0.2">
      <c r="A24" s="1" t="s">
        <v>522</v>
      </c>
      <c r="C24" s="1" t="s">
        <v>521</v>
      </c>
      <c r="F24" s="1">
        <v>136</v>
      </c>
    </row>
    <row r="26" spans="1:6" x14ac:dyDescent="0.2">
      <c r="A26" s="1" t="s">
        <v>520</v>
      </c>
      <c r="C26" s="1" t="s">
        <v>519</v>
      </c>
      <c r="F26" s="1">
        <v>16</v>
      </c>
    </row>
    <row r="32" spans="1:6" ht="13.5" thickBot="1" x14ac:dyDescent="0.25">
      <c r="F32" s="11">
        <f>SUM(F18:F31)</f>
        <v>152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518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1-000000000000}">
  <sheetPr codeName="Sheet38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28515625" style="91" customWidth="1"/>
    <col min="2" max="2" width="13.5703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91"/>
  </cols>
  <sheetData>
    <row r="1" spans="1:6" x14ac:dyDescent="0.2">
      <c r="A1" s="522" t="s">
        <v>34</v>
      </c>
      <c r="B1" s="522"/>
      <c r="C1" s="522"/>
      <c r="D1" s="522"/>
      <c r="E1" s="522"/>
      <c r="F1" s="522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1496</v>
      </c>
    </row>
    <row r="10" spans="1:6" x14ac:dyDescent="0.2">
      <c r="A10" s="91" t="s">
        <v>1492</v>
      </c>
      <c r="D10" s="92" t="s">
        <v>1490</v>
      </c>
      <c r="E10" s="92" t="s">
        <v>1497</v>
      </c>
    </row>
    <row r="11" spans="1:6" x14ac:dyDescent="0.2">
      <c r="A11" s="91" t="s">
        <v>1493</v>
      </c>
      <c r="D11" s="92" t="s">
        <v>1491</v>
      </c>
      <c r="E11" s="92" t="s">
        <v>1220</v>
      </c>
    </row>
    <row r="12" spans="1:6" x14ac:dyDescent="0.2">
      <c r="A12" s="91" t="s">
        <v>1494</v>
      </c>
      <c r="D12" s="92" t="s">
        <v>1224</v>
      </c>
      <c r="E12" s="92" t="s">
        <v>770</v>
      </c>
    </row>
    <row r="13" spans="1:6" x14ac:dyDescent="0.2">
      <c r="A13" s="91" t="s">
        <v>1495</v>
      </c>
    </row>
    <row r="16" spans="1:6" s="14" customFormat="1" ht="20.100000000000001" customHeight="1" x14ac:dyDescent="0.2">
      <c r="A16" s="31" t="s">
        <v>1226</v>
      </c>
      <c r="B16" s="31" t="s">
        <v>1262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1499</v>
      </c>
      <c r="B19" s="93" t="s">
        <v>1498</v>
      </c>
      <c r="C19" s="91" t="s">
        <v>1500</v>
      </c>
      <c r="F19" s="91">
        <f>16.1*2.489</f>
        <v>40.072900000000004</v>
      </c>
    </row>
    <row r="20" spans="1:6" x14ac:dyDescent="0.2">
      <c r="C20" s="2"/>
    </row>
    <row r="21" spans="1:6" x14ac:dyDescent="0.2">
      <c r="B21" s="94"/>
      <c r="C21" s="91" t="s">
        <v>1501</v>
      </c>
      <c r="F21" s="91">
        <f>2.489*17.2</f>
        <v>42.810799999999993</v>
      </c>
    </row>
    <row r="23" spans="1:6" x14ac:dyDescent="0.2">
      <c r="B23" s="94"/>
      <c r="C23" s="91" t="s">
        <v>1502</v>
      </c>
      <c r="F23" s="91">
        <f>35.75*2.489</f>
        <v>88.981749999999991</v>
      </c>
    </row>
    <row r="24" spans="1:6" x14ac:dyDescent="0.2">
      <c r="B24" s="94"/>
    </row>
    <row r="25" spans="1:6" x14ac:dyDescent="0.2">
      <c r="C25" s="91" t="s">
        <v>1503</v>
      </c>
      <c r="F25" s="91">
        <v>10</v>
      </c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2" spans="1:6" ht="13.5" thickBot="1" x14ac:dyDescent="0.25">
      <c r="F32" s="107">
        <f>SUM(F18:F31)</f>
        <v>181.86545000000001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1504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1-000000000000}">
  <sheetPr codeName="Sheet39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166</v>
      </c>
    </row>
    <row r="10" spans="1:6" x14ac:dyDescent="0.2">
      <c r="A10" s="1" t="s">
        <v>165</v>
      </c>
      <c r="D10" s="20" t="s">
        <v>27</v>
      </c>
      <c r="E10" s="20" t="s">
        <v>48</v>
      </c>
    </row>
    <row r="11" spans="1:6" x14ac:dyDescent="0.2">
      <c r="A11" s="1" t="s">
        <v>155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164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153</v>
      </c>
    </row>
    <row r="20" spans="1:6" x14ac:dyDescent="0.2">
      <c r="C20" s="13" t="s">
        <v>163</v>
      </c>
    </row>
    <row r="21" spans="1:6" x14ac:dyDescent="0.2">
      <c r="C21" s="13" t="s">
        <v>162</v>
      </c>
    </row>
    <row r="23" spans="1:6" x14ac:dyDescent="0.2">
      <c r="A23" s="21" t="s">
        <v>161</v>
      </c>
      <c r="C23" s="1" t="s">
        <v>160</v>
      </c>
      <c r="F23" s="1">
        <v>250</v>
      </c>
    </row>
    <row r="32" spans="1:6" ht="13.5" thickBot="1" x14ac:dyDescent="0.25">
      <c r="F32" s="11">
        <f>SUM(F18:F31)</f>
        <v>250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159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1-000000000000}">
  <sheetPr codeName="Sheet40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91</v>
      </c>
    </row>
    <row r="10" spans="1:6" x14ac:dyDescent="0.2">
      <c r="A10" s="1" t="s">
        <v>90</v>
      </c>
      <c r="D10" s="20" t="s">
        <v>27</v>
      </c>
      <c r="E10" s="20" t="s">
        <v>48</v>
      </c>
    </row>
    <row r="11" spans="1:6" x14ac:dyDescent="0.2">
      <c r="A11" s="1" t="s">
        <v>89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88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" t="s">
        <v>87</v>
      </c>
      <c r="F20" s="1">
        <v>1797.01</v>
      </c>
    </row>
    <row r="22" spans="2:6" x14ac:dyDescent="0.2">
      <c r="C22" s="1" t="s">
        <v>44</v>
      </c>
      <c r="F22" s="7" t="s">
        <v>86</v>
      </c>
    </row>
    <row r="24" spans="2:6" x14ac:dyDescent="0.2">
      <c r="B24" s="8"/>
    </row>
    <row r="25" spans="2:6" x14ac:dyDescent="0.2">
      <c r="B25" s="8"/>
    </row>
    <row r="26" spans="2:6" x14ac:dyDescent="0.2">
      <c r="B26" s="8"/>
    </row>
    <row r="32" spans="2:6" ht="13.5" thickBot="1" x14ac:dyDescent="0.25">
      <c r="F32" s="11">
        <f>SUM(F18:F31)</f>
        <v>1797.01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85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1-000000000000}">
  <sheetPr codeName="Sheet41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311</v>
      </c>
    </row>
    <row r="10" spans="1:6" x14ac:dyDescent="0.2">
      <c r="A10" s="1" t="s">
        <v>310</v>
      </c>
      <c r="D10" s="20" t="s">
        <v>27</v>
      </c>
      <c r="E10" s="20" t="s">
        <v>309</v>
      </c>
    </row>
    <row r="11" spans="1:6" x14ac:dyDescent="0.2">
      <c r="A11" s="1" t="s">
        <v>308</v>
      </c>
      <c r="D11" s="20" t="s">
        <v>24</v>
      </c>
      <c r="E11" s="20" t="s">
        <v>23</v>
      </c>
    </row>
    <row r="12" spans="1:6" x14ac:dyDescent="0.2">
      <c r="A12" s="1" t="s">
        <v>307</v>
      </c>
      <c r="D12" s="20" t="s">
        <v>22</v>
      </c>
      <c r="E12" s="19" t="s">
        <v>306</v>
      </c>
    </row>
    <row r="15" spans="1:6" s="14" customFormat="1" ht="20.100000000000001" customHeight="1" x14ac:dyDescent="0.2">
      <c r="A15" s="17" t="s">
        <v>20</v>
      </c>
      <c r="B15" s="17"/>
      <c r="C15" s="18" t="s">
        <v>19</v>
      </c>
      <c r="D15" s="17"/>
      <c r="E15" s="16"/>
      <c r="F15" s="15" t="s">
        <v>18</v>
      </c>
    </row>
    <row r="17" spans="1:6" x14ac:dyDescent="0.2">
      <c r="C17" s="21"/>
    </row>
    <row r="18" spans="1:6" x14ac:dyDescent="0.2">
      <c r="C18" s="21"/>
    </row>
    <row r="19" spans="1:6" x14ac:dyDescent="0.2">
      <c r="C19" s="13" t="s">
        <v>305</v>
      </c>
    </row>
    <row r="20" spans="1:6" x14ac:dyDescent="0.2">
      <c r="C20" s="21"/>
    </row>
    <row r="21" spans="1:6" x14ac:dyDescent="0.2">
      <c r="C21" s="21"/>
    </row>
    <row r="22" spans="1:6" x14ac:dyDescent="0.2">
      <c r="A22" s="1" t="s">
        <v>304</v>
      </c>
      <c r="C22" s="1" t="s">
        <v>303</v>
      </c>
      <c r="F22" s="1">
        <v>1920</v>
      </c>
    </row>
    <row r="23" spans="1:6" x14ac:dyDescent="0.2">
      <c r="C23" s="1" t="s">
        <v>302</v>
      </c>
    </row>
    <row r="31" spans="1:6" x14ac:dyDescent="0.2">
      <c r="C31" s="21"/>
    </row>
    <row r="32" spans="1:6" ht="13.5" thickBot="1" x14ac:dyDescent="0.25">
      <c r="F32" s="11">
        <f>SUM(F17:F31)</f>
        <v>1920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301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1-000000000000}">
  <sheetPr codeName="Sheet42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277</v>
      </c>
    </row>
    <row r="10" spans="1:6" x14ac:dyDescent="0.2">
      <c r="A10" s="1" t="s">
        <v>276</v>
      </c>
      <c r="D10" s="20" t="s">
        <v>27</v>
      </c>
      <c r="E10" s="20" t="s">
        <v>275</v>
      </c>
    </row>
    <row r="11" spans="1:6" x14ac:dyDescent="0.2">
      <c r="A11" s="1" t="s">
        <v>274</v>
      </c>
      <c r="D11" s="20" t="s">
        <v>24</v>
      </c>
      <c r="E11" s="20" t="s">
        <v>23</v>
      </c>
    </row>
    <row r="12" spans="1:6" x14ac:dyDescent="0.2">
      <c r="A12" s="1" t="s">
        <v>273</v>
      </c>
      <c r="D12" s="20" t="s">
        <v>22</v>
      </c>
      <c r="E12" s="20" t="s">
        <v>272</v>
      </c>
    </row>
    <row r="13" spans="1:6" x14ac:dyDescent="0.2">
      <c r="A13" s="1" t="s">
        <v>271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1" t="s">
        <v>270</v>
      </c>
    </row>
    <row r="20" spans="2:6" x14ac:dyDescent="0.2">
      <c r="C20" s="1" t="s">
        <v>269</v>
      </c>
    </row>
    <row r="21" spans="2:6" x14ac:dyDescent="0.2">
      <c r="B21" s="8"/>
      <c r="C21" s="1" t="s">
        <v>268</v>
      </c>
    </row>
    <row r="22" spans="2:6" x14ac:dyDescent="0.2">
      <c r="B22" s="8"/>
      <c r="C22" s="1" t="s">
        <v>267</v>
      </c>
    </row>
    <row r="23" spans="2:6" x14ac:dyDescent="0.2">
      <c r="B23" s="8"/>
      <c r="C23" s="1" t="s">
        <v>266</v>
      </c>
    </row>
    <row r="25" spans="2:6" x14ac:dyDescent="0.2">
      <c r="C25" s="1" t="s">
        <v>265</v>
      </c>
      <c r="F25" s="1">
        <v>336</v>
      </c>
    </row>
    <row r="26" spans="2:6" x14ac:dyDescent="0.2">
      <c r="C26" s="21" t="s">
        <v>264</v>
      </c>
      <c r="F26" s="1">
        <v>50</v>
      </c>
    </row>
    <row r="27" spans="2:6" x14ac:dyDescent="0.2">
      <c r="B27" s="8"/>
    </row>
    <row r="28" spans="2:6" x14ac:dyDescent="0.2">
      <c r="B28" s="8"/>
    </row>
    <row r="29" spans="2:6" x14ac:dyDescent="0.2">
      <c r="B29" s="8"/>
    </row>
    <row r="32" spans="2:6" ht="13.5" thickBot="1" x14ac:dyDescent="0.25">
      <c r="F32" s="11">
        <f>SUM(F18:F31)</f>
        <v>386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263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1-000000000000}">
  <sheetPr codeName="Sheet74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490</v>
      </c>
    </row>
    <row r="10" spans="1:6" x14ac:dyDescent="0.2">
      <c r="A10" s="1" t="s">
        <v>489</v>
      </c>
      <c r="D10" s="20" t="s">
        <v>27</v>
      </c>
      <c r="E10" s="20" t="s">
        <v>488</v>
      </c>
    </row>
    <row r="11" spans="1:6" x14ac:dyDescent="0.2">
      <c r="A11" s="1" t="s">
        <v>487</v>
      </c>
      <c r="D11" s="20" t="s">
        <v>24</v>
      </c>
      <c r="E11" s="20" t="s">
        <v>23</v>
      </c>
    </row>
    <row r="12" spans="1:6" x14ac:dyDescent="0.2">
      <c r="A12" s="1" t="s">
        <v>486</v>
      </c>
      <c r="D12" s="20" t="s">
        <v>22</v>
      </c>
      <c r="E12" s="19" t="s">
        <v>485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/>
    </row>
    <row r="20" spans="1:6" x14ac:dyDescent="0.2">
      <c r="C20" s="13" t="s">
        <v>484</v>
      </c>
    </row>
    <row r="21" spans="1:6" x14ac:dyDescent="0.2">
      <c r="C21" s="21"/>
    </row>
    <row r="22" spans="1:6" x14ac:dyDescent="0.2">
      <c r="C22" s="21"/>
      <c r="F22" s="7"/>
    </row>
    <row r="23" spans="1:6" x14ac:dyDescent="0.2">
      <c r="A23" s="1" t="s">
        <v>483</v>
      </c>
      <c r="C23" s="21" t="s">
        <v>482</v>
      </c>
      <c r="F23" s="1">
        <v>6030</v>
      </c>
    </row>
    <row r="24" spans="1:6" x14ac:dyDescent="0.2">
      <c r="B24" s="8"/>
    </row>
    <row r="25" spans="1:6" x14ac:dyDescent="0.2">
      <c r="B25" s="12"/>
      <c r="C25" s="21"/>
    </row>
    <row r="26" spans="1:6" x14ac:dyDescent="0.2">
      <c r="B26" s="12"/>
      <c r="C26" s="21"/>
    </row>
    <row r="27" spans="1:6" x14ac:dyDescent="0.2">
      <c r="B27" s="12"/>
      <c r="C27" s="21"/>
    </row>
    <row r="28" spans="1:6" x14ac:dyDescent="0.2">
      <c r="B28" s="12"/>
      <c r="C28" s="21"/>
    </row>
    <row r="29" spans="1:6" x14ac:dyDescent="0.2">
      <c r="B29" s="12"/>
      <c r="C29" s="21"/>
    </row>
    <row r="30" spans="1:6" x14ac:dyDescent="0.2">
      <c r="B30" s="12"/>
      <c r="C30" s="21"/>
    </row>
    <row r="32" spans="1:6" ht="13.5" thickBot="1" x14ac:dyDescent="0.25">
      <c r="F32" s="11">
        <f>SUM(F18:F31)</f>
        <v>6030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481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1-000000000000}">
  <sheetPr codeName="Sheet43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148</v>
      </c>
    </row>
    <row r="10" spans="1:6" x14ac:dyDescent="0.2">
      <c r="A10" s="1" t="s">
        <v>90</v>
      </c>
      <c r="D10" s="20" t="s">
        <v>27</v>
      </c>
      <c r="E10" s="20" t="s">
        <v>140</v>
      </c>
    </row>
    <row r="11" spans="1:6" x14ac:dyDescent="0.2">
      <c r="A11" s="1" t="s">
        <v>147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146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145</v>
      </c>
    </row>
    <row r="21" spans="2:6" x14ac:dyDescent="0.2">
      <c r="C21" s="13" t="s">
        <v>144</v>
      </c>
    </row>
    <row r="22" spans="2:6" x14ac:dyDescent="0.2">
      <c r="C22" s="12"/>
    </row>
    <row r="24" spans="2:6" x14ac:dyDescent="0.2">
      <c r="C24" s="1" t="s">
        <v>15</v>
      </c>
    </row>
    <row r="26" spans="2:6" x14ac:dyDescent="0.2">
      <c r="B26" s="8" t="s">
        <v>43</v>
      </c>
      <c r="C26" s="21" t="s">
        <v>143</v>
      </c>
      <c r="F26" s="1">
        <v>1175</v>
      </c>
    </row>
    <row r="27" spans="2:6" x14ac:dyDescent="0.2">
      <c r="B27" s="8" t="s">
        <v>41</v>
      </c>
      <c r="C27" s="1" t="s">
        <v>135</v>
      </c>
      <c r="F27" s="1">
        <v>500</v>
      </c>
    </row>
    <row r="28" spans="2:6" x14ac:dyDescent="0.2">
      <c r="B28" s="8" t="s">
        <v>39</v>
      </c>
      <c r="C28" s="1" t="s">
        <v>93</v>
      </c>
      <c r="F28" s="1">
        <v>1000</v>
      </c>
    </row>
    <row r="32" spans="2:6" ht="13.5" thickBot="1" x14ac:dyDescent="0.25">
      <c r="F32" s="11">
        <f>SUM(F18:F31)</f>
        <v>2675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142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C17E-12B3-4513-ADC3-898DCC9456CA}">
  <sheetPr codeName="Sheet746">
    <pageSetUpPr fitToPage="1"/>
  </sheetPr>
  <dimension ref="A1:H52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7109375" style="91" customWidth="1"/>
    <col min="4" max="4" width="21" style="91" customWidth="1"/>
    <col min="5" max="5" width="1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10" t="s">
        <v>7880</v>
      </c>
    </row>
    <row r="10" spans="1:8" x14ac:dyDescent="0.2">
      <c r="A10" s="91" t="s">
        <v>7883</v>
      </c>
      <c r="F10" s="92" t="s">
        <v>1329</v>
      </c>
      <c r="G10" s="289" t="s">
        <v>7882</v>
      </c>
    </row>
    <row r="11" spans="1:8" x14ac:dyDescent="0.2">
      <c r="A11" s="91" t="s">
        <v>2721</v>
      </c>
      <c r="F11" s="92" t="s">
        <v>1330</v>
      </c>
      <c r="G11" s="370" t="s">
        <v>1220</v>
      </c>
    </row>
    <row r="12" spans="1:8" x14ac:dyDescent="0.2">
      <c r="A12" s="91" t="s">
        <v>2722</v>
      </c>
      <c r="F12" s="92" t="s">
        <v>1377</v>
      </c>
      <c r="G12" s="370" t="s">
        <v>7881</v>
      </c>
    </row>
    <row r="13" spans="1:8" x14ac:dyDescent="0.2">
      <c r="A13" s="91" t="s">
        <v>1015</v>
      </c>
      <c r="G13" s="91" t="s">
        <v>6823</v>
      </c>
    </row>
    <row r="14" spans="1:8" x14ac:dyDescent="0.2">
      <c r="A14" s="91" t="s">
        <v>2723</v>
      </c>
    </row>
    <row r="16" spans="1:8" s="14" customFormat="1" ht="20.100000000000001" customHeight="1" x14ac:dyDescent="0.2">
      <c r="A16" s="17" t="s">
        <v>1247</v>
      </c>
      <c r="B16" s="454" t="s">
        <v>128</v>
      </c>
      <c r="C16" s="454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7884</v>
      </c>
    </row>
    <row r="19" spans="1:8" x14ac:dyDescent="0.2">
      <c r="A19" s="106"/>
    </row>
    <row r="20" spans="1:8" x14ac:dyDescent="0.2">
      <c r="A20" s="93" t="s">
        <v>7803</v>
      </c>
      <c r="B20" s="93" t="s">
        <v>7885</v>
      </c>
      <c r="C20" s="93"/>
      <c r="D20" s="94" t="s">
        <v>7886</v>
      </c>
      <c r="E20" s="94"/>
      <c r="H20" s="91">
        <v>120</v>
      </c>
    </row>
    <row r="21" spans="1:8" x14ac:dyDescent="0.2">
      <c r="A21" s="92"/>
      <c r="B21" s="93"/>
      <c r="C21" s="93"/>
      <c r="D21" s="94" t="s">
        <v>7887</v>
      </c>
      <c r="E21" s="94"/>
      <c r="H21" s="91">
        <v>70</v>
      </c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190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Ninety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B37" s="91" t="s">
        <v>658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455"/>
      <c r="E40" s="455"/>
      <c r="F40" s="228"/>
      <c r="G40" s="229"/>
      <c r="H40" s="229"/>
    </row>
    <row r="41" spans="1:8" x14ac:dyDescent="0.2">
      <c r="A41" s="23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EE26-5ED4-4DA4-BE87-1E941DA161F7}">
  <sheetPr codeName="Sheet676">
    <pageSetUpPr fitToPage="1"/>
  </sheetPr>
  <dimension ref="A1:H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" style="91" customWidth="1"/>
    <col min="4" max="4" width="21.7109375" style="91" customWidth="1"/>
    <col min="5" max="5" width="1.28515625" style="91" customWidth="1"/>
    <col min="6" max="6" width="14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6827</v>
      </c>
      <c r="F9" s="92" t="s">
        <v>1317</v>
      </c>
      <c r="G9" s="155" t="s">
        <v>6825</v>
      </c>
    </row>
    <row r="10" spans="1:8" x14ac:dyDescent="0.2">
      <c r="A10" s="91" t="s">
        <v>6828</v>
      </c>
      <c r="F10" s="92" t="s">
        <v>1329</v>
      </c>
      <c r="G10" s="155" t="s">
        <v>6824</v>
      </c>
    </row>
    <row r="11" spans="1:8" x14ac:dyDescent="0.2">
      <c r="A11" s="91" t="s">
        <v>2191</v>
      </c>
      <c r="F11" s="92" t="s">
        <v>1330</v>
      </c>
      <c r="G11" s="155" t="s">
        <v>1220</v>
      </c>
    </row>
    <row r="12" spans="1:8" x14ac:dyDescent="0.2">
      <c r="F12" s="92" t="s">
        <v>1377</v>
      </c>
      <c r="G12" s="94" t="s">
        <v>6826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A18" s="93"/>
      <c r="B18" s="93"/>
      <c r="C18" s="93"/>
      <c r="D18" s="2" t="s">
        <v>4118</v>
      </c>
      <c r="E18" s="2"/>
    </row>
    <row r="20" spans="1:8" x14ac:dyDescent="0.2">
      <c r="A20" s="93" t="s">
        <v>6788</v>
      </c>
      <c r="B20" s="91" t="s">
        <v>6829</v>
      </c>
      <c r="D20" s="91" t="s">
        <v>6831</v>
      </c>
      <c r="E20" s="2"/>
      <c r="H20" s="91">
        <v>300</v>
      </c>
    </row>
    <row r="21" spans="1:8" x14ac:dyDescent="0.2">
      <c r="B21" s="91" t="s">
        <v>6830</v>
      </c>
      <c r="D21" s="2"/>
    </row>
    <row r="22" spans="1:8" x14ac:dyDescent="0.2">
      <c r="A22" s="92"/>
    </row>
    <row r="24" spans="1:8" x14ac:dyDescent="0.2">
      <c r="A24" s="137"/>
      <c r="B24" s="93"/>
      <c r="C24" s="93"/>
    </row>
    <row r="26" spans="1:8" x14ac:dyDescent="0.2">
      <c r="D26" s="2"/>
    </row>
    <row r="32" spans="1:8" x14ac:dyDescent="0.2">
      <c r="B32" s="93"/>
      <c r="C32" s="93"/>
    </row>
    <row r="33" spans="1:8" x14ac:dyDescent="0.2">
      <c r="A33" s="92"/>
      <c r="B33" s="1"/>
      <c r="C33" s="1"/>
    </row>
    <row r="34" spans="1:8" x14ac:dyDescent="0.2">
      <c r="A34" s="106"/>
    </row>
    <row r="35" spans="1:8" ht="13.5" thickBot="1" x14ac:dyDescent="0.25">
      <c r="A35" s="106"/>
      <c r="H35" s="107">
        <f>SUM(H18:H34)</f>
        <v>300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A40" s="61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/>
      <c r="E50" s="61"/>
      <c r="F50" s="61" t="s">
        <v>3</v>
      </c>
      <c r="G50" s="61"/>
      <c r="H50" s="61"/>
    </row>
    <row r="51" spans="1:8" x14ac:dyDescent="0.2">
      <c r="A51" s="103"/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2CCB-9BAE-4E34-99CC-9C02FF799E59}">
  <sheetPr codeName="Sheet775">
    <pageSetUpPr fitToPage="1"/>
  </sheetPr>
  <dimension ref="A1:L56"/>
  <sheetViews>
    <sheetView workbookViewId="0">
      <selection activeCell="G9" sqref="G9:G12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9" width="9.140625" style="1"/>
    <col min="10" max="10" width="11" style="1" bestFit="1" customWidth="1"/>
    <col min="11" max="11" width="9.140625" style="1"/>
    <col min="12" max="12" width="16.28515625" style="1" bestFit="1" customWidth="1"/>
    <col min="13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61" t="s">
        <v>8419</v>
      </c>
      <c r="H9" s="91"/>
    </row>
    <row r="10" spans="1:8" x14ac:dyDescent="0.2">
      <c r="A10" s="91" t="s">
        <v>8420</v>
      </c>
      <c r="B10" s="91"/>
      <c r="C10" s="91"/>
      <c r="D10" s="91"/>
      <c r="E10" s="91"/>
      <c r="F10" s="92" t="s">
        <v>1357</v>
      </c>
      <c r="G10" s="113" t="s">
        <v>8183</v>
      </c>
      <c r="H10" s="91"/>
    </row>
    <row r="11" spans="1:8" x14ac:dyDescent="0.2">
      <c r="A11" s="91" t="s">
        <v>8421</v>
      </c>
      <c r="B11" s="91"/>
      <c r="C11" s="91"/>
      <c r="D11" s="91"/>
      <c r="E11" s="91"/>
      <c r="F11" s="92" t="s">
        <v>1330</v>
      </c>
      <c r="G11" s="113" t="s">
        <v>1220</v>
      </c>
      <c r="H11" s="91"/>
    </row>
    <row r="12" spans="1:8" x14ac:dyDescent="0.2">
      <c r="A12" s="91" t="s">
        <v>8422</v>
      </c>
      <c r="B12" s="91"/>
      <c r="C12" s="91"/>
      <c r="D12" s="91"/>
      <c r="E12" s="91"/>
      <c r="F12" s="92" t="s">
        <v>1377</v>
      </c>
      <c r="G12" s="113" t="s">
        <v>770</v>
      </c>
      <c r="H12" s="91"/>
    </row>
    <row r="13" spans="1:8" x14ac:dyDescent="0.2">
      <c r="A13" s="91" t="s">
        <v>7128</v>
      </c>
      <c r="B13" s="91"/>
      <c r="C13" s="91"/>
      <c r="D13" s="91"/>
      <c r="E13" s="91"/>
      <c r="F13" s="91"/>
      <c r="G13" s="91"/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489" t="s">
        <v>128</v>
      </c>
      <c r="C16" s="489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91"/>
      <c r="B17" s="91"/>
      <c r="C17" s="91"/>
      <c r="D17" s="91"/>
      <c r="E17" s="91"/>
      <c r="F17" s="91"/>
      <c r="G17" s="91"/>
      <c r="H17" s="91"/>
    </row>
    <row r="18" spans="1:12" x14ac:dyDescent="0.2">
      <c r="A18" s="93"/>
      <c r="B18" s="93"/>
      <c r="C18" s="93"/>
      <c r="D18" s="146" t="s">
        <v>8423</v>
      </c>
      <c r="E18" s="94"/>
      <c r="F18" s="91"/>
      <c r="G18" s="91"/>
      <c r="H18" s="91"/>
    </row>
    <row r="19" spans="1:12" x14ac:dyDescent="0.2">
      <c r="A19" s="93"/>
      <c r="B19" s="93"/>
      <c r="C19" s="93"/>
      <c r="D19" s="91"/>
      <c r="E19" s="91"/>
      <c r="F19" s="91"/>
      <c r="G19" s="91"/>
      <c r="H19" s="91"/>
      <c r="I19" s="91"/>
    </row>
    <row r="20" spans="1:12" x14ac:dyDescent="0.2">
      <c r="A20" s="93" t="s">
        <v>8424</v>
      </c>
      <c r="B20" s="93" t="s">
        <v>8425</v>
      </c>
      <c r="C20" s="94"/>
      <c r="D20" s="91" t="s">
        <v>8426</v>
      </c>
      <c r="E20" s="91"/>
      <c r="H20" s="110">
        <f>206.73*4.1887</f>
        <v>865.92995099999996</v>
      </c>
      <c r="I20" s="91"/>
      <c r="J20" s="494"/>
      <c r="L20" s="493"/>
    </row>
    <row r="21" spans="1:12" x14ac:dyDescent="0.2">
      <c r="A21" s="93"/>
      <c r="B21" s="93"/>
      <c r="C21" s="93"/>
      <c r="D21" s="94" t="s">
        <v>8427</v>
      </c>
      <c r="E21" s="94"/>
      <c r="F21" s="91"/>
      <c r="G21" s="91"/>
      <c r="H21" s="91"/>
      <c r="I21" s="91"/>
    </row>
    <row r="22" spans="1:12" x14ac:dyDescent="0.2">
      <c r="A22" s="93"/>
      <c r="B22" s="93"/>
      <c r="C22" s="93"/>
      <c r="D22" s="94"/>
      <c r="E22" s="94"/>
      <c r="F22" s="91"/>
      <c r="G22" s="91"/>
      <c r="H22" s="91"/>
      <c r="I22" s="91"/>
    </row>
    <row r="23" spans="1:12" x14ac:dyDescent="0.2">
      <c r="A23" s="93"/>
      <c r="B23" s="93"/>
      <c r="C23" s="93"/>
      <c r="D23" s="91" t="s">
        <v>8428</v>
      </c>
      <c r="E23" s="91"/>
      <c r="F23" s="91"/>
      <c r="G23" s="91"/>
      <c r="H23" s="91"/>
      <c r="I23" s="91"/>
    </row>
    <row r="24" spans="1:12" x14ac:dyDescent="0.2">
      <c r="A24" s="93"/>
      <c r="B24" s="93"/>
      <c r="C24" s="93"/>
      <c r="D24" s="94"/>
      <c r="E24" s="94"/>
      <c r="F24" s="91"/>
      <c r="G24" s="91"/>
      <c r="H24" s="91"/>
      <c r="I24" s="91"/>
    </row>
    <row r="25" spans="1:12" x14ac:dyDescent="0.2">
      <c r="A25" s="93"/>
      <c r="B25" s="93"/>
      <c r="C25" s="93"/>
      <c r="D25" s="91" t="s">
        <v>52</v>
      </c>
      <c r="H25" s="91">
        <v>30</v>
      </c>
      <c r="I25" s="91"/>
    </row>
    <row r="26" spans="1:12" x14ac:dyDescent="0.2">
      <c r="A26" s="93"/>
      <c r="B26" s="94"/>
      <c r="C26" s="94"/>
      <c r="D26" s="91"/>
      <c r="E26" s="91"/>
      <c r="H26" s="91"/>
      <c r="I26" s="91"/>
    </row>
    <row r="27" spans="1:12" x14ac:dyDescent="0.2">
      <c r="A27" s="93"/>
      <c r="B27" s="93"/>
      <c r="C27" s="93"/>
      <c r="I27" s="91"/>
    </row>
    <row r="28" spans="1:12" x14ac:dyDescent="0.2">
      <c r="A28" s="93"/>
      <c r="B28" s="93"/>
      <c r="C28" s="93"/>
      <c r="D28" s="94"/>
      <c r="E28" s="94"/>
      <c r="F28" s="91"/>
      <c r="G28" s="91"/>
      <c r="H28" s="91"/>
      <c r="I28" s="91"/>
    </row>
    <row r="29" spans="1:12" x14ac:dyDescent="0.2">
      <c r="A29" s="93"/>
      <c r="B29" s="94"/>
      <c r="C29" s="94"/>
      <c r="D29" s="91"/>
      <c r="E29" s="91"/>
      <c r="F29" s="91"/>
      <c r="G29" s="91"/>
      <c r="H29" s="91"/>
      <c r="I29" s="91"/>
    </row>
    <row r="30" spans="1:12" x14ac:dyDescent="0.2">
      <c r="A30" s="93"/>
      <c r="B30" s="94"/>
      <c r="C30" s="94"/>
      <c r="D30" s="91"/>
      <c r="E30" s="91"/>
      <c r="F30" s="91"/>
      <c r="G30" s="91"/>
      <c r="H30" s="91"/>
      <c r="I30" s="91"/>
    </row>
    <row r="31" spans="1:12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2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x14ac:dyDescent="0.2">
      <c r="A34" s="91"/>
      <c r="B34" s="91"/>
      <c r="C34" s="91"/>
      <c r="D34" s="91"/>
      <c r="E34" s="91"/>
      <c r="F34" s="91"/>
      <c r="G34" s="91"/>
      <c r="I34" s="91"/>
    </row>
    <row r="35" spans="1:9" ht="13.5" thickBot="1" x14ac:dyDescent="0.25">
      <c r="A35" s="91"/>
      <c r="B35" s="91"/>
      <c r="C35" s="91"/>
      <c r="D35" s="91"/>
      <c r="E35" s="91"/>
      <c r="F35" s="91"/>
      <c r="G35" s="91"/>
      <c r="H35" s="107">
        <f>SUM(H18:H34)</f>
        <v>895.92995099999996</v>
      </c>
      <c r="I35" s="91"/>
    </row>
    <row r="36" spans="1:9" ht="13.5" thickTop="1" x14ac:dyDescent="0.2">
      <c r="A36" s="91"/>
      <c r="B36" s="91"/>
      <c r="C36" s="91"/>
      <c r="D36" s="91"/>
      <c r="E36" s="91"/>
      <c r="F36" s="91"/>
      <c r="G36" s="91"/>
      <c r="H36" s="91"/>
      <c r="I36" s="91"/>
    </row>
    <row r="37" spans="1:9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Hundred Ninety-Five and 93/100 -----------</v>
      </c>
      <c r="C37" s="185"/>
      <c r="D37" s="97"/>
      <c r="E37" s="97"/>
      <c r="F37" s="97"/>
      <c r="G37" s="97"/>
      <c r="H37" s="97"/>
      <c r="I37" s="91"/>
    </row>
    <row r="38" spans="1:9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9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9" x14ac:dyDescent="0.2">
      <c r="A40" s="91"/>
      <c r="B40" s="91"/>
      <c r="C40" s="91"/>
      <c r="D40" s="91"/>
      <c r="E40" s="91"/>
      <c r="F40" s="91"/>
      <c r="G40" s="91"/>
      <c r="H40" s="91"/>
    </row>
    <row r="41" spans="1:9" x14ac:dyDescent="0.2">
      <c r="A41" s="61"/>
      <c r="B41" s="91"/>
      <c r="C41" s="91"/>
      <c r="D41" s="91"/>
      <c r="E41" s="91"/>
    </row>
    <row r="42" spans="1:9" x14ac:dyDescent="0.2">
      <c r="A42" s="91"/>
      <c r="B42" s="91"/>
      <c r="C42" s="91"/>
      <c r="D42" s="490"/>
      <c r="E42" s="490"/>
      <c r="F42" s="91"/>
      <c r="G42" s="91"/>
      <c r="H42" s="91"/>
    </row>
    <row r="43" spans="1:9" x14ac:dyDescent="0.2">
      <c r="A43" s="101"/>
      <c r="B43" s="101"/>
      <c r="C43" s="91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2120-254F-4292-A3E8-3B1DF45F8040}">
  <sheetPr codeName="Sheet766"/>
  <dimension ref="A1:R56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5703125" style="91" customWidth="1"/>
    <col min="2" max="2" width="13.28515625" style="91" customWidth="1"/>
    <col min="3" max="3" width="0.5703125" style="91" customWidth="1"/>
    <col min="4" max="4" width="25.42578125" style="91" customWidth="1"/>
    <col min="5" max="5" width="1" style="91" customWidth="1"/>
    <col min="6" max="6" width="17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5" t="s">
        <v>8204</v>
      </c>
    </row>
    <row r="10" spans="1:8" x14ac:dyDescent="0.2">
      <c r="A10" s="91" t="s">
        <v>8207</v>
      </c>
      <c r="F10" s="92" t="s">
        <v>1357</v>
      </c>
      <c r="G10" s="155" t="s">
        <v>8183</v>
      </c>
    </row>
    <row r="11" spans="1:8" x14ac:dyDescent="0.2">
      <c r="A11" s="91" t="s">
        <v>8208</v>
      </c>
      <c r="F11" s="92" t="s">
        <v>1330</v>
      </c>
      <c r="G11" s="155" t="s">
        <v>1220</v>
      </c>
    </row>
    <row r="12" spans="1:8" x14ac:dyDescent="0.2">
      <c r="A12" s="91" t="s">
        <v>8209</v>
      </c>
      <c r="F12" s="92" t="s">
        <v>1224</v>
      </c>
      <c r="G12" s="91" t="s">
        <v>8205</v>
      </c>
    </row>
    <row r="13" spans="1:8" x14ac:dyDescent="0.2">
      <c r="A13" s="91" t="s">
        <v>8210</v>
      </c>
      <c r="G13" s="91" t="s">
        <v>7914</v>
      </c>
    </row>
    <row r="16" spans="1:8" s="14" customFormat="1" ht="20.100000000000001" customHeight="1" x14ac:dyDescent="0.2">
      <c r="A16" s="363" t="s">
        <v>1226</v>
      </c>
      <c r="B16" s="480" t="s">
        <v>1262</v>
      </c>
      <c r="C16" s="480"/>
      <c r="D16" s="18" t="s">
        <v>19</v>
      </c>
      <c r="E16" s="18"/>
      <c r="F16" s="17"/>
      <c r="G16" s="16"/>
      <c r="H16" s="15" t="s">
        <v>18</v>
      </c>
    </row>
    <row r="18" spans="1:18" ht="12.75" customHeight="1" x14ac:dyDescent="0.2">
      <c r="A18" s="93"/>
      <c r="D18" s="2" t="s">
        <v>6889</v>
      </c>
      <c r="E18" s="2"/>
    </row>
    <row r="19" spans="1:18" x14ac:dyDescent="0.2">
      <c r="A19" s="93"/>
      <c r="B19" s="93"/>
      <c r="C19" s="93"/>
      <c r="J19" s="91" t="s">
        <v>4732</v>
      </c>
      <c r="M19" s="91">
        <v>1020</v>
      </c>
      <c r="O19" s="91" t="s">
        <v>3859</v>
      </c>
      <c r="R19" s="91">
        <v>1575</v>
      </c>
    </row>
    <row r="20" spans="1:18" x14ac:dyDescent="0.2">
      <c r="A20" s="93" t="s">
        <v>8039</v>
      </c>
      <c r="B20" s="93" t="s">
        <v>8211</v>
      </c>
      <c r="C20" s="93"/>
      <c r="D20" s="91" t="s">
        <v>8212</v>
      </c>
      <c r="J20" s="91" t="s">
        <v>5507</v>
      </c>
      <c r="M20" s="91">
        <v>100</v>
      </c>
      <c r="O20" s="91" t="s">
        <v>127</v>
      </c>
      <c r="R20" s="91">
        <v>400</v>
      </c>
    </row>
    <row r="21" spans="1:18" x14ac:dyDescent="0.2">
      <c r="D21" s="91" t="s">
        <v>8213</v>
      </c>
      <c r="H21" s="91">
        <v>900</v>
      </c>
      <c r="J21" s="91" t="s">
        <v>127</v>
      </c>
      <c r="M21" s="91">
        <v>500</v>
      </c>
      <c r="O21" s="91" t="s">
        <v>3864</v>
      </c>
      <c r="R21" s="91">
        <v>100</v>
      </c>
    </row>
    <row r="22" spans="1:18" x14ac:dyDescent="0.2">
      <c r="D22" s="91" t="s">
        <v>8214</v>
      </c>
      <c r="H22" s="91">
        <v>2500</v>
      </c>
      <c r="J22" s="91" t="s">
        <v>3864</v>
      </c>
      <c r="M22" s="91">
        <v>100</v>
      </c>
      <c r="O22" s="91" t="s">
        <v>6249</v>
      </c>
      <c r="R22" s="91">
        <v>220</v>
      </c>
    </row>
    <row r="23" spans="1:18" x14ac:dyDescent="0.2">
      <c r="A23" s="94"/>
      <c r="J23" s="91" t="s">
        <v>5508</v>
      </c>
      <c r="M23" s="91">
        <v>300</v>
      </c>
    </row>
    <row r="24" spans="1:18" x14ac:dyDescent="0.2">
      <c r="M24" s="91">
        <f>SUM(M19:M23)</f>
        <v>2020</v>
      </c>
    </row>
    <row r="25" spans="1:18" x14ac:dyDescent="0.2">
      <c r="A25" s="93"/>
      <c r="B25" s="481"/>
      <c r="C25" s="481"/>
    </row>
    <row r="26" spans="1:18" x14ac:dyDescent="0.2">
      <c r="A26" s="93"/>
      <c r="B26" s="93"/>
      <c r="C26" s="93"/>
    </row>
    <row r="27" spans="1:18" x14ac:dyDescent="0.2">
      <c r="J27" s="91" t="s">
        <v>5509</v>
      </c>
      <c r="M27" s="91">
        <v>222</v>
      </c>
    </row>
    <row r="28" spans="1:18" x14ac:dyDescent="0.2">
      <c r="B28" s="94"/>
      <c r="C28" s="94"/>
    </row>
    <row r="29" spans="1:18" x14ac:dyDescent="0.2">
      <c r="B29" s="94"/>
      <c r="C29" s="94"/>
    </row>
    <row r="30" spans="1:18" x14ac:dyDescent="0.2">
      <c r="B30" s="94"/>
      <c r="C30" s="94"/>
    </row>
    <row r="31" spans="1:18" x14ac:dyDescent="0.2">
      <c r="B31" s="94"/>
      <c r="C31" s="94"/>
    </row>
    <row r="32" spans="1:18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5" spans="1:8" x14ac:dyDescent="0.2">
      <c r="B35" s="94"/>
      <c r="C35" s="94"/>
      <c r="D35" s="143"/>
      <c r="E35" s="143"/>
      <c r="F35" s="143"/>
      <c r="G35" s="143"/>
      <c r="H35" s="143"/>
    </row>
    <row r="37" spans="1:8" ht="13.5" thickBot="1" x14ac:dyDescent="0.25">
      <c r="H37" s="95">
        <f>SUM(H19:H36)</f>
        <v>3400</v>
      </c>
    </row>
    <row r="38" spans="1:8" ht="13.5" thickTop="1" x14ac:dyDescent="0.2"/>
    <row r="39" spans="1:8" ht="20.100000000000001" customHeight="1" x14ac:dyDescent="0.2">
      <c r="A39" s="96" t="s">
        <v>1075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Three Thousand Four Hundred and NO/100 -----------</v>
      </c>
      <c r="C39" s="185"/>
      <c r="D39" s="97"/>
      <c r="E39" s="97"/>
      <c r="F39" s="97"/>
      <c r="G39" s="97"/>
      <c r="H39" s="97"/>
    </row>
    <row r="40" spans="1:8" x14ac:dyDescent="0.2">
      <c r="A40" s="94"/>
    </row>
    <row r="41" spans="1:8" ht="25.5" x14ac:dyDescent="0.2">
      <c r="A41" s="98" t="s">
        <v>10</v>
      </c>
      <c r="F41" s="218" t="s">
        <v>3975</v>
      </c>
      <c r="G41" s="219"/>
      <c r="H41" s="220"/>
    </row>
    <row r="42" spans="1:8" x14ac:dyDescent="0.2">
      <c r="A42" s="98"/>
    </row>
    <row r="43" spans="1:8" x14ac:dyDescent="0.2">
      <c r="A43" s="98"/>
      <c r="F43" s="227"/>
      <c r="G43" s="227"/>
      <c r="H43" s="227"/>
    </row>
    <row r="44" spans="1:8" x14ac:dyDescent="0.2">
      <c r="A44" s="98"/>
      <c r="D44" s="481"/>
      <c r="E44" s="481"/>
      <c r="F44" s="228"/>
      <c r="G44" s="229"/>
      <c r="H44" s="229"/>
    </row>
    <row r="45" spans="1:8" x14ac:dyDescent="0.2">
      <c r="A45" s="101"/>
      <c r="B45" s="101"/>
      <c r="C45" s="386"/>
    </row>
    <row r="46" spans="1:8" x14ac:dyDescent="0.2">
      <c r="A46" s="98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100"/>
      <c r="B51" s="101"/>
      <c r="C51" s="386"/>
      <c r="D51" s="100"/>
      <c r="F51" s="101"/>
      <c r="G51" s="101"/>
      <c r="H51" s="101"/>
    </row>
    <row r="52" spans="1:8" s="61" customFormat="1" ht="17.100000000000001" customHeight="1" x14ac:dyDescent="0.2">
      <c r="A52" s="98" t="s">
        <v>4066</v>
      </c>
      <c r="B52" s="104"/>
      <c r="C52" s="104"/>
      <c r="D52" s="98" t="s">
        <v>50</v>
      </c>
      <c r="F52" s="61" t="s">
        <v>3</v>
      </c>
    </row>
    <row r="53" spans="1:8" x14ac:dyDescent="0.2">
      <c r="A53" s="98"/>
      <c r="F53" s="91" t="s">
        <v>2</v>
      </c>
    </row>
    <row r="54" spans="1:8" x14ac:dyDescent="0.2">
      <c r="A54" s="98"/>
    </row>
    <row r="55" spans="1:8" x14ac:dyDescent="0.2">
      <c r="F55" s="2" t="s">
        <v>1</v>
      </c>
    </row>
    <row r="56" spans="1:8" x14ac:dyDescent="0.2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417F-D7D1-4543-A876-D0E607A7A3AF}">
  <sheetPr codeName="Sheet726">
    <pageSetUpPr fitToPage="1"/>
  </sheetPr>
  <dimension ref="A1:L59"/>
  <sheetViews>
    <sheetView workbookViewId="0">
      <selection activeCell="E9" sqref="E9:E12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0" width="9.140625" style="91"/>
    <col min="11" max="12" width="9.42578125" style="91" bestFit="1" customWidth="1"/>
    <col min="13" max="16384" width="9.140625" style="9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</row>
    <row r="2" spans="1:11" x14ac:dyDescent="0.2">
      <c r="A2" s="522" t="s">
        <v>33</v>
      </c>
      <c r="B2" s="522"/>
      <c r="C2" s="522"/>
      <c r="D2" s="522"/>
      <c r="E2" s="522"/>
      <c r="F2" s="522"/>
    </row>
    <row r="3" spans="1:11" x14ac:dyDescent="0.2">
      <c r="A3" s="522" t="s">
        <v>1829</v>
      </c>
      <c r="B3" s="522"/>
      <c r="C3" s="522"/>
      <c r="D3" s="522"/>
      <c r="E3" s="522"/>
      <c r="F3" s="522"/>
    </row>
    <row r="4" spans="1:11" x14ac:dyDescent="0.2">
      <c r="A4" s="522" t="s">
        <v>1828</v>
      </c>
      <c r="B4" s="522"/>
      <c r="C4" s="522"/>
      <c r="D4" s="522"/>
      <c r="E4" s="522"/>
      <c r="F4" s="522"/>
    </row>
    <row r="8" spans="1:11" x14ac:dyDescent="0.2">
      <c r="A8" s="91" t="s">
        <v>32</v>
      </c>
      <c r="D8" s="22" t="s">
        <v>31</v>
      </c>
    </row>
    <row r="9" spans="1:11" x14ac:dyDescent="0.2">
      <c r="D9" s="92" t="s">
        <v>1358</v>
      </c>
      <c r="E9" s="155" t="s">
        <v>7467</v>
      </c>
    </row>
    <row r="10" spans="1:11" x14ac:dyDescent="0.2">
      <c r="A10" s="91" t="s">
        <v>7469</v>
      </c>
      <c r="D10" s="92" t="s">
        <v>1357</v>
      </c>
      <c r="E10" s="155" t="s">
        <v>7448</v>
      </c>
    </row>
    <row r="11" spans="1:11" x14ac:dyDescent="0.2">
      <c r="A11" s="91" t="s">
        <v>6625</v>
      </c>
      <c r="D11" s="92" t="s">
        <v>1330</v>
      </c>
      <c r="E11" s="155" t="s">
        <v>1220</v>
      </c>
    </row>
    <row r="12" spans="1:11" x14ac:dyDescent="0.2">
      <c r="D12" s="92" t="s">
        <v>1224</v>
      </c>
      <c r="E12" s="91" t="s">
        <v>7468</v>
      </c>
      <c r="K12" s="108"/>
    </row>
    <row r="13" spans="1:11" x14ac:dyDescent="0.2">
      <c r="K13" s="108"/>
    </row>
    <row r="14" spans="1:11" x14ac:dyDescent="0.2">
      <c r="K14" s="108"/>
    </row>
    <row r="15" spans="1:11" x14ac:dyDescent="0.2">
      <c r="K15" s="108"/>
    </row>
    <row r="16" spans="1:11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  <c r="K16" s="364"/>
    </row>
    <row r="17" spans="1:12" s="152" customFormat="1" x14ac:dyDescent="0.2">
      <c r="A17" s="153"/>
      <c r="B17" s="153"/>
      <c r="C17" s="153"/>
      <c r="D17" s="153"/>
      <c r="E17" s="153"/>
      <c r="F17" s="153"/>
      <c r="K17" s="365"/>
      <c r="L17" s="365"/>
    </row>
    <row r="18" spans="1:12" s="152" customFormat="1" x14ac:dyDescent="0.2">
      <c r="A18" s="153"/>
      <c r="B18" s="153"/>
      <c r="C18" s="163" t="s">
        <v>3803</v>
      </c>
      <c r="D18" s="153"/>
      <c r="E18" s="153"/>
      <c r="F18" s="153"/>
      <c r="K18" s="365"/>
    </row>
    <row r="19" spans="1:12" s="152" customFormat="1" x14ac:dyDescent="0.2">
      <c r="A19" s="153"/>
      <c r="B19" s="153"/>
      <c r="C19" s="153"/>
      <c r="D19" s="153"/>
      <c r="E19" s="153"/>
      <c r="F19" s="153"/>
      <c r="K19" s="365"/>
    </row>
    <row r="20" spans="1:12" s="152" customFormat="1" x14ac:dyDescent="0.2">
      <c r="A20" s="168" t="s">
        <v>7470</v>
      </c>
      <c r="B20" s="168"/>
      <c r="C20" s="153" t="s">
        <v>7471</v>
      </c>
      <c r="D20" s="153"/>
      <c r="E20" s="153"/>
      <c r="F20" s="153">
        <v>1500</v>
      </c>
      <c r="K20" s="365"/>
    </row>
    <row r="21" spans="1:12" s="152" customFormat="1" x14ac:dyDescent="0.2">
      <c r="A21" s="168"/>
      <c r="B21" s="168"/>
      <c r="C21" s="153"/>
      <c r="D21" s="153"/>
      <c r="E21" s="153"/>
      <c r="F21" s="153"/>
      <c r="K21" s="365"/>
    </row>
    <row r="22" spans="1:12" s="152" customFormat="1" x14ac:dyDescent="0.2">
      <c r="A22" s="168"/>
      <c r="B22" s="168"/>
      <c r="C22" s="153"/>
      <c r="D22" s="153"/>
      <c r="E22" s="153"/>
      <c r="F22" s="153"/>
      <c r="K22" s="365"/>
    </row>
    <row r="23" spans="1:12" s="152" customFormat="1" x14ac:dyDescent="0.2">
      <c r="A23" s="153"/>
      <c r="B23" s="169"/>
      <c r="C23" s="153"/>
      <c r="D23" s="153"/>
      <c r="E23" s="153"/>
      <c r="F23" s="153"/>
      <c r="K23" s="365"/>
    </row>
    <row r="24" spans="1:12" s="152" customFormat="1" x14ac:dyDescent="0.2">
      <c r="A24" s="168"/>
      <c r="B24" s="173"/>
      <c r="C24" s="153"/>
      <c r="D24" s="153"/>
      <c r="E24" s="153"/>
      <c r="F24" s="153"/>
      <c r="K24" s="365"/>
    </row>
    <row r="25" spans="1:12" s="152" customFormat="1" x14ac:dyDescent="0.2">
      <c r="A25" s="168"/>
      <c r="B25" s="173"/>
      <c r="K25" s="365"/>
    </row>
    <row r="26" spans="1:12" s="152" customFormat="1" x14ac:dyDescent="0.2">
      <c r="A26" s="168"/>
      <c r="B26" s="173"/>
      <c r="C26" s="153"/>
      <c r="D26" s="153"/>
      <c r="E26" s="153"/>
      <c r="F26" s="153"/>
      <c r="K26" s="365"/>
    </row>
    <row r="27" spans="1:12" s="152" customFormat="1" x14ac:dyDescent="0.2">
      <c r="A27" s="168"/>
      <c r="B27" s="173"/>
      <c r="C27" s="153"/>
      <c r="D27" s="153"/>
      <c r="E27" s="153"/>
      <c r="F27" s="153"/>
      <c r="K27" s="365"/>
    </row>
    <row r="28" spans="1:12" s="152" customFormat="1" x14ac:dyDescent="0.2">
      <c r="A28" s="168"/>
      <c r="B28" s="173"/>
      <c r="C28" s="153"/>
      <c r="D28" s="153"/>
      <c r="E28" s="153"/>
      <c r="F28" s="153"/>
    </row>
    <row r="29" spans="1:12" s="152" customFormat="1" x14ac:dyDescent="0.2">
      <c r="A29" s="168"/>
      <c r="B29" s="169"/>
      <c r="C29" s="153"/>
      <c r="D29" s="153"/>
      <c r="E29" s="153"/>
      <c r="F29" s="153"/>
    </row>
    <row r="30" spans="1:12" s="152" customFormat="1" x14ac:dyDescent="0.2">
      <c r="A30" s="187"/>
      <c r="B30" s="168"/>
      <c r="C30" s="153"/>
      <c r="D30" s="153"/>
      <c r="E30" s="153"/>
      <c r="F30" s="153"/>
    </row>
    <row r="31" spans="1:12" s="152" customFormat="1" x14ac:dyDescent="0.2">
      <c r="A31" s="198"/>
      <c r="B31" s="169"/>
      <c r="C31" s="153"/>
      <c r="D31" s="153"/>
      <c r="E31" s="153"/>
      <c r="F31" s="153"/>
    </row>
    <row r="32" spans="1:12" s="152" customFormat="1" x14ac:dyDescent="0.2">
      <c r="A32" s="198"/>
      <c r="B32" s="169"/>
      <c r="C32" s="153"/>
      <c r="D32" s="153"/>
      <c r="E32" s="153"/>
      <c r="F32" s="153"/>
    </row>
    <row r="33" spans="1:6" s="152" customFormat="1" x14ac:dyDescent="0.2">
      <c r="A33" s="198"/>
      <c r="B33" s="169"/>
      <c r="C33" s="153"/>
      <c r="D33" s="153"/>
      <c r="E33" s="153"/>
      <c r="F33" s="153"/>
    </row>
    <row r="34" spans="1:6" s="152" customFormat="1" x14ac:dyDescent="0.2">
      <c r="A34" s="198"/>
      <c r="B34" s="169"/>
      <c r="C34" s="153"/>
      <c r="D34" s="153"/>
      <c r="E34" s="153"/>
      <c r="F34" s="153"/>
    </row>
    <row r="35" spans="1:6" s="152" customFormat="1" x14ac:dyDescent="0.2"/>
    <row r="36" spans="1:6" s="152" customFormat="1" x14ac:dyDescent="0.2">
      <c r="A36" s="187"/>
      <c r="B36" s="168"/>
      <c r="C36" s="153"/>
      <c r="D36" s="153"/>
      <c r="E36" s="153"/>
      <c r="F36" s="153"/>
    </row>
    <row r="37" spans="1:6" s="152" customFormat="1" x14ac:dyDescent="0.2">
      <c r="A37" s="198"/>
      <c r="B37" s="169"/>
      <c r="C37" s="153"/>
      <c r="D37" s="153"/>
      <c r="E37" s="153"/>
      <c r="F37" s="153"/>
    </row>
    <row r="38" spans="1:6" s="152" customFormat="1" x14ac:dyDescent="0.2">
      <c r="A38" s="153"/>
      <c r="B38" s="153"/>
      <c r="C38" s="153"/>
    </row>
    <row r="39" spans="1:6" s="152" customFormat="1" ht="13.5" thickBot="1" x14ac:dyDescent="0.25">
      <c r="A39" s="153"/>
      <c r="B39" s="153"/>
      <c r="C39" s="153"/>
      <c r="D39" s="153"/>
      <c r="E39" s="153"/>
      <c r="F39" s="170">
        <f>SUM(F20:F38)</f>
        <v>1500</v>
      </c>
    </row>
    <row r="40" spans="1:6" s="152" customFormat="1" ht="13.5" thickTop="1" x14ac:dyDescent="0.2">
      <c r="A40" s="153"/>
      <c r="B40" s="153"/>
      <c r="C40" s="153"/>
      <c r="D40" s="153"/>
      <c r="E40" s="153"/>
      <c r="F40" s="153"/>
    </row>
    <row r="41" spans="1:6" s="152" customFormat="1" ht="21.75" customHeight="1" x14ac:dyDescent="0.2">
      <c r="A41" s="171" t="s">
        <v>122</v>
      </c>
      <c r="B41" s="185" t="str">
        <f>IF(OR(F39&gt;1000000,F39&lt;=0),"",IF(F39&lt;1000,"",IF(MOD(F39,1000000)&gt;=100000,INDEX(numbers,TRUNC(MOD(F39,1000000)/100000,0)+1)&amp;" Hundred","")&amp;IF(MOD(F39,100000)&gt;=20000," "&amp;INDEX(tens,TRUNC(MOD(F39,100000)/10000,0)+1)&amp;IF(MOD(MOD(F39,100000),10000)&gt;=1000,"-"&amp;INDEX(numbers,TRUNC(MOD(MOD(F39,100000),10000)/1000,0)+1),""),IF(MOD(F39,100000)&gt;=1000," "&amp;INDEX(numbers,TRUNC(MOD(F39,100000)/1000,0)+1),""))&amp;" Thousand") &amp; IF(F39&lt;1,"Zero Dollars",IF(MOD(F39,1000)&gt;=100," "&amp;INDEX(numbers,TRUNC(MOD(F39,1000)/100,0)+1)&amp;" Hundred","")&amp;IF(MOD(F39,100)&gt;=20," "&amp;INDEX(tens,TRUNC(MOD(F39,100)/10,0)+1)&amp;IF(MOD(MOD(F39,100),10)&gt;=1,"-"&amp;INDEX(numbers,TRUNC(MOD(MOD(F39,100),10),0)+1),""),IF(MOD(F39,100)&gt;=1," "&amp;INDEX(numbers,TRUNC(MOD(F39,100),0)+1),""))&amp;"") &amp; " and " &amp; IF(MOD(F39,1)&lt;0.005,"NO",ROUND(MOD(F39,1)*100,0)) &amp; "/100 -----------")</f>
        <v xml:space="preserve"> One Thousand Five Hundred and NO/100 -----------</v>
      </c>
      <c r="C41" s="172"/>
      <c r="D41" s="237"/>
      <c r="E41" s="237"/>
      <c r="F41" s="237"/>
    </row>
    <row r="42" spans="1:6" s="152" customFormat="1" x14ac:dyDescent="0.2">
      <c r="A42" s="197"/>
      <c r="B42" s="103"/>
      <c r="C42" s="156"/>
      <c r="D42" s="227"/>
      <c r="E42" s="227"/>
      <c r="F42" s="227"/>
    </row>
    <row r="43" spans="1:6" s="152" customFormat="1" ht="25.5" x14ac:dyDescent="0.2">
      <c r="A43" s="156" t="s">
        <v>10</v>
      </c>
      <c r="B43" s="103"/>
      <c r="C43" s="156"/>
      <c r="D43" s="218" t="s">
        <v>3975</v>
      </c>
      <c r="E43" s="219"/>
      <c r="F43" s="220"/>
    </row>
    <row r="44" spans="1:6" s="152" customFormat="1" x14ac:dyDescent="0.2">
      <c r="B44" s="153"/>
      <c r="C44" s="153"/>
      <c r="D44" s="228"/>
      <c r="E44" s="229"/>
      <c r="F44" s="229"/>
    </row>
    <row r="45" spans="1:6" s="152" customFormat="1" x14ac:dyDescent="0.2">
      <c r="B45" s="153"/>
      <c r="C45" s="153"/>
    </row>
    <row r="46" spans="1:6" s="152" customFormat="1" x14ac:dyDescent="0.2">
      <c r="A46" s="153"/>
      <c r="B46" s="153"/>
      <c r="C46" s="153"/>
      <c r="D46" s="153"/>
      <c r="E46" s="153"/>
      <c r="F46" s="153"/>
    </row>
    <row r="47" spans="1:6" s="152" customFormat="1" x14ac:dyDescent="0.2">
      <c r="A47" s="153"/>
      <c r="B47" s="153"/>
      <c r="C47" s="173"/>
      <c r="D47" s="153"/>
      <c r="E47" s="153"/>
      <c r="F47" s="153"/>
    </row>
    <row r="48" spans="1:6" s="152" customFormat="1" x14ac:dyDescent="0.2">
      <c r="A48" s="174"/>
      <c r="B48" s="174"/>
      <c r="C48" s="153"/>
      <c r="D48" s="153"/>
      <c r="E48" s="153"/>
      <c r="F48" s="153"/>
    </row>
    <row r="49" spans="1:6" s="152" customFormat="1" x14ac:dyDescent="0.2">
      <c r="B49" s="153"/>
      <c r="C49" s="153"/>
      <c r="D49" s="153"/>
      <c r="E49" s="153"/>
      <c r="F49" s="153"/>
    </row>
    <row r="50" spans="1:6" s="152" customFormat="1" x14ac:dyDescent="0.2">
      <c r="A50" s="175" t="s">
        <v>8</v>
      </c>
      <c r="C50" s="153"/>
      <c r="D50" s="175" t="s">
        <v>7</v>
      </c>
      <c r="E50" s="153"/>
      <c r="F50" s="176"/>
    </row>
    <row r="51" spans="1:6" s="152" customFormat="1" x14ac:dyDescent="0.2">
      <c r="A51" s="153"/>
      <c r="B51" s="153"/>
      <c r="C51" s="153"/>
      <c r="D51" s="153"/>
      <c r="E51" s="153"/>
      <c r="F51" s="153"/>
    </row>
    <row r="52" spans="1:6" s="152" customFormat="1" x14ac:dyDescent="0.2">
      <c r="A52" s="153"/>
      <c r="B52" s="153"/>
      <c r="C52" s="153"/>
      <c r="D52" s="153"/>
      <c r="E52" s="153"/>
      <c r="F52" s="153"/>
    </row>
    <row r="53" spans="1:6" s="152" customFormat="1" x14ac:dyDescent="0.2">
      <c r="A53" s="153"/>
      <c r="B53" s="153"/>
      <c r="C53" s="153"/>
      <c r="D53" s="153"/>
      <c r="E53" s="153"/>
      <c r="F53" s="153"/>
    </row>
    <row r="54" spans="1:6" s="152" customFormat="1" x14ac:dyDescent="0.2">
      <c r="A54" s="174"/>
      <c r="B54" s="174"/>
      <c r="C54" s="153"/>
      <c r="D54" s="174"/>
      <c r="E54" s="174"/>
      <c r="F54" s="174"/>
    </row>
    <row r="55" spans="1:6" s="178" customFormat="1" ht="17.100000000000001" customHeight="1" x14ac:dyDescent="0.2">
      <c r="A55" s="153" t="s">
        <v>4066</v>
      </c>
      <c r="B55" s="177"/>
      <c r="C55" s="156"/>
      <c r="D55" s="156" t="s">
        <v>3</v>
      </c>
      <c r="E55" s="156"/>
      <c r="F55" s="156"/>
    </row>
    <row r="56" spans="1:6" s="152" customFormat="1" x14ac:dyDescent="0.2">
      <c r="A56" s="153"/>
      <c r="B56" s="153"/>
      <c r="C56" s="153"/>
      <c r="D56" s="153" t="s">
        <v>2</v>
      </c>
      <c r="E56" s="153"/>
      <c r="F56" s="153"/>
    </row>
    <row r="57" spans="1:6" s="152" customFormat="1" x14ac:dyDescent="0.2">
      <c r="A57" s="153"/>
      <c r="B57" s="153"/>
      <c r="C57" s="153"/>
      <c r="D57" s="153"/>
      <c r="E57" s="153"/>
      <c r="F57" s="153"/>
    </row>
    <row r="58" spans="1:6" s="152" customFormat="1" x14ac:dyDescent="0.2">
      <c r="A58" s="153"/>
      <c r="B58" s="153"/>
      <c r="C58" s="153"/>
      <c r="D58" s="163" t="s">
        <v>1</v>
      </c>
      <c r="E58" s="153"/>
      <c r="F58" s="153"/>
    </row>
    <row r="59" spans="1:6" s="152" customFormat="1" x14ac:dyDescent="0.2">
      <c r="A59" s="153"/>
      <c r="B59" s="153"/>
      <c r="C59" s="153"/>
      <c r="D59" s="163" t="s">
        <v>0</v>
      </c>
      <c r="E59" s="153"/>
      <c r="F59" s="15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5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626-B16E-43FF-9645-87CB57DAE6B1}">
  <sheetPr codeName="Sheet703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6.42578125" style="91" customWidth="1"/>
    <col min="5" max="5" width="7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7311</v>
      </c>
    </row>
    <row r="10" spans="1:6" x14ac:dyDescent="0.2">
      <c r="A10" s="91" t="s">
        <v>7225</v>
      </c>
      <c r="D10" s="92" t="s">
        <v>1444</v>
      </c>
      <c r="E10" s="91" t="s">
        <v>7290</v>
      </c>
    </row>
    <row r="11" spans="1:6" x14ac:dyDescent="0.2">
      <c r="A11" s="94" t="s">
        <v>7226</v>
      </c>
      <c r="D11" s="92" t="s">
        <v>1431</v>
      </c>
      <c r="E11" s="91" t="s">
        <v>1220</v>
      </c>
    </row>
    <row r="12" spans="1:6" x14ac:dyDescent="0.2">
      <c r="A12" s="91" t="s">
        <v>7227</v>
      </c>
      <c r="D12" s="92" t="s">
        <v>1268</v>
      </c>
      <c r="E12" s="91" t="s">
        <v>7312</v>
      </c>
    </row>
    <row r="13" spans="1:6" x14ac:dyDescent="0.2">
      <c r="A13" s="91" t="s">
        <v>1015</v>
      </c>
    </row>
    <row r="14" spans="1:6" x14ac:dyDescent="0.2">
      <c r="A14" s="91" t="s">
        <v>7228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6215</v>
      </c>
    </row>
    <row r="20" spans="1:6" x14ac:dyDescent="0.2">
      <c r="A20" s="93" t="s">
        <v>7236</v>
      </c>
      <c r="B20" s="93">
        <v>43493</v>
      </c>
      <c r="C20" s="91" t="s">
        <v>7313</v>
      </c>
      <c r="F20" s="91">
        <v>80</v>
      </c>
    </row>
    <row r="21" spans="1:6" x14ac:dyDescent="0.2">
      <c r="A21" s="93"/>
      <c r="B21" s="93"/>
      <c r="C21" s="91" t="s">
        <v>7314</v>
      </c>
    </row>
    <row r="25" spans="1:6" x14ac:dyDescent="0.2">
      <c r="A25" s="111"/>
      <c r="B25" s="93"/>
    </row>
    <row r="26" spans="1:6" x14ac:dyDescent="0.2">
      <c r="A26" s="111"/>
      <c r="B26" s="93"/>
      <c r="F26" s="94"/>
    </row>
    <row r="27" spans="1:6" x14ac:dyDescent="0.2">
      <c r="A27" s="111"/>
      <c r="B27" s="93"/>
      <c r="F27" s="94"/>
    </row>
    <row r="28" spans="1:6" x14ac:dyDescent="0.2">
      <c r="A28" s="111"/>
      <c r="B28" s="93"/>
      <c r="F28" s="94"/>
    </row>
    <row r="29" spans="1:6" x14ac:dyDescent="0.2">
      <c r="A29" s="93"/>
      <c r="B29" s="93"/>
    </row>
    <row r="30" spans="1:6" x14ac:dyDescent="0.2">
      <c r="B30" s="99"/>
    </row>
    <row r="31" spans="1:6" x14ac:dyDescent="0.2">
      <c r="A31" s="93"/>
      <c r="B31" s="93"/>
    </row>
    <row r="32" spans="1:6" x14ac:dyDescent="0.2">
      <c r="B32" s="99"/>
    </row>
    <row r="34" spans="1:6" ht="13.5" thickBot="1" x14ac:dyDescent="0.25">
      <c r="F34" s="95">
        <f>SUM(F18:F32)</f>
        <v>80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Eighty and NO/100 -----------</v>
      </c>
      <c r="C36" s="97"/>
      <c r="D36" s="218"/>
      <c r="E36" s="232"/>
      <c r="F36" s="232"/>
    </row>
    <row r="37" spans="1:6" x14ac:dyDescent="0.2">
      <c r="A37" s="94" t="s">
        <v>11</v>
      </c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2" spans="1:6" x14ac:dyDescent="0.2">
      <c r="A42" s="101"/>
      <c r="B42" s="101"/>
    </row>
    <row r="44" spans="1:6" x14ac:dyDescent="0.2">
      <c r="A44" s="98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x14ac:dyDescent="0.2"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92B4-8282-41A7-8ECC-94D3CAF33641}">
  <sheetPr codeName="Sheet735"/>
  <dimension ref="A1:H61"/>
  <sheetViews>
    <sheetView topLeftCell="A28" zoomScaleNormal="100" workbookViewId="0">
      <selection activeCell="G9" sqref="G9:G13"/>
    </sheetView>
  </sheetViews>
  <sheetFormatPr defaultRowHeight="12.75" x14ac:dyDescent="0.2"/>
  <cols>
    <col min="1" max="2" width="15.140625" style="1" customWidth="1"/>
    <col min="3" max="3" width="1.42578125" style="1" customWidth="1"/>
    <col min="4" max="4" width="20.7109375" style="1" customWidth="1"/>
    <col min="5" max="5" width="1.14062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91" t="s">
        <v>7569</v>
      </c>
    </row>
    <row r="10" spans="1:8" s="91" customFormat="1" x14ac:dyDescent="0.2">
      <c r="A10" s="91" t="s">
        <v>7571</v>
      </c>
      <c r="F10" s="92" t="s">
        <v>1357</v>
      </c>
      <c r="G10" s="92" t="s">
        <v>7565</v>
      </c>
    </row>
    <row r="11" spans="1:8" s="91" customFormat="1" x14ac:dyDescent="0.2">
      <c r="A11" s="91" t="s">
        <v>7572</v>
      </c>
      <c r="F11" s="92" t="s">
        <v>1330</v>
      </c>
      <c r="G11" s="92" t="s">
        <v>1220</v>
      </c>
    </row>
    <row r="12" spans="1:8" s="91" customFormat="1" x14ac:dyDescent="0.2">
      <c r="A12" s="91" t="s">
        <v>7573</v>
      </c>
      <c r="F12" s="92" t="s">
        <v>1224</v>
      </c>
      <c r="G12" s="92" t="s">
        <v>7570</v>
      </c>
    </row>
    <row r="13" spans="1:8" s="91" customFormat="1" x14ac:dyDescent="0.2">
      <c r="A13" s="91" t="s">
        <v>2752</v>
      </c>
    </row>
    <row r="14" spans="1:8" s="91" customFormat="1" x14ac:dyDescent="0.2">
      <c r="A14" s="91" t="s">
        <v>1314</v>
      </c>
    </row>
    <row r="15" spans="1:8" s="91" customFormat="1" x14ac:dyDescent="0.2"/>
    <row r="16" spans="1:8" s="91" customFormat="1" x14ac:dyDescent="0.2"/>
    <row r="17" spans="1:8" s="14" customFormat="1" ht="20.100000000000001" customHeight="1" x14ac:dyDescent="0.2">
      <c r="A17" s="17" t="s">
        <v>1261</v>
      </c>
      <c r="B17" s="414" t="s">
        <v>1262</v>
      </c>
      <c r="C17" s="414"/>
      <c r="D17" s="18" t="s">
        <v>19</v>
      </c>
      <c r="E17" s="18"/>
      <c r="F17" s="17"/>
      <c r="G17" s="16"/>
      <c r="H17" s="15" t="s">
        <v>18</v>
      </c>
    </row>
    <row r="18" spans="1:8" s="91" customFormat="1" x14ac:dyDescent="0.2"/>
    <row r="19" spans="1:8" s="91" customFormat="1" x14ac:dyDescent="0.2">
      <c r="A19" s="93"/>
      <c r="B19" s="93"/>
      <c r="C19" s="93"/>
      <c r="D19" s="2" t="s">
        <v>7574</v>
      </c>
      <c r="E19" s="2"/>
    </row>
    <row r="20" spans="1:8" s="91" customFormat="1" x14ac:dyDescent="0.2">
      <c r="D20" s="2" t="s">
        <v>7575</v>
      </c>
      <c r="E20" s="2"/>
    </row>
    <row r="21" spans="1:8" s="91" customFormat="1" x14ac:dyDescent="0.2">
      <c r="A21" s="93"/>
      <c r="B21" s="93"/>
      <c r="C21" s="93"/>
    </row>
    <row r="22" spans="1:8" s="91" customFormat="1" x14ac:dyDescent="0.2">
      <c r="A22" s="93" t="s">
        <v>7576</v>
      </c>
      <c r="B22" s="93" t="s">
        <v>7577</v>
      </c>
      <c r="C22" s="93"/>
      <c r="D22" s="91" t="s">
        <v>7579</v>
      </c>
      <c r="H22" s="91">
        <v>30.9</v>
      </c>
    </row>
    <row r="23" spans="1:8" s="91" customFormat="1" x14ac:dyDescent="0.2">
      <c r="D23" s="91" t="s">
        <v>7578</v>
      </c>
      <c r="H23" s="91">
        <v>70</v>
      </c>
    </row>
    <row r="24" spans="1:8" s="91" customFormat="1" x14ac:dyDescent="0.2">
      <c r="A24" s="93"/>
      <c r="B24" s="415"/>
      <c r="C24" s="415"/>
      <c r="D24" s="91" t="s">
        <v>7580</v>
      </c>
      <c r="H24" s="91">
        <v>37.1</v>
      </c>
    </row>
    <row r="25" spans="1:8" s="91" customFormat="1" x14ac:dyDescent="0.2">
      <c r="A25" s="93"/>
      <c r="B25" s="93"/>
      <c r="C25" s="93"/>
      <c r="D25" s="91" t="s">
        <v>7581</v>
      </c>
      <c r="H25" s="91">
        <v>268.8</v>
      </c>
    </row>
    <row r="26" spans="1:8" s="91" customFormat="1" x14ac:dyDescent="0.2"/>
    <row r="27" spans="1:8" s="91" customFormat="1" x14ac:dyDescent="0.2">
      <c r="A27" s="93"/>
      <c r="B27" s="93"/>
      <c r="C27" s="93"/>
    </row>
    <row r="28" spans="1:8" s="91" customFormat="1" x14ac:dyDescent="0.2">
      <c r="A28" s="93"/>
      <c r="B28" s="93"/>
      <c r="C28" s="93"/>
    </row>
    <row r="29" spans="1:8" s="91" customFormat="1" x14ac:dyDescent="0.2">
      <c r="A29" s="93"/>
      <c r="B29" s="93"/>
      <c r="C29" s="93"/>
    </row>
    <row r="30" spans="1:8" s="91" customFormat="1" x14ac:dyDescent="0.2">
      <c r="A30" s="93"/>
      <c r="B30" s="93"/>
      <c r="C30" s="93"/>
    </row>
    <row r="31" spans="1:8" s="91" customFormat="1" x14ac:dyDescent="0.2">
      <c r="A31" s="93"/>
      <c r="B31" s="93"/>
      <c r="C31" s="93"/>
    </row>
    <row r="32" spans="1:8" s="91" customFormat="1" x14ac:dyDescent="0.2">
      <c r="A32" s="93"/>
      <c r="B32" s="93"/>
      <c r="C32" s="93"/>
    </row>
    <row r="33" spans="1:8" s="91" customFormat="1" x14ac:dyDescent="0.2">
      <c r="A33" s="93"/>
      <c r="B33" s="93"/>
      <c r="C33" s="93"/>
    </row>
    <row r="34" spans="1:8" s="91" customFormat="1" x14ac:dyDescent="0.2">
      <c r="A34" s="93"/>
      <c r="B34" s="93"/>
      <c r="C34" s="93"/>
    </row>
    <row r="35" spans="1:8" s="91" customFormat="1" x14ac:dyDescent="0.2">
      <c r="A35" s="93"/>
      <c r="B35" s="415"/>
      <c r="C35" s="415"/>
    </row>
    <row r="36" spans="1:8" s="91" customFormat="1" x14ac:dyDescent="0.2"/>
    <row r="37" spans="1:8" s="91" customFormat="1" x14ac:dyDescent="0.2"/>
    <row r="38" spans="1:8" s="91" customFormat="1" ht="13.5" thickBot="1" x14ac:dyDescent="0.25">
      <c r="H38" s="107">
        <f>SUM(H19:H37)</f>
        <v>406.8</v>
      </c>
    </row>
    <row r="39" spans="1:8" s="91" customFormat="1" ht="13.5" thickTop="1" x14ac:dyDescent="0.2"/>
    <row r="40" spans="1:8" s="91" customFormat="1" ht="20.100000000000001" customHeight="1" x14ac:dyDescent="0.2">
      <c r="A40" s="96" t="s">
        <v>2674</v>
      </c>
      <c r="B40" s="96" t="s">
        <v>2675</v>
      </c>
      <c r="C40" s="96"/>
      <c r="D40" s="97"/>
      <c r="E40" s="97"/>
      <c r="F40" s="206"/>
      <c r="G40" s="206"/>
      <c r="H40" s="206"/>
    </row>
    <row r="41" spans="1:8" s="91" customFormat="1" x14ac:dyDescent="0.2">
      <c r="A41" s="94" t="s">
        <v>11</v>
      </c>
    </row>
    <row r="42" spans="1:8" s="91" customFormat="1" ht="25.5" x14ac:dyDescent="0.2">
      <c r="A42" s="91" t="s">
        <v>10</v>
      </c>
      <c r="F42" s="218" t="s">
        <v>3975</v>
      </c>
      <c r="G42" s="219"/>
      <c r="H42" s="220"/>
    </row>
    <row r="43" spans="1:8" s="91" customFormat="1" x14ac:dyDescent="0.2">
      <c r="F43" s="227"/>
      <c r="G43" s="227"/>
      <c r="H43" s="227"/>
    </row>
    <row r="44" spans="1:8" s="91" customFormat="1" x14ac:dyDescent="0.2">
      <c r="F44" s="228"/>
      <c r="G44" s="229"/>
      <c r="H44" s="229"/>
    </row>
    <row r="45" spans="1:8" s="91" customFormat="1" x14ac:dyDescent="0.2"/>
    <row r="46" spans="1:8" s="91" customFormat="1" x14ac:dyDescent="0.2">
      <c r="A46" s="101"/>
      <c r="B46" s="101"/>
      <c r="C46" s="386"/>
    </row>
    <row r="47" spans="1:8" s="91" customFormat="1" x14ac:dyDescent="0.2"/>
    <row r="48" spans="1:8" s="91" customFormat="1" x14ac:dyDescent="0.2">
      <c r="A48" s="98" t="s">
        <v>8</v>
      </c>
      <c r="D48" s="98" t="s">
        <v>8</v>
      </c>
      <c r="F48" s="98" t="s">
        <v>7</v>
      </c>
      <c r="H48" s="102"/>
    </row>
    <row r="49" spans="1:8" s="91" customFormat="1" x14ac:dyDescent="0.2"/>
    <row r="50" spans="1:8" s="91" customFormat="1" x14ac:dyDescent="0.2"/>
    <row r="51" spans="1:8" s="91" customFormat="1" x14ac:dyDescent="0.2"/>
    <row r="52" spans="1:8" s="91" customFormat="1" x14ac:dyDescent="0.2"/>
    <row r="53" spans="1:8" s="91" customFormat="1" x14ac:dyDescent="0.2">
      <c r="A53" s="101"/>
      <c r="B53" s="101"/>
      <c r="C53" s="386"/>
      <c r="D53" s="101"/>
      <c r="F53" s="101"/>
      <c r="G53" s="101"/>
      <c r="H53" s="101"/>
    </row>
    <row r="54" spans="1:8" s="61" customFormat="1" ht="17.100000000000001" customHeight="1" x14ac:dyDescent="0.2">
      <c r="A54" s="103" t="s">
        <v>4066</v>
      </c>
      <c r="B54" s="104"/>
      <c r="C54" s="104"/>
      <c r="D54" s="103" t="s">
        <v>50</v>
      </c>
      <c r="F54" s="61" t="s">
        <v>3</v>
      </c>
    </row>
    <row r="55" spans="1:8" s="91" customFormat="1" x14ac:dyDescent="0.2">
      <c r="F55" s="91" t="s">
        <v>2</v>
      </c>
    </row>
    <row r="56" spans="1:8" s="91" customFormat="1" x14ac:dyDescent="0.2"/>
    <row r="57" spans="1:8" s="91" customFormat="1" x14ac:dyDescent="0.2">
      <c r="F57" s="2" t="s">
        <v>1</v>
      </c>
    </row>
    <row r="58" spans="1:8" s="91" customFormat="1" x14ac:dyDescent="0.2">
      <c r="F58" s="2" t="s">
        <v>0</v>
      </c>
    </row>
    <row r="59" spans="1:8" s="91" customFormat="1" x14ac:dyDescent="0.2"/>
    <row r="60" spans="1:8" s="91" customFormat="1" x14ac:dyDescent="0.2"/>
    <row r="61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5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C970-B2D4-4A9D-BEFF-0E2C38A130C0}">
  <sheetPr codeName="Sheet684"/>
  <dimension ref="A1:L55"/>
  <sheetViews>
    <sheetView topLeftCell="A3"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  <c r="E8" s="251"/>
    </row>
    <row r="9" spans="1:7" x14ac:dyDescent="0.2">
      <c r="D9" s="92" t="s">
        <v>1334</v>
      </c>
      <c r="E9" s="91" t="s">
        <v>6961</v>
      </c>
      <c r="G9" s="61"/>
    </row>
    <row r="10" spans="1:7" x14ac:dyDescent="0.2">
      <c r="A10" s="91" t="s">
        <v>6963</v>
      </c>
      <c r="D10" s="92" t="s">
        <v>1335</v>
      </c>
      <c r="E10" s="92" t="s">
        <v>6954</v>
      </c>
      <c r="G10" s="113"/>
    </row>
    <row r="11" spans="1:7" x14ac:dyDescent="0.2">
      <c r="A11" s="91" t="s">
        <v>6964</v>
      </c>
      <c r="D11" s="92" t="s">
        <v>1333</v>
      </c>
      <c r="E11" s="325" t="s">
        <v>1220</v>
      </c>
      <c r="G11" s="113"/>
    </row>
    <row r="12" spans="1:7" x14ac:dyDescent="0.2">
      <c r="A12" s="91" t="s">
        <v>6965</v>
      </c>
      <c r="D12" s="92" t="s">
        <v>1331</v>
      </c>
      <c r="E12" s="92" t="s">
        <v>6962</v>
      </c>
      <c r="G12" s="113"/>
    </row>
    <row r="13" spans="1:7" x14ac:dyDescent="0.2">
      <c r="A13" s="91" t="s">
        <v>2191</v>
      </c>
    </row>
    <row r="14" spans="1:7" x14ac:dyDescent="0.2">
      <c r="A14" s="91" t="s">
        <v>6966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B18" s="111"/>
      <c r="C18" s="2" t="s">
        <v>4311</v>
      </c>
      <c r="I18" s="91"/>
      <c r="J18" s="91"/>
      <c r="K18" s="91"/>
      <c r="L18" s="91"/>
    </row>
    <row r="19" spans="1:12" x14ac:dyDescent="0.2">
      <c r="C19" s="2"/>
      <c r="I19" s="91"/>
      <c r="J19" s="91"/>
      <c r="K19" s="91"/>
      <c r="L19" s="110"/>
    </row>
    <row r="20" spans="1:12" x14ac:dyDescent="0.2">
      <c r="A20" s="93" t="s">
        <v>6967</v>
      </c>
      <c r="B20" s="93" t="s">
        <v>6968</v>
      </c>
      <c r="C20" s="91" t="s">
        <v>6969</v>
      </c>
      <c r="F20" s="110">
        <v>2800</v>
      </c>
      <c r="I20" s="91"/>
      <c r="J20" s="91"/>
      <c r="K20" s="91"/>
      <c r="L20" s="91"/>
    </row>
    <row r="21" spans="1:12" x14ac:dyDescent="0.2">
      <c r="A21" s="93"/>
      <c r="B21" s="93"/>
      <c r="C21" s="91" t="s">
        <v>6970</v>
      </c>
      <c r="F21" s="110"/>
      <c r="I21" s="91"/>
      <c r="J21" s="91"/>
      <c r="K21" s="91"/>
      <c r="L21" s="91"/>
    </row>
    <row r="22" spans="1:12" x14ac:dyDescent="0.2">
      <c r="C22" s="91" t="s">
        <v>6971</v>
      </c>
      <c r="F22" s="91">
        <v>168</v>
      </c>
      <c r="I22" s="91"/>
      <c r="J22" s="91"/>
      <c r="K22" s="91"/>
      <c r="L22" s="110"/>
    </row>
    <row r="23" spans="1:12" x14ac:dyDescent="0.2">
      <c r="A23" s="93"/>
      <c r="B23" s="99"/>
      <c r="C23" s="2"/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31" spans="1:12" x14ac:dyDescent="0.2">
      <c r="A31" s="93"/>
      <c r="B31" s="111"/>
    </row>
    <row r="36" spans="1:6" ht="13.5" thickBot="1" x14ac:dyDescent="0.25">
      <c r="F36" s="95">
        <f>SUM(F18:F35)</f>
        <v>2968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Thousand Nine Hundred Sixty-Eight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5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1-000000000000}">
  <sheetPr codeName="Sheet617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5990</v>
      </c>
      <c r="D9" s="92" t="s">
        <v>1317</v>
      </c>
      <c r="E9" s="155" t="s">
        <v>5988</v>
      </c>
    </row>
    <row r="10" spans="1:14" x14ac:dyDescent="0.2">
      <c r="A10" s="91" t="s">
        <v>5991</v>
      </c>
      <c r="D10" s="92" t="s">
        <v>1329</v>
      </c>
      <c r="E10" s="155" t="s">
        <v>5975</v>
      </c>
    </row>
    <row r="11" spans="1:14" x14ac:dyDescent="0.2">
      <c r="A11" s="91" t="s">
        <v>5718</v>
      </c>
      <c r="D11" s="92" t="s">
        <v>1330</v>
      </c>
      <c r="E11" s="155" t="s">
        <v>1220</v>
      </c>
    </row>
    <row r="12" spans="1:14" x14ac:dyDescent="0.2">
      <c r="A12" s="91" t="s">
        <v>1606</v>
      </c>
      <c r="D12" s="92" t="s">
        <v>1331</v>
      </c>
      <c r="E12" s="91" t="s">
        <v>5989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/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5986</v>
      </c>
      <c r="K18" s="91"/>
      <c r="L18" s="91"/>
      <c r="M18" s="91"/>
      <c r="N18" s="91"/>
    </row>
    <row r="19" spans="1:14" x14ac:dyDescent="0.2">
      <c r="A19" s="93"/>
      <c r="B19" s="93"/>
      <c r="K19" s="91"/>
      <c r="L19" s="91"/>
      <c r="M19" s="91"/>
      <c r="N19" s="91"/>
    </row>
    <row r="20" spans="1:14" x14ac:dyDescent="0.2">
      <c r="A20" s="93" t="s">
        <v>5844</v>
      </c>
      <c r="B20" s="93" t="s">
        <v>5992</v>
      </c>
      <c r="C20" s="91" t="s">
        <v>5993</v>
      </c>
      <c r="F20" s="91">
        <v>250</v>
      </c>
      <c r="K20" s="91"/>
      <c r="L20" s="91"/>
      <c r="M20" s="91"/>
      <c r="N20" s="91"/>
    </row>
    <row r="21" spans="1:14" x14ac:dyDescent="0.2">
      <c r="A21" s="93"/>
      <c r="B21" s="93"/>
      <c r="C21" s="91" t="s">
        <v>5994</v>
      </c>
      <c r="F21" s="91">
        <v>4250</v>
      </c>
      <c r="K21" s="91"/>
      <c r="L21" s="91"/>
      <c r="M21" s="91"/>
      <c r="N21" s="91"/>
    </row>
    <row r="22" spans="1:14" x14ac:dyDescent="0.2">
      <c r="A22" s="93"/>
      <c r="B22" s="93"/>
      <c r="C22" s="91" t="s">
        <v>5995</v>
      </c>
      <c r="F22" s="91">
        <v>1720</v>
      </c>
      <c r="K22" s="91"/>
      <c r="L22" s="91"/>
      <c r="M22" s="91"/>
      <c r="N22" s="91"/>
    </row>
    <row r="23" spans="1:14" x14ac:dyDescent="0.2">
      <c r="A23" s="93"/>
      <c r="B23" s="93"/>
      <c r="C23" s="91" t="s">
        <v>5996</v>
      </c>
      <c r="F23" s="91">
        <v>150</v>
      </c>
      <c r="K23" s="91"/>
      <c r="L23" s="91"/>
      <c r="M23" s="91"/>
      <c r="N23" s="91"/>
    </row>
    <row r="24" spans="1:14" x14ac:dyDescent="0.2">
      <c r="C24" s="91" t="s">
        <v>5997</v>
      </c>
      <c r="F24" s="91">
        <v>340</v>
      </c>
      <c r="K24" s="91"/>
      <c r="L24" s="91"/>
      <c r="M24" s="91"/>
      <c r="N24" s="91"/>
    </row>
    <row r="25" spans="1:14" x14ac:dyDescent="0.2">
      <c r="A25" s="93"/>
      <c r="B25" s="93"/>
      <c r="C25" s="91" t="s">
        <v>5998</v>
      </c>
      <c r="D25" s="1"/>
      <c r="E25" s="1"/>
      <c r="F25" s="91">
        <v>1850</v>
      </c>
      <c r="K25" s="91"/>
      <c r="L25" s="91"/>
      <c r="M25" s="91"/>
      <c r="N25" s="91"/>
    </row>
    <row r="26" spans="1:14" x14ac:dyDescent="0.2">
      <c r="A26" s="93"/>
      <c r="B26" s="93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8560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 Thousand Five Hundred Sixty and NO/100 -----------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1-000000000000}">
  <sheetPr codeName="Sheet642">
    <pageSetUpPr fitToPage="1"/>
  </sheetPr>
  <dimension ref="A1:F55"/>
  <sheetViews>
    <sheetView topLeftCell="A4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6237</v>
      </c>
    </row>
    <row r="10" spans="1:6" s="91" customFormat="1" x14ac:dyDescent="0.2">
      <c r="A10" s="91" t="s">
        <v>6239</v>
      </c>
      <c r="D10" s="92" t="s">
        <v>1706</v>
      </c>
      <c r="E10" s="92" t="s">
        <v>6234</v>
      </c>
    </row>
    <row r="11" spans="1:6" s="91" customFormat="1" x14ac:dyDescent="0.2">
      <c r="A11" s="91" t="s">
        <v>6240</v>
      </c>
      <c r="D11" s="92" t="s">
        <v>1707</v>
      </c>
      <c r="E11" s="92" t="s">
        <v>1220</v>
      </c>
    </row>
    <row r="12" spans="1:6" s="91" customFormat="1" x14ac:dyDescent="0.2">
      <c r="A12" s="91" t="s">
        <v>6241</v>
      </c>
      <c r="D12" s="92" t="s">
        <v>1355</v>
      </c>
      <c r="E12" s="92" t="s">
        <v>6238</v>
      </c>
    </row>
    <row r="13" spans="1:6" s="91" customFormat="1" x14ac:dyDescent="0.2">
      <c r="A13" s="91" t="s">
        <v>1015</v>
      </c>
    </row>
    <row r="14" spans="1:6" s="91" customFormat="1" x14ac:dyDescent="0.2">
      <c r="A14" s="91" t="s">
        <v>6242</v>
      </c>
    </row>
    <row r="15" spans="1:6" s="91" customFormat="1" x14ac:dyDescent="0.2">
      <c r="A15" s="91" t="s">
        <v>6243</v>
      </c>
    </row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4449</v>
      </c>
    </row>
    <row r="19" spans="1:6" s="91" customFormat="1" x14ac:dyDescent="0.2"/>
    <row r="20" spans="1:6" s="91" customFormat="1" x14ac:dyDescent="0.2">
      <c r="A20" s="93" t="s">
        <v>6244</v>
      </c>
      <c r="B20" s="93" t="s">
        <v>2032</v>
      </c>
      <c r="C20" s="91" t="s">
        <v>6245</v>
      </c>
      <c r="F20" s="91">
        <v>3500</v>
      </c>
    </row>
    <row r="21" spans="1:6" s="91" customFormat="1" x14ac:dyDescent="0.2">
      <c r="C21" s="91" t="s">
        <v>6246</v>
      </c>
    </row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3500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Five Hundred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1-000000000000}">
  <sheetPr codeName="Sheet622"/>
  <dimension ref="A1:H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6102</v>
      </c>
      <c r="F9" s="92" t="s">
        <v>1317</v>
      </c>
      <c r="G9" s="91" t="s">
        <v>6100</v>
      </c>
    </row>
    <row r="10" spans="1:8" x14ac:dyDescent="0.2">
      <c r="A10" s="91" t="s">
        <v>6103</v>
      </c>
      <c r="F10" s="92" t="s">
        <v>1329</v>
      </c>
      <c r="G10" s="92" t="s">
        <v>6098</v>
      </c>
    </row>
    <row r="11" spans="1:8" x14ac:dyDescent="0.2">
      <c r="A11" s="91" t="s">
        <v>2943</v>
      </c>
      <c r="F11" s="92" t="s">
        <v>1330</v>
      </c>
      <c r="G11" s="92" t="s">
        <v>1220</v>
      </c>
    </row>
    <row r="12" spans="1:8" x14ac:dyDescent="0.2">
      <c r="A12" s="91" t="s">
        <v>6104</v>
      </c>
      <c r="F12" s="92" t="s">
        <v>1224</v>
      </c>
      <c r="G12" s="94" t="s">
        <v>6101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6105</v>
      </c>
      <c r="E18" s="2"/>
    </row>
    <row r="19" spans="1:8" x14ac:dyDescent="0.2">
      <c r="D19" s="2"/>
      <c r="E19" s="2"/>
    </row>
    <row r="20" spans="1:8" x14ac:dyDescent="0.2">
      <c r="A20" s="134" t="s">
        <v>6099</v>
      </c>
      <c r="B20" s="93" t="s">
        <v>6106</v>
      </c>
      <c r="C20" s="93"/>
      <c r="D20" s="91" t="s">
        <v>6107</v>
      </c>
      <c r="H20" s="91">
        <v>800</v>
      </c>
    </row>
    <row r="21" spans="1:8" x14ac:dyDescent="0.2">
      <c r="A21" s="93"/>
      <c r="B21" s="93"/>
      <c r="C21" s="93"/>
    </row>
    <row r="23" spans="1:8" x14ac:dyDescent="0.2">
      <c r="A23" s="93"/>
      <c r="B23" s="93"/>
      <c r="C23" s="93"/>
    </row>
    <row r="24" spans="1:8" x14ac:dyDescent="0.2">
      <c r="A24" s="93"/>
      <c r="B24" s="99"/>
      <c r="C24" s="99"/>
    </row>
    <row r="25" spans="1:8" x14ac:dyDescent="0.2">
      <c r="A25" s="94"/>
    </row>
    <row r="26" spans="1:8" x14ac:dyDescent="0.2">
      <c r="D26" s="2"/>
    </row>
    <row r="27" spans="1:8" x14ac:dyDescent="0.2">
      <c r="A27" s="94"/>
    </row>
    <row r="28" spans="1:8" x14ac:dyDescent="0.2">
      <c r="A28" s="93"/>
      <c r="B28" s="99"/>
    </row>
    <row r="29" spans="1:8" x14ac:dyDescent="0.2">
      <c r="A29" s="94"/>
    </row>
    <row r="30" spans="1:8" x14ac:dyDescent="0.2">
      <c r="A30" s="93"/>
      <c r="B30" s="99"/>
    </row>
    <row r="31" spans="1:8" x14ac:dyDescent="0.2">
      <c r="D31" s="2"/>
      <c r="E31" s="2"/>
    </row>
    <row r="32" spans="1:8" x14ac:dyDescent="0.2">
      <c r="E32" s="2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93"/>
      <c r="B34" s="99"/>
      <c r="C34" s="1"/>
      <c r="E34" s="1"/>
      <c r="F34" s="1"/>
      <c r="G34" s="1"/>
    </row>
    <row r="35" spans="1:8" x14ac:dyDescent="0.2">
      <c r="A35" s="112"/>
    </row>
    <row r="36" spans="1:8" ht="13.5" thickBot="1" x14ac:dyDescent="0.25">
      <c r="A36" s="112"/>
      <c r="H36" s="95">
        <f>SUM(H20:H35)</f>
        <v>800</v>
      </c>
    </row>
    <row r="37" spans="1:8" ht="13.5" thickTop="1" x14ac:dyDescent="0.2">
      <c r="A37" s="112"/>
      <c r="H37" s="238"/>
    </row>
    <row r="38" spans="1:8" ht="20.100000000000001" customHeight="1" x14ac:dyDescent="0.2">
      <c r="A38" s="96" t="s">
        <v>1347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Eight Hundred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2" spans="1:8" x14ac:dyDescent="0.2">
      <c r="F42" s="227"/>
      <c r="G42" s="227"/>
      <c r="H42" s="227"/>
    </row>
    <row r="43" spans="1:8" x14ac:dyDescent="0.2">
      <c r="A43" s="98" t="s">
        <v>121</v>
      </c>
      <c r="D43" s="99"/>
      <c r="E43" s="99"/>
      <c r="F43" s="228"/>
      <c r="G43" s="229"/>
      <c r="H43" s="229"/>
    </row>
    <row r="44" spans="1:8" x14ac:dyDescent="0.2">
      <c r="A44" s="23"/>
      <c r="B44" s="101"/>
    </row>
    <row r="45" spans="1:8" x14ac:dyDescent="0.2">
      <c r="A45" s="98"/>
    </row>
    <row r="46" spans="1:8" x14ac:dyDescent="0.2">
      <c r="A46" s="98" t="s">
        <v>8</v>
      </c>
      <c r="D46" s="98"/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D50" s="98"/>
      <c r="F50" s="101"/>
      <c r="G50" s="101"/>
      <c r="H50" s="101"/>
    </row>
    <row r="51" spans="1:8" s="3" customFormat="1" ht="17.100000000000001" customHeight="1" x14ac:dyDescent="0.2">
      <c r="A51" s="103" t="s">
        <v>4047</v>
      </c>
      <c r="B51" s="104"/>
      <c r="C51" s="104"/>
      <c r="D51" s="103"/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7B66-B7E8-4465-BC2E-63044E76C03E}">
  <sheetPr codeName="Sheet759"/>
  <dimension ref="A1:N54"/>
  <sheetViews>
    <sheetView view="pageBreakPreview" zoomScale="115" zoomScaleNormal="100" zoomScaleSheetLayoutView="115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J4" s="1" t="s">
        <v>7987</v>
      </c>
      <c r="K4" s="1">
        <v>43770</v>
      </c>
      <c r="M4" s="1" t="s">
        <v>7984</v>
      </c>
    </row>
    <row r="8" spans="1:14" x14ac:dyDescent="0.2">
      <c r="A8" s="91" t="s">
        <v>32</v>
      </c>
      <c r="F8" s="22" t="s">
        <v>31</v>
      </c>
      <c r="J8" s="1" t="s">
        <v>7879</v>
      </c>
      <c r="K8" s="1">
        <v>43739</v>
      </c>
      <c r="M8" s="1" t="s">
        <v>7896</v>
      </c>
    </row>
    <row r="9" spans="1:14" x14ac:dyDescent="0.2">
      <c r="F9" s="92" t="s">
        <v>1317</v>
      </c>
      <c r="G9" s="91" t="s">
        <v>8085</v>
      </c>
    </row>
    <row r="10" spans="1:14" x14ac:dyDescent="0.2">
      <c r="A10" s="91" t="s">
        <v>8087</v>
      </c>
      <c r="F10" s="92" t="s">
        <v>1329</v>
      </c>
      <c r="G10" s="155" t="s">
        <v>8084</v>
      </c>
      <c r="K10" s="1" t="s">
        <v>7708</v>
      </c>
      <c r="L10" s="1">
        <v>43678</v>
      </c>
      <c r="N10" s="1" t="s">
        <v>7709</v>
      </c>
    </row>
    <row r="11" spans="1:14" x14ac:dyDescent="0.2">
      <c r="A11" s="91" t="s">
        <v>8088</v>
      </c>
      <c r="F11" s="92" t="s">
        <v>1330</v>
      </c>
      <c r="G11" s="155" t="s">
        <v>1220</v>
      </c>
    </row>
    <row r="12" spans="1:14" x14ac:dyDescent="0.2">
      <c r="A12" s="91" t="s">
        <v>8089</v>
      </c>
      <c r="F12" s="92" t="s">
        <v>1331</v>
      </c>
      <c r="G12" s="91" t="s">
        <v>8086</v>
      </c>
      <c r="J12" s="1" t="s">
        <v>7788</v>
      </c>
      <c r="K12" s="1">
        <v>43712</v>
      </c>
      <c r="M12" s="1" t="s">
        <v>7789</v>
      </c>
    </row>
    <row r="13" spans="1:14" x14ac:dyDescent="0.2">
      <c r="A13" s="91" t="s">
        <v>8090</v>
      </c>
      <c r="G13" s="91" t="s">
        <v>7762</v>
      </c>
    </row>
    <row r="14" spans="1:14" x14ac:dyDescent="0.2">
      <c r="A14" s="91" t="s">
        <v>123</v>
      </c>
      <c r="J14" s="1" t="s">
        <v>8045</v>
      </c>
      <c r="K14" s="1">
        <v>43788</v>
      </c>
      <c r="L14" s="1" t="s">
        <v>8046</v>
      </c>
    </row>
    <row r="16" spans="1:14" s="14" customFormat="1" ht="20.100000000000001" customHeight="1" x14ac:dyDescent="0.2">
      <c r="A16" s="473" t="s">
        <v>1226</v>
      </c>
      <c r="B16" s="473" t="s">
        <v>128</v>
      </c>
      <c r="C16" s="473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106"/>
    </row>
    <row r="18" spans="1:12" x14ac:dyDescent="0.2">
      <c r="D18" s="2" t="s">
        <v>8091</v>
      </c>
      <c r="E18" s="2"/>
      <c r="J18" s="1" t="s">
        <v>8082</v>
      </c>
      <c r="K18" s="1">
        <v>43795</v>
      </c>
      <c r="L18" s="1" t="s">
        <v>8083</v>
      </c>
    </row>
    <row r="19" spans="1:12" x14ac:dyDescent="0.2">
      <c r="A19" s="106"/>
      <c r="E19" s="2"/>
    </row>
    <row r="20" spans="1:12" x14ac:dyDescent="0.2">
      <c r="A20" s="93" t="s">
        <v>8092</v>
      </c>
      <c r="B20" s="195" t="s">
        <v>8093</v>
      </c>
      <c r="C20" s="474"/>
      <c r="D20" s="91" t="s">
        <v>8095</v>
      </c>
      <c r="H20" s="91">
        <f>180*8</f>
        <v>1440</v>
      </c>
    </row>
    <row r="21" spans="1:12" x14ac:dyDescent="0.2">
      <c r="B21" s="195" t="s">
        <v>8094</v>
      </c>
      <c r="C21" s="94"/>
      <c r="D21" s="91" t="s">
        <v>8096</v>
      </c>
    </row>
    <row r="22" spans="1:12" x14ac:dyDescent="0.2">
      <c r="B22" s="272"/>
      <c r="C22" s="474"/>
    </row>
    <row r="25" spans="1:12" x14ac:dyDescent="0.2">
      <c r="D25" s="2"/>
    </row>
    <row r="26" spans="1:12" x14ac:dyDescent="0.2">
      <c r="A26" s="92"/>
    </row>
    <row r="31" spans="1:12" x14ac:dyDescent="0.2">
      <c r="A31" s="93"/>
      <c r="B31" s="474"/>
      <c r="C31" s="474"/>
    </row>
    <row r="32" spans="1:12" x14ac:dyDescent="0.2">
      <c r="A32" s="474"/>
    </row>
    <row r="33" spans="1:8" x14ac:dyDescent="0.2">
      <c r="A33" s="137"/>
      <c r="B33" s="94"/>
      <c r="C33" s="94"/>
    </row>
    <row r="34" spans="1:8" x14ac:dyDescent="0.2">
      <c r="A34" s="7"/>
      <c r="B34" s="1"/>
      <c r="C34" s="1"/>
      <c r="D34" s="1"/>
      <c r="E34" s="1"/>
      <c r="F34" s="1"/>
      <c r="G34" s="1"/>
      <c r="H34" s="1"/>
    </row>
    <row r="35" spans="1:8" ht="13.5" thickBot="1" x14ac:dyDescent="0.25">
      <c r="A35" s="106"/>
      <c r="H35" s="107">
        <f>SUM(H19:H34)</f>
        <v>1440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Four Hundred Forty and NO/100 -----------</v>
      </c>
      <c r="C37" s="185"/>
      <c r="D37" s="97"/>
      <c r="E37" s="97"/>
      <c r="F37" s="206"/>
      <c r="G37" s="206"/>
      <c r="H37" s="206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F40" s="227"/>
      <c r="G40" s="227"/>
      <c r="H40" s="227"/>
    </row>
    <row r="41" spans="1:8" x14ac:dyDescent="0.2">
      <c r="F41" s="228"/>
      <c r="G41" s="229"/>
      <c r="H41" s="229"/>
    </row>
    <row r="42" spans="1:8" x14ac:dyDescent="0.2">
      <c r="A42" s="1"/>
    </row>
    <row r="43" spans="1:8" x14ac:dyDescent="0.2">
      <c r="A43" s="101"/>
      <c r="B43" s="101"/>
      <c r="C43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C49" s="386"/>
      <c r="D49" s="101"/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5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1-000000000000}">
  <sheetPr codeName="Sheet290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42578125" style="91" customWidth="1"/>
    <col min="3" max="3" width="21" style="91" customWidth="1"/>
    <col min="4" max="4" width="16.42578125" style="91" customWidth="1"/>
    <col min="5" max="5" width="10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3406</v>
      </c>
    </row>
    <row r="10" spans="1:6" x14ac:dyDescent="0.2">
      <c r="A10" s="91" t="s">
        <v>2968</v>
      </c>
      <c r="D10" s="92" t="s">
        <v>1357</v>
      </c>
      <c r="E10" s="92" t="s">
        <v>3405</v>
      </c>
    </row>
    <row r="11" spans="1:6" x14ac:dyDescent="0.2">
      <c r="A11" s="91" t="s">
        <v>2969</v>
      </c>
      <c r="D11" s="92" t="s">
        <v>1376</v>
      </c>
      <c r="E11" s="92" t="s">
        <v>1220</v>
      </c>
    </row>
    <row r="12" spans="1:6" x14ac:dyDescent="0.2">
      <c r="D12" s="92" t="s">
        <v>1224</v>
      </c>
      <c r="E12" s="92" t="s">
        <v>3407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/>
    </row>
    <row r="19" spans="1:6" x14ac:dyDescent="0.2">
      <c r="A19" s="93"/>
      <c r="B19" s="93"/>
      <c r="C19" s="91" t="s">
        <v>3408</v>
      </c>
      <c r="F19" s="91">
        <v>988</v>
      </c>
    </row>
    <row r="20" spans="1:6" x14ac:dyDescent="0.2">
      <c r="A20" s="93"/>
      <c r="B20" s="93"/>
      <c r="C20" s="91" t="s">
        <v>3409</v>
      </c>
    </row>
    <row r="21" spans="1:6" x14ac:dyDescent="0.2">
      <c r="C21" s="91" t="s">
        <v>3410</v>
      </c>
    </row>
    <row r="24" spans="1:6" x14ac:dyDescent="0.2">
      <c r="C24" s="94"/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988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2970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5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1-000000000000}">
  <sheetPr codeName="Sheet559">
    <pageSetUpPr fitToPage="1"/>
  </sheetPr>
  <dimension ref="A1:I55"/>
  <sheetViews>
    <sheetView workbookViewId="0">
      <selection activeCell="F34" sqref="F34"/>
    </sheetView>
  </sheetViews>
  <sheetFormatPr defaultRowHeight="12.75" x14ac:dyDescent="0.2"/>
  <cols>
    <col min="1" max="1" width="16.28515625" style="91" customWidth="1"/>
    <col min="2" max="2" width="12.28515625" style="91" customWidth="1"/>
    <col min="3" max="3" width="1.28515625" style="91" customWidth="1"/>
    <col min="4" max="4" width="23.85546875" style="91" customWidth="1"/>
    <col min="5" max="5" width="1.5703125" style="91" customWidth="1"/>
    <col min="6" max="6" width="13.140625" style="91" customWidth="1"/>
    <col min="7" max="7" width="10.5703125" style="91" customWidth="1"/>
    <col min="8" max="8" width="13.140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5445</v>
      </c>
      <c r="F9" s="92" t="s">
        <v>1434</v>
      </c>
      <c r="G9" s="91" t="s">
        <v>5443</v>
      </c>
    </row>
    <row r="10" spans="1:8" x14ac:dyDescent="0.2">
      <c r="A10" s="91" t="s">
        <v>5446</v>
      </c>
      <c r="F10" s="92" t="s">
        <v>1433</v>
      </c>
      <c r="G10" s="91" t="s">
        <v>5442</v>
      </c>
    </row>
    <row r="11" spans="1:8" x14ac:dyDescent="0.2">
      <c r="A11" s="91" t="s">
        <v>5447</v>
      </c>
      <c r="F11" s="92" t="s">
        <v>1431</v>
      </c>
      <c r="G11" s="91" t="s">
        <v>1220</v>
      </c>
    </row>
    <row r="12" spans="1:8" x14ac:dyDescent="0.2">
      <c r="A12" s="91" t="s">
        <v>5448</v>
      </c>
      <c r="F12" s="92" t="s">
        <v>1268</v>
      </c>
      <c r="G12" s="94" t="s">
        <v>5444</v>
      </c>
    </row>
    <row r="13" spans="1:8" x14ac:dyDescent="0.2">
      <c r="A13" s="91" t="s">
        <v>1314</v>
      </c>
      <c r="G13" s="153"/>
    </row>
    <row r="16" spans="1:8" s="14" customFormat="1" ht="20.100000000000001" customHeight="1" x14ac:dyDescent="0.2">
      <c r="A16" s="17" t="s">
        <v>1429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9" x14ac:dyDescent="0.2">
      <c r="D18" s="2" t="s">
        <v>5449</v>
      </c>
    </row>
    <row r="19" spans="1:9" x14ac:dyDescent="0.2">
      <c r="A19" s="93"/>
      <c r="B19" s="195"/>
      <c r="D19" s="2"/>
    </row>
    <row r="20" spans="1:9" x14ac:dyDescent="0.2">
      <c r="A20" s="93" t="s">
        <v>5432</v>
      </c>
      <c r="B20" s="195" t="s">
        <v>2032</v>
      </c>
      <c r="C20" s="2"/>
      <c r="D20" s="91" t="s">
        <v>5450</v>
      </c>
      <c r="H20" s="91">
        <f>40*9</f>
        <v>360</v>
      </c>
    </row>
    <row r="21" spans="1:9" x14ac:dyDescent="0.2">
      <c r="B21" s="240"/>
    </row>
    <row r="22" spans="1:9" x14ac:dyDescent="0.2">
      <c r="A22" s="94"/>
      <c r="B22" s="195"/>
      <c r="I22" s="110"/>
    </row>
    <row r="23" spans="1:9" x14ac:dyDescent="0.2">
      <c r="I23" s="110"/>
    </row>
    <row r="24" spans="1:9" x14ac:dyDescent="0.2">
      <c r="I24" s="110"/>
    </row>
    <row r="25" spans="1:9" x14ac:dyDescent="0.2">
      <c r="I25" s="110"/>
    </row>
    <row r="26" spans="1:9" x14ac:dyDescent="0.2">
      <c r="I26" s="110"/>
    </row>
    <row r="28" spans="1:9" x14ac:dyDescent="0.2">
      <c r="B28" s="99"/>
      <c r="I28" s="110"/>
    </row>
    <row r="29" spans="1:9" x14ac:dyDescent="0.2">
      <c r="E29" s="94"/>
    </row>
    <row r="30" spans="1:9" x14ac:dyDescent="0.2">
      <c r="E30" s="94"/>
    </row>
    <row r="31" spans="1:9" x14ac:dyDescent="0.2">
      <c r="D31" s="2"/>
      <c r="E31" s="2"/>
    </row>
    <row r="36" spans="1:8" ht="13.5" thickBot="1" x14ac:dyDescent="0.25">
      <c r="H36" s="95">
        <f>SUM(H19:H35)</f>
        <v>360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Sixty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 t="s">
        <v>11</v>
      </c>
    </row>
    <row r="40" spans="1:8" ht="25.5" x14ac:dyDescent="0.2">
      <c r="A40" s="61" t="s">
        <v>10</v>
      </c>
      <c r="F40" s="218" t="s">
        <v>3975</v>
      </c>
      <c r="G40" s="219"/>
      <c r="H40" s="220"/>
    </row>
    <row r="43" spans="1:8" x14ac:dyDescent="0.2">
      <c r="A43" s="91" t="s">
        <v>121</v>
      </c>
      <c r="D43" s="99"/>
      <c r="E43" s="99"/>
    </row>
    <row r="44" spans="1:8" x14ac:dyDescent="0.2">
      <c r="A44" s="101"/>
      <c r="B44" s="101"/>
    </row>
    <row r="46" spans="1:8" x14ac:dyDescent="0.2">
      <c r="A46" s="98" t="s">
        <v>8</v>
      </c>
      <c r="D46" s="98"/>
      <c r="F46" s="98" t="s">
        <v>7</v>
      </c>
      <c r="H46" s="102"/>
    </row>
    <row r="50" spans="1:8" x14ac:dyDescent="0.2">
      <c r="A50" s="101" t="s">
        <v>120</v>
      </c>
      <c r="B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/>
      <c r="F51" s="61" t="s">
        <v>3</v>
      </c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5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1-000000000000}">
  <sheetPr codeName="Sheet534"/>
  <dimension ref="A1:P53"/>
  <sheetViews>
    <sheetView zoomScaleNormal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5703125" style="91" customWidth="1"/>
    <col min="4" max="4" width="21" style="91" customWidth="1"/>
    <col min="5" max="5" width="1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1317</v>
      </c>
      <c r="G9" s="91" t="s">
        <v>7751</v>
      </c>
    </row>
    <row r="10" spans="1:16" x14ac:dyDescent="0.2">
      <c r="A10" s="91" t="s">
        <v>5225</v>
      </c>
      <c r="F10" s="92" t="s">
        <v>1329</v>
      </c>
      <c r="G10" s="92" t="s">
        <v>7750</v>
      </c>
    </row>
    <row r="11" spans="1:16" x14ac:dyDescent="0.2">
      <c r="A11" s="91" t="s">
        <v>5226</v>
      </c>
      <c r="F11" s="92" t="s">
        <v>1330</v>
      </c>
      <c r="G11" s="92" t="s">
        <v>1220</v>
      </c>
    </row>
    <row r="12" spans="1:16" x14ac:dyDescent="0.2">
      <c r="A12" s="91" t="s">
        <v>1973</v>
      </c>
      <c r="F12" s="92" t="s">
        <v>1331</v>
      </c>
      <c r="G12" s="94" t="s">
        <v>7752</v>
      </c>
    </row>
    <row r="13" spans="1:16" x14ac:dyDescent="0.2">
      <c r="A13" s="91" t="s">
        <v>5227</v>
      </c>
      <c r="G13" s="91" t="s">
        <v>7762</v>
      </c>
    </row>
    <row r="14" spans="1:16" x14ac:dyDescent="0.2">
      <c r="A14" s="91" t="s">
        <v>5228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443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7611</v>
      </c>
      <c r="E18" s="2"/>
      <c r="M18" s="91"/>
      <c r="N18" s="91"/>
      <c r="O18" s="91"/>
      <c r="P18" s="91"/>
    </row>
    <row r="19" spans="1:16" x14ac:dyDescent="0.2">
      <c r="A19" s="93"/>
      <c r="B19" s="93"/>
      <c r="C19" s="93"/>
      <c r="M19" s="91"/>
      <c r="N19" s="91"/>
      <c r="O19" s="91"/>
      <c r="P19" s="91"/>
    </row>
    <row r="20" spans="1:16" x14ac:dyDescent="0.2">
      <c r="A20" s="93" t="s">
        <v>7753</v>
      </c>
      <c r="B20" s="93" t="s">
        <v>7754</v>
      </c>
      <c r="C20" s="93"/>
      <c r="D20" s="91" t="s">
        <v>7756</v>
      </c>
      <c r="H20" s="91">
        <v>2000</v>
      </c>
      <c r="M20" s="91"/>
      <c r="N20" s="91"/>
      <c r="O20" s="91"/>
      <c r="P20" s="91"/>
    </row>
    <row r="21" spans="1:16" x14ac:dyDescent="0.2">
      <c r="D21" s="91" t="s">
        <v>7755</v>
      </c>
      <c r="H21" s="91">
        <v>960</v>
      </c>
      <c r="M21" s="91"/>
      <c r="N21" s="91"/>
      <c r="O21" s="91"/>
      <c r="P21" s="91"/>
    </row>
    <row r="22" spans="1:16" x14ac:dyDescent="0.2">
      <c r="A22" s="93"/>
      <c r="B22" s="93"/>
      <c r="C22" s="93"/>
      <c r="D22" s="91" t="s">
        <v>7757</v>
      </c>
      <c r="E22" s="1"/>
      <c r="F22" s="1"/>
      <c r="G22" s="1"/>
      <c r="H22" s="91">
        <v>875</v>
      </c>
      <c r="M22" s="91"/>
      <c r="N22" s="91"/>
      <c r="O22" s="91"/>
      <c r="P22" s="91"/>
    </row>
    <row r="23" spans="1:16" x14ac:dyDescent="0.2">
      <c r="A23" s="142"/>
      <c r="B23" s="142"/>
      <c r="C23" s="142"/>
      <c r="D23" s="91" t="s">
        <v>7758</v>
      </c>
      <c r="H23" s="91">
        <v>1137.5</v>
      </c>
      <c r="M23" s="91"/>
      <c r="N23" s="91"/>
      <c r="O23" s="91"/>
      <c r="P23" s="91"/>
    </row>
    <row r="24" spans="1:16" x14ac:dyDescent="0.2">
      <c r="A24" s="93"/>
      <c r="B24" s="93"/>
      <c r="C24" s="93"/>
      <c r="D24" s="91" t="s">
        <v>7759</v>
      </c>
      <c r="H24" s="91">
        <v>800</v>
      </c>
      <c r="M24" s="91"/>
      <c r="N24" s="91"/>
      <c r="O24" s="91"/>
      <c r="P24" s="91"/>
    </row>
    <row r="25" spans="1:16" x14ac:dyDescent="0.2">
      <c r="M25" s="91"/>
      <c r="N25" s="91"/>
      <c r="O25" s="91"/>
      <c r="P25" s="91"/>
    </row>
    <row r="26" spans="1:16" x14ac:dyDescent="0.2">
      <c r="A26" s="93"/>
      <c r="B26" s="93"/>
      <c r="C26" s="93"/>
      <c r="D26" s="91" t="s">
        <v>7760</v>
      </c>
      <c r="H26" s="91">
        <v>380</v>
      </c>
    </row>
    <row r="27" spans="1:16" x14ac:dyDescent="0.2">
      <c r="A27" s="93"/>
      <c r="B27" s="93"/>
      <c r="C27" s="93"/>
    </row>
    <row r="28" spans="1:16" x14ac:dyDescent="0.2">
      <c r="A28" s="93"/>
      <c r="B28" s="93"/>
      <c r="C28" s="93"/>
      <c r="D28" s="91" t="s">
        <v>7761</v>
      </c>
      <c r="H28" s="91">
        <f>180*3</f>
        <v>540</v>
      </c>
    </row>
    <row r="29" spans="1:16" x14ac:dyDescent="0.2">
      <c r="A29" s="93"/>
      <c r="B29" s="93"/>
      <c r="C29" s="93"/>
    </row>
    <row r="30" spans="1:16" x14ac:dyDescent="0.2">
      <c r="D30" s="91" t="s">
        <v>6886</v>
      </c>
      <c r="H30" s="91">
        <v>401.55</v>
      </c>
    </row>
    <row r="33" spans="1:8" x14ac:dyDescent="0.2">
      <c r="A33" s="106"/>
      <c r="H33" s="1"/>
    </row>
    <row r="34" spans="1:8" ht="13.5" thickBot="1" x14ac:dyDescent="0.25">
      <c r="A34" s="106"/>
      <c r="H34" s="107">
        <f>SUM(H18:H33)</f>
        <v>7094.05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Seven Thousand Ninety-Four and 5/100 -----------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  <c r="C42" s="386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61" t="s">
        <v>4066</v>
      </c>
      <c r="B49" s="104"/>
      <c r="C49" s="104"/>
      <c r="D49" s="6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5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1-000000000000}">
  <sheetPr codeName="Sheet535"/>
  <dimension ref="A1:Q62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21" style="153" customWidth="1"/>
    <col min="4" max="4" width="13.28515625" style="153" customWidth="1"/>
    <col min="5" max="5" width="9" style="153" customWidth="1"/>
    <col min="6" max="6" width="13.28515625" style="153" customWidth="1"/>
    <col min="7" max="7" width="9.140625" style="152"/>
    <col min="8" max="8" width="14" style="152" bestFit="1" customWidth="1"/>
    <col min="9" max="9" width="11" style="152" bestFit="1" customWidth="1"/>
    <col min="10" max="16384" width="9.140625" style="152"/>
  </cols>
  <sheetData>
    <row r="1" spans="1:17" ht="15" x14ac:dyDescent="0.25">
      <c r="A1" s="523" t="s">
        <v>34</v>
      </c>
      <c r="B1" s="523"/>
      <c r="C1" s="523"/>
      <c r="D1" s="523"/>
      <c r="E1" s="523"/>
      <c r="F1" s="523"/>
    </row>
    <row r="2" spans="1:17" x14ac:dyDescent="0.2">
      <c r="A2" s="524" t="s">
        <v>33</v>
      </c>
      <c r="B2" s="524"/>
      <c r="C2" s="524"/>
      <c r="D2" s="524"/>
      <c r="E2" s="524"/>
      <c r="F2" s="524"/>
    </row>
    <row r="3" spans="1:17" x14ac:dyDescent="0.2">
      <c r="A3" s="524" t="s">
        <v>1829</v>
      </c>
      <c r="B3" s="524"/>
      <c r="C3" s="524"/>
      <c r="D3" s="524"/>
      <c r="E3" s="524"/>
      <c r="F3" s="524"/>
    </row>
    <row r="4" spans="1:17" x14ac:dyDescent="0.2">
      <c r="A4" s="524" t="s">
        <v>1828</v>
      </c>
      <c r="B4" s="524"/>
      <c r="C4" s="524"/>
      <c r="D4" s="524"/>
      <c r="E4" s="524"/>
      <c r="F4" s="524"/>
    </row>
    <row r="8" spans="1:17" x14ac:dyDescent="0.2">
      <c r="A8" s="153" t="s">
        <v>32</v>
      </c>
      <c r="D8" s="154" t="s">
        <v>31</v>
      </c>
    </row>
    <row r="9" spans="1:17" x14ac:dyDescent="0.2">
      <c r="D9" s="155" t="s">
        <v>1317</v>
      </c>
      <c r="E9" s="91" t="s">
        <v>5115</v>
      </c>
    </row>
    <row r="10" spans="1:17" x14ac:dyDescent="0.2">
      <c r="A10" s="153" t="s">
        <v>5116</v>
      </c>
      <c r="D10" s="155" t="s">
        <v>1329</v>
      </c>
      <c r="E10" s="105" t="s">
        <v>5112</v>
      </c>
    </row>
    <row r="11" spans="1:17" x14ac:dyDescent="0.2">
      <c r="A11" s="153" t="s">
        <v>5117</v>
      </c>
      <c r="D11" s="155" t="s">
        <v>1330</v>
      </c>
      <c r="E11" s="92" t="s">
        <v>1220</v>
      </c>
    </row>
    <row r="12" spans="1:17" x14ac:dyDescent="0.2">
      <c r="A12" s="153" t="s">
        <v>5118</v>
      </c>
      <c r="D12" s="155" t="s">
        <v>1331</v>
      </c>
      <c r="E12" s="91" t="s">
        <v>770</v>
      </c>
      <c r="N12" s="152" t="s">
        <v>4776</v>
      </c>
    </row>
    <row r="13" spans="1:17" x14ac:dyDescent="0.2">
      <c r="A13" s="153" t="s">
        <v>5119</v>
      </c>
    </row>
    <row r="14" spans="1:17" x14ac:dyDescent="0.2">
      <c r="A14" s="153" t="s">
        <v>5120</v>
      </c>
      <c r="L14" s="152" t="s">
        <v>4562</v>
      </c>
      <c r="M14" s="152" t="s">
        <v>4777</v>
      </c>
      <c r="N14" s="152" t="s">
        <v>4778</v>
      </c>
      <c r="Q14" s="152">
        <v>166002.99008399999</v>
      </c>
    </row>
    <row r="15" spans="1:17" x14ac:dyDescent="0.2">
      <c r="N15" s="152" t="s">
        <v>4779</v>
      </c>
    </row>
    <row r="16" spans="1:17" s="162" customFormat="1" ht="20.100000000000001" customHeight="1" x14ac:dyDescent="0.2">
      <c r="A16" s="158" t="s">
        <v>1226</v>
      </c>
      <c r="B16" s="158" t="s">
        <v>128</v>
      </c>
      <c r="C16" s="159" t="s">
        <v>19</v>
      </c>
      <c r="D16" s="157"/>
      <c r="E16" s="160"/>
      <c r="F16" s="161" t="s">
        <v>18</v>
      </c>
      <c r="N16" s="162" t="s">
        <v>4780</v>
      </c>
    </row>
    <row r="17" spans="1:17" x14ac:dyDescent="0.2">
      <c r="A17" s="164"/>
    </row>
    <row r="18" spans="1:17" x14ac:dyDescent="0.2">
      <c r="C18" s="163" t="s">
        <v>4580</v>
      </c>
      <c r="N18" s="152" t="s">
        <v>4781</v>
      </c>
    </row>
    <row r="20" spans="1:17" x14ac:dyDescent="0.2">
      <c r="A20" s="168" t="s">
        <v>5047</v>
      </c>
      <c r="B20" s="173"/>
      <c r="C20" s="153" t="s">
        <v>5121</v>
      </c>
      <c r="F20" s="153">
        <f>1580*57.06/100</f>
        <v>901.548</v>
      </c>
    </row>
    <row r="21" spans="1:17" x14ac:dyDescent="0.2">
      <c r="C21" s="153" t="s">
        <v>5122</v>
      </c>
      <c r="I21" s="275"/>
    </row>
    <row r="23" spans="1:17" x14ac:dyDescent="0.2">
      <c r="A23" s="168"/>
      <c r="B23" s="168"/>
      <c r="C23" s="153" t="s">
        <v>52</v>
      </c>
      <c r="F23" s="153">
        <v>30</v>
      </c>
      <c r="N23" s="152" t="s">
        <v>52</v>
      </c>
      <c r="Q23" s="152">
        <v>10</v>
      </c>
    </row>
    <row r="24" spans="1:17" x14ac:dyDescent="0.2">
      <c r="A24" s="168"/>
      <c r="B24" s="169"/>
    </row>
    <row r="25" spans="1:17" x14ac:dyDescent="0.2">
      <c r="A25" s="168"/>
      <c r="B25" s="173"/>
      <c r="C25" s="153" t="s">
        <v>2147</v>
      </c>
      <c r="F25" s="153">
        <f>F23*6%</f>
        <v>1.7999999999999998</v>
      </c>
      <c r="N25" s="152" t="s">
        <v>2147</v>
      </c>
      <c r="Q25" s="152">
        <v>0.6</v>
      </c>
    </row>
    <row r="27" spans="1:17" x14ac:dyDescent="0.2">
      <c r="C27" s="152"/>
      <c r="D27" s="152"/>
      <c r="E27" s="152"/>
      <c r="F27" s="152"/>
    </row>
    <row r="28" spans="1:17" x14ac:dyDescent="0.2">
      <c r="A28" s="166"/>
      <c r="B28" s="173"/>
    </row>
    <row r="31" spans="1:17" x14ac:dyDescent="0.2">
      <c r="A31" s="168"/>
      <c r="B31" s="173"/>
    </row>
    <row r="32" spans="1:17" hidden="1" x14ac:dyDescent="0.2">
      <c r="C32" s="167"/>
    </row>
    <row r="33" spans="1:6" hidden="1" x14ac:dyDescent="0.2">
      <c r="A33" s="168"/>
      <c r="B33" s="173"/>
    </row>
    <row r="34" spans="1:6" hidden="1" x14ac:dyDescent="0.2">
      <c r="A34" s="168"/>
      <c r="B34" s="173"/>
      <c r="C34" s="163"/>
    </row>
    <row r="35" spans="1:6" hidden="1" x14ac:dyDescent="0.2">
      <c r="A35" s="166"/>
      <c r="B35" s="169"/>
      <c r="C35" s="152"/>
      <c r="D35" s="152"/>
      <c r="E35" s="152"/>
      <c r="F35" s="152"/>
    </row>
    <row r="36" spans="1:6" hidden="1" x14ac:dyDescent="0.2">
      <c r="A36" s="152"/>
      <c r="B36" s="152"/>
    </row>
    <row r="37" spans="1:6" hidden="1" x14ac:dyDescent="0.2">
      <c r="A37" s="152"/>
      <c r="B37" s="152"/>
      <c r="C37" s="167"/>
    </row>
    <row r="38" spans="1:6" hidden="1" x14ac:dyDescent="0.2">
      <c r="A38" s="166"/>
      <c r="B38" s="168"/>
      <c r="C38" s="152"/>
    </row>
    <row r="39" spans="1:6" hidden="1" x14ac:dyDescent="0.2">
      <c r="A39" s="166"/>
      <c r="B39" s="168"/>
    </row>
    <row r="40" spans="1:6" hidden="1" x14ac:dyDescent="0.2">
      <c r="A40" s="166"/>
      <c r="B40" s="169"/>
    </row>
    <row r="41" spans="1:6" x14ac:dyDescent="0.2">
      <c r="A41" s="166"/>
      <c r="B41" s="169"/>
    </row>
    <row r="42" spans="1:6" x14ac:dyDescent="0.2">
      <c r="A42" s="215"/>
      <c r="B42" s="152"/>
      <c r="C42" s="152"/>
      <c r="D42" s="152"/>
      <c r="E42" s="152"/>
      <c r="F42" s="152"/>
    </row>
    <row r="43" spans="1:6" ht="13.5" thickBot="1" x14ac:dyDescent="0.25">
      <c r="A43" s="164"/>
      <c r="F43" s="170">
        <f>SUM(F19:F42)</f>
        <v>933.34799999999996</v>
      </c>
    </row>
    <row r="44" spans="1:6" ht="13.5" thickTop="1" x14ac:dyDescent="0.2">
      <c r="A44" s="164"/>
    </row>
    <row r="45" spans="1:6" ht="20.100000000000001" customHeight="1" x14ac:dyDescent="0.2">
      <c r="A45" s="171" t="s">
        <v>1248</v>
      </c>
      <c r="B45" s="213" t="str">
        <f>IF(OR(F43&gt;1000000,F43&lt;=0),"",IF(F43&lt;1000,"",IF(MOD(F43,1000000)&gt;=100000,INDEX(numbers,TRUNC(MOD(F43,1000000)/100000,0)+1)&amp;" Hundred","")&amp;IF(MOD(F43,100000)&gt;=20000," "&amp;INDEX(tens,TRUNC(MOD(F43,100000)/10000,0)+1)&amp;IF(MOD(MOD(F43,100000),10000)&gt;=1000,"-"&amp;INDEX(numbers,TRUNC(MOD(MOD(F43,100000),10000)/1000,0)+1),""),IF(MOD(F43,100000)&gt;=1000," "&amp;INDEX(numbers,TRUNC(MOD(F43,100000)/1000,0)+1),""))&amp;" Thousand") &amp; IF(F43&lt;1,"Zero Dollars",IF(MOD(F43,1000)&gt;=100," "&amp;INDEX(numbers,TRUNC(MOD(F43,1000)/100,0)+1)&amp;" Hundred","")&amp;IF(MOD(F43,100)&gt;=20," "&amp;INDEX(tens,TRUNC(MOD(F43,100)/10,0)+1)&amp;IF(MOD(MOD(F43,100),10)&gt;=1,"-"&amp;INDEX(numbers,TRUNC(MOD(MOD(F43,100),10),0)+1),""),IF(MOD(F43,100)&gt;=1," "&amp;INDEX(numbers,TRUNC(MOD(F43,100),0)+1),""))&amp;"") &amp; " and " &amp; IF(MOD(F43,1)&lt;0.005,"NO",ROUND(MOD(F43,1)*100,0)) &amp; "/100 -----------")</f>
        <v xml:space="preserve"> Nine Hundred Thirty-Three and 35/100 -----------</v>
      </c>
      <c r="C45" s="172"/>
      <c r="D45" s="172"/>
      <c r="E45" s="172"/>
      <c r="F45" s="172"/>
    </row>
    <row r="46" spans="1:6" x14ac:dyDescent="0.2">
      <c r="A46" s="273"/>
    </row>
    <row r="47" spans="1:6" ht="25.5" x14ac:dyDescent="0.2">
      <c r="A47" s="153" t="s">
        <v>10</v>
      </c>
      <c r="D47" s="242" t="s">
        <v>3975</v>
      </c>
      <c r="E47" s="243"/>
      <c r="F47" s="244"/>
    </row>
    <row r="50" spans="1:6" x14ac:dyDescent="0.2">
      <c r="A50" s="153" t="s">
        <v>120</v>
      </c>
      <c r="C50" s="173"/>
    </row>
    <row r="51" spans="1:6" x14ac:dyDescent="0.2">
      <c r="A51" s="174"/>
      <c r="B51" s="174"/>
    </row>
    <row r="53" spans="1:6" x14ac:dyDescent="0.2">
      <c r="A53" s="153" t="s">
        <v>8</v>
      </c>
      <c r="D53" s="175" t="s">
        <v>7</v>
      </c>
      <c r="F53" s="176"/>
    </row>
    <row r="57" spans="1:6" x14ac:dyDescent="0.2">
      <c r="A57" s="274"/>
      <c r="B57" s="174"/>
      <c r="D57" s="174"/>
      <c r="E57" s="174"/>
      <c r="F57" s="174"/>
    </row>
    <row r="58" spans="1:6" s="178" customFormat="1" ht="17.100000000000001" customHeight="1" x14ac:dyDescent="0.2">
      <c r="A58" s="156" t="s">
        <v>4066</v>
      </c>
      <c r="B58" s="177"/>
      <c r="C58" s="156"/>
      <c r="D58" s="156" t="s">
        <v>3</v>
      </c>
      <c r="E58" s="156"/>
      <c r="F58" s="156"/>
    </row>
    <row r="59" spans="1:6" x14ac:dyDescent="0.2">
      <c r="D59" s="153" t="s">
        <v>2</v>
      </c>
    </row>
    <row r="61" spans="1:6" x14ac:dyDescent="0.2">
      <c r="D61" s="163" t="s">
        <v>1</v>
      </c>
    </row>
    <row r="62" spans="1:6" x14ac:dyDescent="0.2">
      <c r="D62" s="163" t="s">
        <v>0</v>
      </c>
    </row>
  </sheetData>
  <customSheetViews>
    <customSheetView guid="{6428A7A0-B31B-40C1-A13E-AD0DCC619E51}" showPageBreaks="1" printArea="1" hiddenRows="1" view="pageBreakPreview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1-000000000000}">
  <sheetPr codeName="Sheet536"/>
  <dimension ref="A1:N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85546875" style="153" customWidth="1"/>
    <col min="2" max="2" width="13.42578125" style="153" customWidth="1"/>
    <col min="3" max="3" width="20.5703125" style="153" customWidth="1"/>
    <col min="4" max="4" width="12.85546875" style="153" customWidth="1"/>
    <col min="5" max="5" width="8.28515625" style="153" customWidth="1"/>
    <col min="6" max="6" width="12.710937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1563</v>
      </c>
      <c r="E9" s="153" t="s">
        <v>5100</v>
      </c>
    </row>
    <row r="10" spans="1:6" x14ac:dyDescent="0.2">
      <c r="A10" s="153" t="s">
        <v>5102</v>
      </c>
      <c r="D10" s="155" t="s">
        <v>1356</v>
      </c>
      <c r="E10" s="175" t="s">
        <v>5090</v>
      </c>
    </row>
    <row r="11" spans="1:6" x14ac:dyDescent="0.2">
      <c r="A11" s="169" t="s">
        <v>5103</v>
      </c>
      <c r="D11" s="155" t="s">
        <v>1364</v>
      </c>
      <c r="E11" s="155" t="s">
        <v>1220</v>
      </c>
    </row>
    <row r="12" spans="1:6" x14ac:dyDescent="0.2">
      <c r="A12" s="153" t="s">
        <v>5104</v>
      </c>
      <c r="D12" s="155" t="s">
        <v>1224</v>
      </c>
      <c r="E12" s="155" t="s">
        <v>5101</v>
      </c>
    </row>
    <row r="13" spans="1:6" x14ac:dyDescent="0.2">
      <c r="A13" s="153" t="s">
        <v>4088</v>
      </c>
    </row>
    <row r="14" spans="1:6" x14ac:dyDescent="0.2">
      <c r="A14" s="153" t="s">
        <v>2926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8" spans="1:14" x14ac:dyDescent="0.2">
      <c r="C18" s="163" t="s">
        <v>5105</v>
      </c>
      <c r="G18" s="276"/>
    </row>
    <row r="19" spans="1:14" x14ac:dyDescent="0.2">
      <c r="C19" s="163"/>
      <c r="G19" s="276"/>
      <c r="K19" s="153" t="s">
        <v>5099</v>
      </c>
      <c r="N19" s="153">
        <v>4250</v>
      </c>
    </row>
    <row r="20" spans="1:14" x14ac:dyDescent="0.2">
      <c r="A20" s="168" t="s">
        <v>5057</v>
      </c>
      <c r="B20" s="277" t="s">
        <v>5106</v>
      </c>
      <c r="C20" s="153" t="s">
        <v>5107</v>
      </c>
      <c r="F20" s="153">
        <v>20000</v>
      </c>
      <c r="G20" s="276"/>
    </row>
    <row r="21" spans="1:14" x14ac:dyDescent="0.2">
      <c r="C21" s="153" t="s">
        <v>2147</v>
      </c>
      <c r="F21" s="153">
        <f>F20*6%</f>
        <v>1200</v>
      </c>
      <c r="G21" s="276"/>
    </row>
    <row r="22" spans="1:14" x14ac:dyDescent="0.2">
      <c r="A22" s="168"/>
      <c r="B22" s="173"/>
    </row>
    <row r="23" spans="1:14" x14ac:dyDescent="0.2">
      <c r="A23" s="168"/>
      <c r="B23" s="168"/>
      <c r="C23" s="169"/>
    </row>
    <row r="24" spans="1:14" x14ac:dyDescent="0.2">
      <c r="A24" s="168"/>
      <c r="B24" s="173"/>
      <c r="C24" s="169"/>
    </row>
    <row r="25" spans="1:14" x14ac:dyDescent="0.2">
      <c r="A25" s="168"/>
      <c r="B25" s="168"/>
    </row>
    <row r="26" spans="1:14" x14ac:dyDescent="0.2">
      <c r="A26" s="168"/>
      <c r="B26" s="168"/>
      <c r="C26" s="214"/>
    </row>
    <row r="27" spans="1:14" x14ac:dyDescent="0.2">
      <c r="A27" s="168"/>
      <c r="B27" s="168"/>
    </row>
    <row r="28" spans="1:14" x14ac:dyDescent="0.2">
      <c r="A28" s="168"/>
      <c r="B28" s="173"/>
    </row>
    <row r="29" spans="1:14" x14ac:dyDescent="0.2">
      <c r="B29" s="169"/>
    </row>
    <row r="30" spans="1:14" x14ac:dyDescent="0.2">
      <c r="A30" s="155"/>
    </row>
    <row r="31" spans="1:14" x14ac:dyDescent="0.2">
      <c r="A31" s="155"/>
      <c r="B31" s="168"/>
    </row>
    <row r="36" spans="1:6" ht="13.5" thickBot="1" x14ac:dyDescent="0.25">
      <c r="F36" s="170">
        <f>SUM(F19:F35)</f>
        <v>21200</v>
      </c>
    </row>
    <row r="37" spans="1:6" ht="13.5" thickTop="1" x14ac:dyDescent="0.2"/>
    <row r="38" spans="1:6" ht="20.100000000000001" customHeight="1" x14ac:dyDescent="0.2">
      <c r="A38" s="171" t="s">
        <v>122</v>
      </c>
      <c r="B38" s="213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Twenty-One Thousand Two Hundred and NO/100 -----------</v>
      </c>
      <c r="C38" s="172"/>
      <c r="D38" s="172"/>
      <c r="E38" s="172"/>
      <c r="F38" s="172"/>
    </row>
    <row r="39" spans="1:6" x14ac:dyDescent="0.2">
      <c r="A39" s="169" t="s">
        <v>11</v>
      </c>
    </row>
    <row r="40" spans="1:6" ht="25.5" x14ac:dyDescent="0.2">
      <c r="A40" s="153" t="s">
        <v>10</v>
      </c>
      <c r="D40" s="242" t="s">
        <v>3975</v>
      </c>
      <c r="E40" s="243"/>
      <c r="F40" s="244"/>
    </row>
    <row r="42" spans="1:6" x14ac:dyDescent="0.2">
      <c r="A42" s="156"/>
    </row>
    <row r="43" spans="1:6" x14ac:dyDescent="0.2">
      <c r="C43" s="173"/>
    </row>
    <row r="44" spans="1:6" x14ac:dyDescent="0.2">
      <c r="A44" s="174"/>
      <c r="B44" s="174"/>
    </row>
    <row r="46" spans="1:6" x14ac:dyDescent="0.2">
      <c r="A46" s="175" t="s">
        <v>8</v>
      </c>
      <c r="D46" s="175" t="s">
        <v>7</v>
      </c>
      <c r="F46" s="176"/>
    </row>
    <row r="50" spans="1:6" x14ac:dyDescent="0.2">
      <c r="A50" s="174"/>
      <c r="B50" s="174"/>
      <c r="D50" s="174"/>
      <c r="E50" s="174"/>
      <c r="F50" s="174"/>
    </row>
    <row r="51" spans="1:6" s="156" customFormat="1" ht="17.100000000000001" customHeight="1" x14ac:dyDescent="0.2">
      <c r="A51" s="225" t="s">
        <v>4066</v>
      </c>
      <c r="B51" s="177"/>
      <c r="D51" s="156" t="s">
        <v>3</v>
      </c>
    </row>
    <row r="52" spans="1:6" x14ac:dyDescent="0.2">
      <c r="D52" s="153" t="s">
        <v>2</v>
      </c>
    </row>
    <row r="53" spans="1:6" x14ac:dyDescent="0.2">
      <c r="A53" s="225"/>
    </row>
    <row r="54" spans="1:6" x14ac:dyDescent="0.2">
      <c r="D54" s="163" t="s">
        <v>1</v>
      </c>
    </row>
    <row r="55" spans="1:6" x14ac:dyDescent="0.2">
      <c r="D55" s="163" t="s">
        <v>0</v>
      </c>
    </row>
  </sheetData>
  <customSheetViews>
    <customSheetView guid="{6428A7A0-B31B-40C1-A13E-AD0DCC619E51}" showPageBreaks="1" printArea="1" view="pageBreakPreview">
      <selection activeCell="E9" sqref="E9"/>
      <pageMargins left="0.74803149606299213" right="0.74803149606299213" top="0.78740157480314965" bottom="0.78740157480314965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2"/>
  <headerFooter alignWithMargins="0"/>
</worksheet>
</file>

<file path=xl/worksheets/sheet5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1-000000000000}">
  <sheetPr codeName="Sheet480">
    <pageSetUpPr fitToPage="1"/>
  </sheetPr>
  <dimension ref="A1:F55"/>
  <sheetViews>
    <sheetView topLeftCell="A7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5062</v>
      </c>
    </row>
    <row r="10" spans="1:6" s="91" customFormat="1" x14ac:dyDescent="0.2">
      <c r="A10" s="91" t="s">
        <v>4695</v>
      </c>
      <c r="D10" s="92" t="s">
        <v>1706</v>
      </c>
      <c r="E10" s="98" t="s">
        <v>5061</v>
      </c>
    </row>
    <row r="11" spans="1:6" s="91" customFormat="1" x14ac:dyDescent="0.2">
      <c r="A11" s="91" t="s">
        <v>4696</v>
      </c>
      <c r="D11" s="92" t="s">
        <v>1707</v>
      </c>
      <c r="E11" s="92" t="s">
        <v>1220</v>
      </c>
    </row>
    <row r="12" spans="1:6" s="91" customFormat="1" x14ac:dyDescent="0.2">
      <c r="A12" s="91" t="s">
        <v>1471</v>
      </c>
      <c r="D12" s="92" t="s">
        <v>1355</v>
      </c>
      <c r="E12" s="92" t="s">
        <v>5063</v>
      </c>
    </row>
    <row r="13" spans="1:6" s="91" customFormat="1" x14ac:dyDescent="0.2">
      <c r="A13" s="91" t="s">
        <v>1314</v>
      </c>
    </row>
    <row r="14" spans="1:6" s="91" customFormat="1" x14ac:dyDescent="0.2">
      <c r="A14" s="91" t="s">
        <v>4697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4879</v>
      </c>
    </row>
    <row r="19" spans="1:6" s="91" customFormat="1" x14ac:dyDescent="0.2"/>
    <row r="20" spans="1:6" s="91" customFormat="1" x14ac:dyDescent="0.2">
      <c r="A20" s="93" t="s">
        <v>5064</v>
      </c>
      <c r="B20" s="93" t="s">
        <v>5065</v>
      </c>
      <c r="C20" s="91" t="s">
        <v>5066</v>
      </c>
      <c r="F20" s="91">
        <v>3000</v>
      </c>
    </row>
    <row r="21" spans="1:6" s="91" customFormat="1" x14ac:dyDescent="0.2">
      <c r="C21" s="91" t="s">
        <v>4698</v>
      </c>
    </row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3000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5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1-000000000000}">
  <sheetPr codeName="Sheet537"/>
  <dimension ref="A1:F55"/>
  <sheetViews>
    <sheetView zoomScaleNormal="100" zoomScaleSheetLayoutView="100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7109375" style="1" customWidth="1"/>
    <col min="3" max="3" width="17.42578125" style="1" customWidth="1"/>
    <col min="4" max="4" width="14.8554687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5168</v>
      </c>
    </row>
    <row r="10" spans="1:6" s="91" customFormat="1" x14ac:dyDescent="0.2">
      <c r="A10" s="91" t="s">
        <v>5161</v>
      </c>
      <c r="D10" s="92" t="s">
        <v>1706</v>
      </c>
      <c r="E10" s="98" t="s">
        <v>5170</v>
      </c>
    </row>
    <row r="11" spans="1:6" s="91" customFormat="1" x14ac:dyDescent="0.2">
      <c r="A11" s="91" t="s">
        <v>5162</v>
      </c>
      <c r="D11" s="92" t="s">
        <v>1707</v>
      </c>
      <c r="E11" s="92" t="s">
        <v>1220</v>
      </c>
    </row>
    <row r="12" spans="1:6" s="91" customFormat="1" x14ac:dyDescent="0.2">
      <c r="A12" s="91" t="s">
        <v>1561</v>
      </c>
      <c r="D12" s="92" t="s">
        <v>1355</v>
      </c>
      <c r="E12" s="92" t="s">
        <v>5169</v>
      </c>
    </row>
    <row r="13" spans="1:6" s="91" customFormat="1" x14ac:dyDescent="0.2"/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5163</v>
      </c>
    </row>
    <row r="19" spans="1:6" s="91" customFormat="1" x14ac:dyDescent="0.2"/>
    <row r="20" spans="1:6" s="91" customFormat="1" x14ac:dyDescent="0.2">
      <c r="A20" s="93" t="s">
        <v>5164</v>
      </c>
      <c r="B20" s="93" t="s">
        <v>5165</v>
      </c>
      <c r="C20" s="91" t="s">
        <v>5166</v>
      </c>
      <c r="F20" s="91">
        <v>611.1</v>
      </c>
    </row>
    <row r="21" spans="1:6" s="91" customFormat="1" x14ac:dyDescent="0.2">
      <c r="C21" s="91" t="s">
        <v>5167</v>
      </c>
    </row>
    <row r="22" spans="1:6" s="91" customFormat="1" x14ac:dyDescent="0.2">
      <c r="A22" s="93"/>
      <c r="B22" s="93"/>
    </row>
    <row r="23" spans="1:6" s="91" customFormat="1" x14ac:dyDescent="0.2">
      <c r="C23" s="91" t="s">
        <v>2147</v>
      </c>
      <c r="F23" s="91">
        <v>36.700000000000003</v>
      </c>
    </row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647.80000000000007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Hundred Forty-Seven and 80/100 -----------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customSheetViews>
    <customSheetView guid="{6428A7A0-B31B-40C1-A13E-AD0DCC619E51}">
      <selection activeCell="E9" sqref="E9"/>
      <pageMargins left="0.7" right="0.7" top="0.75" bottom="0.75" header="0.3" footer="0.3"/>
      <pageSetup paperSize="9" scale="95" orientation="portrait" r:id="rId1"/>
    </customSheetView>
  </customSheetViews>
  <mergeCells count="4">
    <mergeCell ref="A1:F1"/>
    <mergeCell ref="A2:F2"/>
    <mergeCell ref="A3:F3"/>
    <mergeCell ref="A4:F4"/>
  </mergeCells>
  <pageMargins left="0.7" right="0.7" top="0.75" bottom="0.75" header="0.3" footer="0.3"/>
  <pageSetup paperSize="9" scale="95" orientation="portrait" r:id="rId2"/>
</worksheet>
</file>

<file path=xl/worksheets/sheet5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779E-2013-4B1A-A0CC-255C13FE0FDA}">
  <dimension ref="A1:R67"/>
  <sheetViews>
    <sheetView view="pageBreakPreview" topLeftCell="A7" zoomScaleNormal="100" zoomScaleSheetLayoutView="100" workbookViewId="0">
      <selection activeCell="G28" sqref="G28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  <c r="K3" s="91" t="s">
        <v>7912</v>
      </c>
      <c r="L3" s="91"/>
      <c r="M3" s="91"/>
      <c r="N3" s="91"/>
      <c r="O3" s="91">
        <f>9300*3.0631</f>
        <v>28486.829999999998</v>
      </c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K4" s="91" t="s">
        <v>7913</v>
      </c>
      <c r="O4" s="91"/>
    </row>
    <row r="5" spans="1:15" x14ac:dyDescent="0.2">
      <c r="K5" s="143" t="s">
        <v>7433</v>
      </c>
      <c r="O5" s="91"/>
    </row>
    <row r="7" spans="1:15" x14ac:dyDescent="0.2">
      <c r="K7" s="91" t="s">
        <v>52</v>
      </c>
      <c r="O7" s="91">
        <v>10</v>
      </c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  <c r="K8" s="91"/>
      <c r="L8" s="91"/>
      <c r="M8" s="91"/>
      <c r="N8" s="91"/>
      <c r="O8" s="91"/>
    </row>
    <row r="9" spans="1:15" x14ac:dyDescent="0.2">
      <c r="A9" s="91"/>
      <c r="B9" s="91"/>
      <c r="C9" s="91"/>
      <c r="D9" s="91"/>
      <c r="E9" s="91"/>
      <c r="F9" s="92" t="s">
        <v>30</v>
      </c>
      <c r="G9" s="91" t="s">
        <v>8675</v>
      </c>
      <c r="H9" s="91"/>
      <c r="K9" s="91"/>
      <c r="L9" s="91"/>
      <c r="M9" s="91"/>
      <c r="N9" s="91"/>
      <c r="O9" s="91"/>
    </row>
    <row r="10" spans="1:15" x14ac:dyDescent="0.2">
      <c r="A10" s="91" t="s">
        <v>8789</v>
      </c>
      <c r="B10" s="91"/>
      <c r="C10" s="91"/>
      <c r="D10" s="91"/>
      <c r="E10" s="91"/>
      <c r="F10" s="92" t="s">
        <v>27</v>
      </c>
      <c r="G10" s="92" t="s">
        <v>8676</v>
      </c>
      <c r="H10" s="91"/>
      <c r="J10" s="20"/>
      <c r="K10" s="91" t="s">
        <v>7028</v>
      </c>
      <c r="L10" s="91"/>
      <c r="M10" s="91"/>
    </row>
    <row r="11" spans="1:15" x14ac:dyDescent="0.2">
      <c r="A11" s="91"/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  <c r="K11" s="91" t="s">
        <v>7029</v>
      </c>
    </row>
    <row r="12" spans="1:15" x14ac:dyDescent="0.2">
      <c r="A12" s="91"/>
      <c r="B12" s="91"/>
      <c r="C12" s="91"/>
      <c r="D12" s="91"/>
      <c r="E12" s="91"/>
      <c r="F12" s="92" t="s">
        <v>22</v>
      </c>
      <c r="G12" s="94" t="s">
        <v>770</v>
      </c>
      <c r="H12" s="91"/>
      <c r="K12" s="91"/>
    </row>
    <row r="13" spans="1:15" x14ac:dyDescent="0.2">
      <c r="A13" s="91"/>
      <c r="B13" s="91"/>
      <c r="C13" s="91"/>
      <c r="D13" s="91"/>
      <c r="E13" s="91"/>
      <c r="F13" s="91"/>
      <c r="G13" s="153"/>
      <c r="H13" s="91"/>
      <c r="K13" s="91" t="s">
        <v>52</v>
      </c>
    </row>
    <row r="14" spans="1:15" x14ac:dyDescent="0.2">
      <c r="A14" s="91"/>
      <c r="B14" s="91"/>
      <c r="C14" s="91"/>
      <c r="D14" s="91"/>
      <c r="E14" s="91"/>
      <c r="F14" s="91"/>
      <c r="G14" s="153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 t="s">
        <v>6646</v>
      </c>
      <c r="L15" s="91"/>
      <c r="M15" s="91"/>
      <c r="N15" s="91"/>
      <c r="O15" s="91">
        <f>4050*2.9926996</f>
        <v>12120.43338</v>
      </c>
    </row>
    <row r="16" spans="1:15" s="14" customFormat="1" ht="20.100000000000001" customHeight="1" x14ac:dyDescent="0.2">
      <c r="A16" s="17" t="s">
        <v>1247</v>
      </c>
      <c r="B16" s="510" t="s">
        <v>128</v>
      </c>
      <c r="C16" s="510"/>
      <c r="D16" s="18" t="s">
        <v>19</v>
      </c>
      <c r="E16" s="18"/>
      <c r="F16" s="17"/>
      <c r="G16" s="16"/>
      <c r="H16" s="15" t="s">
        <v>18</v>
      </c>
      <c r="K16" s="91"/>
      <c r="L16" s="1"/>
      <c r="M16" s="1"/>
      <c r="N16" s="1"/>
      <c r="O16" s="91"/>
    </row>
    <row r="17" spans="1:18" x14ac:dyDescent="0.2">
      <c r="A17" s="91"/>
      <c r="B17" s="91"/>
      <c r="C17" s="91"/>
      <c r="D17" s="91"/>
      <c r="E17" s="91"/>
      <c r="F17" s="91"/>
      <c r="G17" s="91"/>
      <c r="H17" s="91"/>
      <c r="K17" s="91" t="s">
        <v>6644</v>
      </c>
      <c r="O17" s="91"/>
    </row>
    <row r="18" spans="1:18" x14ac:dyDescent="0.2">
      <c r="A18" s="91"/>
      <c r="B18" s="91"/>
      <c r="C18" s="91"/>
      <c r="D18" s="2" t="s">
        <v>8790</v>
      </c>
      <c r="E18" s="2"/>
      <c r="F18" s="91"/>
      <c r="G18" s="91"/>
      <c r="H18" s="91"/>
    </row>
    <row r="19" spans="1:18" x14ac:dyDescent="0.2">
      <c r="A19" s="91"/>
      <c r="B19" s="91"/>
      <c r="C19" s="91"/>
      <c r="D19" s="2"/>
      <c r="E19" s="2"/>
      <c r="F19" s="91"/>
      <c r="G19" s="91"/>
      <c r="H19" s="91"/>
      <c r="K19" s="91" t="s">
        <v>6643</v>
      </c>
      <c r="L19" s="91"/>
      <c r="M19" s="91"/>
      <c r="N19" s="91"/>
      <c r="O19" s="91">
        <f>9300*2.9926996</f>
        <v>27832.10628</v>
      </c>
    </row>
    <row r="20" spans="1:18" x14ac:dyDescent="0.2">
      <c r="A20" s="93" t="s">
        <v>8564</v>
      </c>
      <c r="B20" s="93" t="s">
        <v>8791</v>
      </c>
      <c r="C20" s="93"/>
      <c r="D20" s="91" t="s">
        <v>8792</v>
      </c>
      <c r="E20" s="91"/>
      <c r="F20" s="91"/>
      <c r="G20" s="91"/>
      <c r="H20" s="110">
        <v>350000</v>
      </c>
      <c r="K20" s="91"/>
      <c r="L20" s="91"/>
      <c r="M20" s="91"/>
      <c r="N20" s="91"/>
      <c r="O20" s="91"/>
    </row>
    <row r="21" spans="1:18" x14ac:dyDescent="0.2">
      <c r="A21" s="91"/>
      <c r="B21" s="94"/>
      <c r="C21" s="94"/>
      <c r="D21" s="91" t="s">
        <v>8793</v>
      </c>
      <c r="H21" s="91"/>
      <c r="K21" s="91" t="s">
        <v>6645</v>
      </c>
      <c r="L21" s="91"/>
      <c r="O21" s="91"/>
    </row>
    <row r="22" spans="1:18" x14ac:dyDescent="0.2">
      <c r="A22" s="93"/>
      <c r="B22" s="93"/>
      <c r="C22" s="93"/>
      <c r="D22" s="143"/>
      <c r="H22" s="91"/>
    </row>
    <row r="23" spans="1:18" x14ac:dyDescent="0.2">
      <c r="A23" s="93"/>
      <c r="B23" s="93"/>
      <c r="D23" s="91" t="s">
        <v>52</v>
      </c>
      <c r="E23" s="91"/>
      <c r="F23" s="91"/>
      <c r="G23" s="91"/>
      <c r="H23" s="110">
        <v>30</v>
      </c>
      <c r="K23" s="91" t="s">
        <v>3965</v>
      </c>
      <c r="O23" s="91">
        <v>10</v>
      </c>
    </row>
    <row r="24" spans="1:18" x14ac:dyDescent="0.2">
      <c r="A24" s="93"/>
      <c r="B24" s="93"/>
      <c r="C24" s="94"/>
      <c r="D24" s="91"/>
      <c r="H24" s="91"/>
      <c r="K24" s="91"/>
      <c r="L24" s="91"/>
    </row>
    <row r="25" spans="1:18" x14ac:dyDescent="0.2">
      <c r="A25" s="93"/>
      <c r="B25" s="93"/>
      <c r="C25" s="93"/>
      <c r="D25" s="143" t="s">
        <v>7433</v>
      </c>
      <c r="E25" s="91"/>
      <c r="F25" s="91"/>
      <c r="G25" s="91"/>
      <c r="H25" s="91"/>
      <c r="K25" s="91" t="s">
        <v>6932</v>
      </c>
      <c r="L25" s="91"/>
      <c r="M25" s="91"/>
      <c r="N25" s="91"/>
      <c r="O25" s="91">
        <f>9300*3.0413</f>
        <v>28284.09</v>
      </c>
    </row>
    <row r="26" spans="1:18" x14ac:dyDescent="0.2">
      <c r="A26" s="91"/>
      <c r="B26" s="91"/>
      <c r="C26" s="91"/>
      <c r="D26" s="91"/>
      <c r="E26" s="91"/>
      <c r="F26" s="91"/>
      <c r="G26" s="91"/>
      <c r="H26" s="91"/>
      <c r="K26" s="91" t="s">
        <v>6933</v>
      </c>
      <c r="O26" s="91"/>
    </row>
    <row r="27" spans="1:18" x14ac:dyDescent="0.2">
      <c r="A27" s="91"/>
      <c r="B27" s="91"/>
      <c r="C27" s="91"/>
      <c r="D27" s="91"/>
      <c r="E27" s="91"/>
      <c r="F27" s="91"/>
      <c r="G27" s="91"/>
      <c r="H27" s="91"/>
      <c r="K27" s="91"/>
      <c r="O27" s="91"/>
    </row>
    <row r="28" spans="1:18" x14ac:dyDescent="0.2">
      <c r="A28" s="91"/>
      <c r="B28" s="91"/>
      <c r="C28" s="91"/>
      <c r="D28" s="91"/>
      <c r="E28" s="91"/>
      <c r="F28" s="91"/>
      <c r="G28" s="91"/>
      <c r="H28" s="91"/>
      <c r="K28" s="91" t="s">
        <v>6934</v>
      </c>
      <c r="O28" s="91">
        <f>4050*3.0413</f>
        <v>12317.265000000001</v>
      </c>
    </row>
    <row r="29" spans="1:18" x14ac:dyDescent="0.2">
      <c r="A29" s="91"/>
      <c r="B29" s="91"/>
      <c r="C29" s="91"/>
      <c r="D29" s="91"/>
      <c r="E29" s="91"/>
      <c r="F29" s="91"/>
      <c r="G29" s="91"/>
      <c r="H29" s="91"/>
      <c r="K29" s="91" t="s">
        <v>6935</v>
      </c>
      <c r="L29" s="91"/>
      <c r="M29" s="91"/>
      <c r="N29" s="91"/>
      <c r="O29" s="91"/>
    </row>
    <row r="30" spans="1:18" x14ac:dyDescent="0.2">
      <c r="A30" s="93"/>
      <c r="B30" s="93"/>
      <c r="C30" s="94"/>
      <c r="D30" s="91"/>
      <c r="E30" s="91"/>
      <c r="H30" s="91"/>
      <c r="K30" s="93" t="s">
        <v>7628</v>
      </c>
      <c r="L30" s="93" t="s">
        <v>7696</v>
      </c>
      <c r="M30" s="94"/>
      <c r="N30" s="91" t="s">
        <v>7693</v>
      </c>
      <c r="R30" s="91">
        <f>18200*3.0647</f>
        <v>55777.54</v>
      </c>
    </row>
    <row r="31" spans="1:18" x14ac:dyDescent="0.2">
      <c r="A31" s="91"/>
      <c r="B31" s="91"/>
      <c r="C31" s="91"/>
      <c r="D31" s="91"/>
      <c r="K31" s="93"/>
      <c r="L31" s="93"/>
      <c r="M31" s="93"/>
      <c r="N31" s="91" t="s">
        <v>7692</v>
      </c>
      <c r="O31" s="91"/>
      <c r="P31" s="91"/>
      <c r="Q31" s="91"/>
      <c r="R31" s="91"/>
    </row>
    <row r="32" spans="1:18" x14ac:dyDescent="0.2">
      <c r="A32" s="91"/>
      <c r="B32" s="91"/>
      <c r="C32" s="91"/>
      <c r="D32" s="91"/>
      <c r="H32" s="91"/>
      <c r="K32" s="93" t="s">
        <v>7628</v>
      </c>
      <c r="L32" s="93" t="s">
        <v>7695</v>
      </c>
      <c r="M32" s="94"/>
      <c r="N32" s="91" t="s">
        <v>7694</v>
      </c>
      <c r="O32" s="91"/>
      <c r="R32" s="91">
        <f>3000*3.0647</f>
        <v>9194.1</v>
      </c>
    </row>
    <row r="33" spans="1:15" x14ac:dyDescent="0.2">
      <c r="A33" s="91"/>
      <c r="B33" s="91"/>
      <c r="C33" s="91"/>
    </row>
    <row r="34" spans="1:15" x14ac:dyDescent="0.2">
      <c r="A34" s="91"/>
      <c r="B34" s="91"/>
      <c r="C34" s="91"/>
    </row>
    <row r="35" spans="1:15" x14ac:dyDescent="0.2">
      <c r="A35" s="91"/>
      <c r="B35" s="91"/>
      <c r="C35" s="91"/>
    </row>
    <row r="36" spans="1:15" x14ac:dyDescent="0.2">
      <c r="A36" s="91"/>
      <c r="B36" s="91"/>
      <c r="C36" s="91"/>
      <c r="D36" s="91"/>
      <c r="E36" s="91"/>
      <c r="F36" s="91"/>
      <c r="G36" s="91"/>
      <c r="H36" s="91"/>
      <c r="K36" s="91" t="s">
        <v>7974</v>
      </c>
      <c r="L36" s="91"/>
      <c r="M36" s="91"/>
      <c r="N36" s="91"/>
      <c r="O36" s="91">
        <f>18200*3.0812</f>
        <v>56077.84</v>
      </c>
    </row>
    <row r="37" spans="1:15" ht="13.5" thickBot="1" x14ac:dyDescent="0.25">
      <c r="A37" s="91"/>
      <c r="B37" s="91"/>
      <c r="C37" s="91"/>
      <c r="D37" s="91"/>
      <c r="E37" s="91"/>
      <c r="F37" s="91"/>
      <c r="G37" s="91"/>
      <c r="H37" s="107">
        <f>SUM(H18:H36)</f>
        <v>350030</v>
      </c>
      <c r="K37" s="91" t="s">
        <v>7975</v>
      </c>
      <c r="O37" s="91"/>
    </row>
    <row r="38" spans="1:15" ht="13.5" thickTop="1" x14ac:dyDescent="0.2">
      <c r="A38" s="91"/>
      <c r="B38" s="91"/>
      <c r="C38" s="91"/>
      <c r="D38" s="91"/>
      <c r="E38" s="91"/>
      <c r="K38" s="143"/>
      <c r="O38" s="91"/>
    </row>
    <row r="39" spans="1:15" ht="21.75" customHeight="1" x14ac:dyDescent="0.2">
      <c r="A39" s="96" t="s">
        <v>336</v>
      </c>
      <c r="B39" s="213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>Three Hundred Fifty Thousand Thirty and NO/100 -----------</v>
      </c>
      <c r="C39" s="213"/>
      <c r="D39" s="97"/>
      <c r="E39" s="97"/>
      <c r="F39" s="97"/>
      <c r="G39" s="97"/>
      <c r="H39" s="97"/>
      <c r="K39" s="91" t="s">
        <v>7976</v>
      </c>
      <c r="O39" s="91">
        <f>3000*3.0812</f>
        <v>9243.6</v>
      </c>
    </row>
    <row r="40" spans="1:15" x14ac:dyDescent="0.2">
      <c r="A40" s="113"/>
      <c r="B40" s="225"/>
      <c r="C40" s="225"/>
      <c r="D40" s="61"/>
      <c r="E40" s="61"/>
      <c r="F40" s="61"/>
      <c r="G40" s="61"/>
      <c r="H40" s="61"/>
      <c r="K40" s="91" t="s">
        <v>7977</v>
      </c>
      <c r="O40" s="91"/>
    </row>
    <row r="41" spans="1:15" ht="25.5" x14ac:dyDescent="0.2">
      <c r="A41" s="94" t="s">
        <v>3973</v>
      </c>
      <c r="B41" s="91"/>
      <c r="C41" s="91"/>
      <c r="D41" s="98" t="s">
        <v>8</v>
      </c>
      <c r="E41" s="91"/>
      <c r="F41" s="218" t="s">
        <v>3975</v>
      </c>
      <c r="G41" s="219"/>
      <c r="H41" s="220"/>
      <c r="K41" s="91"/>
      <c r="L41" s="91"/>
      <c r="M41" s="91"/>
      <c r="N41" s="91"/>
      <c r="O41" s="91"/>
    </row>
    <row r="42" spans="1:15" x14ac:dyDescent="0.2">
      <c r="A42" s="91"/>
      <c r="B42" s="91"/>
      <c r="C42" s="91"/>
      <c r="D42" s="91"/>
      <c r="E42" s="91"/>
      <c r="F42" s="228"/>
      <c r="G42" s="229"/>
      <c r="H42" s="229"/>
      <c r="K42" s="1" t="s">
        <v>8268</v>
      </c>
      <c r="O42" s="1">
        <v>28827.21</v>
      </c>
    </row>
    <row r="43" spans="1:15" x14ac:dyDescent="0.2">
      <c r="B43" s="91"/>
      <c r="C43" s="91"/>
      <c r="D43" s="91"/>
      <c r="E43" s="91"/>
      <c r="F43" s="91"/>
      <c r="G43" s="91"/>
      <c r="H43" s="91"/>
      <c r="K43" s="1" t="s">
        <v>8269</v>
      </c>
    </row>
    <row r="44" spans="1:15" x14ac:dyDescent="0.2">
      <c r="A44" s="91"/>
      <c r="B44" s="91"/>
      <c r="C44" s="91"/>
      <c r="D44" s="91"/>
      <c r="E44" s="91"/>
      <c r="F44" s="91"/>
      <c r="G44" s="91"/>
      <c r="H44" s="91"/>
    </row>
    <row r="45" spans="1:15" x14ac:dyDescent="0.2">
      <c r="A45" s="101"/>
      <c r="B45" s="101"/>
      <c r="C45" s="91"/>
      <c r="D45" s="101"/>
      <c r="E45" s="91"/>
      <c r="F45" s="91"/>
      <c r="G45" s="91"/>
      <c r="H45" s="91"/>
    </row>
    <row r="46" spans="1:15" x14ac:dyDescent="0.2">
      <c r="A46" s="91"/>
      <c r="B46" s="91"/>
      <c r="C46" s="91"/>
      <c r="D46" s="103" t="s">
        <v>50</v>
      </c>
      <c r="E46" s="91"/>
      <c r="F46" s="91"/>
      <c r="G46" s="91"/>
      <c r="H46" s="91"/>
    </row>
    <row r="47" spans="1:15" x14ac:dyDescent="0.2">
      <c r="A47" s="91"/>
      <c r="B47" s="91"/>
      <c r="C47" s="91"/>
      <c r="D47" s="103"/>
      <c r="E47" s="91"/>
      <c r="F47" s="91"/>
      <c r="G47" s="91"/>
      <c r="H47" s="91"/>
    </row>
    <row r="48" spans="1:15" x14ac:dyDescent="0.2">
      <c r="A48" s="98" t="s">
        <v>8</v>
      </c>
      <c r="B48" s="91"/>
      <c r="C48" s="91"/>
      <c r="D48" s="98" t="s">
        <v>8</v>
      </c>
      <c r="E48" s="91"/>
      <c r="F48" s="98" t="s">
        <v>7</v>
      </c>
      <c r="G48" s="91"/>
      <c r="H48" s="102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s="3" customFormat="1" ht="17.100000000000001" customHeight="1" x14ac:dyDescent="0.2">
      <c r="A50" s="91"/>
      <c r="B50" s="91"/>
      <c r="C50" s="91"/>
      <c r="D50" s="91"/>
      <c r="E50" s="91"/>
      <c r="F50" s="91"/>
      <c r="G50" s="91"/>
      <c r="H50" s="91"/>
    </row>
    <row r="51" spans="1:8" x14ac:dyDescent="0.2">
      <c r="A51" s="91"/>
      <c r="B51" s="91"/>
      <c r="C51" s="91"/>
      <c r="D51" s="91"/>
      <c r="E51" s="91"/>
      <c r="F51" s="91"/>
      <c r="G51" s="91"/>
      <c r="H51" s="91"/>
    </row>
    <row r="52" spans="1:8" x14ac:dyDescent="0.2">
      <c r="A52" s="101"/>
      <c r="B52" s="101"/>
      <c r="C52" s="91"/>
      <c r="D52" s="101"/>
      <c r="E52" s="91"/>
      <c r="F52" s="101"/>
      <c r="G52" s="101"/>
      <c r="H52" s="101"/>
    </row>
    <row r="53" spans="1:8" x14ac:dyDescent="0.2">
      <c r="A53" s="103" t="s">
        <v>4066</v>
      </c>
      <c r="B53" s="104"/>
      <c r="C53" s="104"/>
      <c r="D53" s="103" t="s">
        <v>50</v>
      </c>
      <c r="E53" s="61"/>
      <c r="F53" s="61" t="s">
        <v>3</v>
      </c>
      <c r="G53" s="61"/>
      <c r="H53" s="61"/>
    </row>
    <row r="54" spans="1:8" x14ac:dyDescent="0.2">
      <c r="A54" s="91"/>
      <c r="B54" s="91"/>
      <c r="C54" s="91"/>
      <c r="D54" s="91"/>
      <c r="E54" s="91"/>
      <c r="F54" s="91" t="s">
        <v>2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2" t="s">
        <v>1</v>
      </c>
      <c r="G56" s="91"/>
      <c r="H56" s="91"/>
    </row>
    <row r="57" spans="1:8" x14ac:dyDescent="0.2">
      <c r="A57" s="91"/>
      <c r="B57" s="91"/>
      <c r="C57" s="91"/>
      <c r="D57" s="91"/>
      <c r="E57" s="91"/>
      <c r="F57" s="2" t="s">
        <v>0</v>
      </c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  <row r="66" spans="1:8" x14ac:dyDescent="0.2">
      <c r="A66" s="91"/>
      <c r="B66" s="91"/>
      <c r="C66" s="91"/>
      <c r="D66" s="91"/>
      <c r="E66" s="91"/>
      <c r="F66" s="91"/>
      <c r="G66" s="91"/>
      <c r="H66" s="91"/>
    </row>
    <row r="67" spans="1:8" x14ac:dyDescent="0.2">
      <c r="A67" s="91"/>
      <c r="B67" s="91"/>
      <c r="C67" s="91"/>
      <c r="D67" s="91"/>
      <c r="E67" s="91"/>
      <c r="F67" s="91"/>
      <c r="G67" s="91"/>
      <c r="H67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1-000000000000}">
  <sheetPr codeName="Sheet506">
    <pageSetUpPr fitToPage="1"/>
  </sheetPr>
  <dimension ref="A1:N53"/>
  <sheetViews>
    <sheetView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</row>
    <row r="2" spans="1:14" x14ac:dyDescent="0.2">
      <c r="A2" s="522" t="s">
        <v>33</v>
      </c>
      <c r="B2" s="522"/>
      <c r="C2" s="522"/>
      <c r="D2" s="522"/>
      <c r="E2" s="522"/>
      <c r="F2" s="522"/>
    </row>
    <row r="3" spans="1:14" x14ac:dyDescent="0.2">
      <c r="A3" s="522" t="s">
        <v>1829</v>
      </c>
      <c r="B3" s="522"/>
      <c r="C3" s="522"/>
      <c r="D3" s="522"/>
      <c r="E3" s="522"/>
      <c r="F3" s="522"/>
    </row>
    <row r="4" spans="1:14" x14ac:dyDescent="0.2">
      <c r="A4" s="522" t="s">
        <v>1828</v>
      </c>
      <c r="B4" s="522"/>
      <c r="C4" s="522"/>
      <c r="D4" s="522"/>
      <c r="E4" s="522"/>
      <c r="F4" s="522"/>
    </row>
    <row r="8" spans="1:14" x14ac:dyDescent="0.2">
      <c r="A8" s="91" t="s">
        <v>32</v>
      </c>
      <c r="D8" s="22" t="s">
        <v>31</v>
      </c>
    </row>
    <row r="9" spans="1:14" x14ac:dyDescent="0.2">
      <c r="A9" s="91" t="s">
        <v>4865</v>
      </c>
      <c r="D9" s="92" t="s">
        <v>1317</v>
      </c>
      <c r="E9" s="61" t="s">
        <v>4862</v>
      </c>
    </row>
    <row r="10" spans="1:14" x14ac:dyDescent="0.2">
      <c r="A10" s="91" t="s">
        <v>4869</v>
      </c>
      <c r="D10" s="92" t="s">
        <v>1329</v>
      </c>
      <c r="E10" s="113" t="s">
        <v>4861</v>
      </c>
    </row>
    <row r="11" spans="1:14" x14ac:dyDescent="0.2">
      <c r="D11" s="92" t="s">
        <v>1330</v>
      </c>
      <c r="E11" s="113" t="s">
        <v>1220</v>
      </c>
    </row>
    <row r="12" spans="1:14" x14ac:dyDescent="0.2">
      <c r="D12" s="92" t="s">
        <v>1331</v>
      </c>
      <c r="E12" s="113" t="s">
        <v>4864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  <c r="K16" s="91"/>
      <c r="L16" s="91"/>
      <c r="M16" s="91"/>
      <c r="N16" s="91"/>
    </row>
    <row r="17" spans="1:14" x14ac:dyDescent="0.2">
      <c r="A17" s="106"/>
      <c r="K17" s="91"/>
      <c r="L17" s="91"/>
      <c r="M17" s="91"/>
      <c r="N17" s="91"/>
    </row>
    <row r="18" spans="1:14" x14ac:dyDescent="0.2">
      <c r="A18" s="93"/>
      <c r="B18" s="93"/>
      <c r="C18" s="2" t="s">
        <v>4866</v>
      </c>
      <c r="K18" s="91"/>
      <c r="L18" s="91"/>
      <c r="M18" s="91"/>
      <c r="N18" s="91"/>
    </row>
    <row r="19" spans="1:14" x14ac:dyDescent="0.2">
      <c r="A19" s="93"/>
      <c r="B19" s="93"/>
      <c r="K19" s="91"/>
      <c r="L19" s="91"/>
      <c r="M19" s="91"/>
      <c r="N19" s="91"/>
    </row>
    <row r="20" spans="1:14" x14ac:dyDescent="0.2">
      <c r="A20" s="93" t="s">
        <v>4249</v>
      </c>
      <c r="B20" s="93"/>
      <c r="C20" s="91" t="s">
        <v>4732</v>
      </c>
      <c r="F20" s="91">
        <f>780</f>
        <v>780</v>
      </c>
      <c r="K20" s="91"/>
      <c r="L20" s="91"/>
      <c r="M20" s="91"/>
      <c r="N20" s="91"/>
    </row>
    <row r="21" spans="1:14" x14ac:dyDescent="0.2">
      <c r="A21" s="91" t="s">
        <v>4867</v>
      </c>
      <c r="B21" s="99"/>
      <c r="C21" s="91" t="s">
        <v>127</v>
      </c>
      <c r="F21" s="91">
        <f>62.9+50</f>
        <v>112.9</v>
      </c>
      <c r="K21" s="91"/>
      <c r="L21" s="91"/>
      <c r="M21" s="91"/>
      <c r="N21" s="91"/>
    </row>
    <row r="22" spans="1:14" x14ac:dyDescent="0.2">
      <c r="A22" s="93"/>
      <c r="B22" s="93"/>
      <c r="K22" s="91"/>
      <c r="L22" s="91"/>
      <c r="M22" s="91"/>
      <c r="N22" s="91"/>
    </row>
    <row r="23" spans="1:14" x14ac:dyDescent="0.2">
      <c r="A23" s="93"/>
      <c r="B23" s="93"/>
      <c r="K23" s="91"/>
      <c r="L23" s="91"/>
      <c r="M23" s="91"/>
      <c r="N23" s="91"/>
    </row>
    <row r="24" spans="1:14" x14ac:dyDescent="0.2">
      <c r="A24" s="93"/>
      <c r="B24" s="93"/>
      <c r="K24" s="91"/>
      <c r="L24" s="91"/>
      <c r="M24" s="91"/>
      <c r="N24" s="91"/>
    </row>
    <row r="25" spans="1:14" x14ac:dyDescent="0.2">
      <c r="K25" s="91"/>
      <c r="L25" s="91"/>
      <c r="M25" s="91"/>
      <c r="N25" s="91"/>
    </row>
    <row r="27" spans="1:14" x14ac:dyDescent="0.2">
      <c r="A27" s="93"/>
      <c r="B27" s="93"/>
    </row>
    <row r="28" spans="1:14" x14ac:dyDescent="0.2">
      <c r="A28" s="93"/>
      <c r="B28" s="93"/>
    </row>
    <row r="29" spans="1:14" x14ac:dyDescent="0.2">
      <c r="A29" s="93"/>
      <c r="B29" s="93"/>
    </row>
    <row r="33" spans="1:6" x14ac:dyDescent="0.2">
      <c r="A33" s="106"/>
      <c r="F33" s="1"/>
    </row>
    <row r="34" spans="1:6" ht="13.5" thickBot="1" x14ac:dyDescent="0.25">
      <c r="A34" s="106"/>
      <c r="F34" s="107">
        <f>SUM(F18:F33)</f>
        <v>892.9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 Hundred Ninety-Two and 90/100 -----------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1-000000000000}">
  <sheetPr codeName="Sheet445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1.140625" style="152" customWidth="1"/>
    <col min="4" max="4" width="23" style="152" customWidth="1"/>
    <col min="5" max="5" width="1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55" t="s">
        <v>7718</v>
      </c>
      <c r="H9" s="153"/>
    </row>
    <row r="10" spans="1:8" x14ac:dyDescent="0.2">
      <c r="A10" s="153"/>
      <c r="B10" s="153"/>
      <c r="C10" s="153"/>
      <c r="D10" s="153"/>
      <c r="E10" s="153"/>
      <c r="F10" s="155" t="s">
        <v>1357</v>
      </c>
      <c r="G10" s="155" t="s">
        <v>7712</v>
      </c>
      <c r="H10" s="153"/>
    </row>
    <row r="11" spans="1:8" x14ac:dyDescent="0.2">
      <c r="A11" s="153" t="s">
        <v>5307</v>
      </c>
      <c r="B11" s="153"/>
      <c r="C11" s="153"/>
      <c r="D11" s="153"/>
      <c r="E11" s="153"/>
      <c r="F11" s="155" t="s">
        <v>1330</v>
      </c>
      <c r="G11" s="155" t="s">
        <v>1220</v>
      </c>
      <c r="H11" s="153"/>
    </row>
    <row r="12" spans="1:8" x14ac:dyDescent="0.2">
      <c r="A12" s="153" t="s">
        <v>4577</v>
      </c>
      <c r="B12" s="153"/>
      <c r="C12" s="153"/>
      <c r="D12" s="153"/>
      <c r="E12" s="153"/>
      <c r="F12" s="155" t="s">
        <v>1377</v>
      </c>
      <c r="G12" s="91" t="s">
        <v>7719</v>
      </c>
      <c r="H12" s="153"/>
    </row>
    <row r="13" spans="1:8" x14ac:dyDescent="0.2">
      <c r="A13" s="153" t="s">
        <v>4578</v>
      </c>
      <c r="B13" s="153"/>
      <c r="C13" s="153"/>
      <c r="D13" s="153"/>
      <c r="E13" s="153"/>
      <c r="F13" s="153"/>
      <c r="G13" s="91" t="s">
        <v>6823</v>
      </c>
      <c r="H13" s="153"/>
    </row>
    <row r="14" spans="1:8" x14ac:dyDescent="0.2">
      <c r="A14" s="153" t="s">
        <v>4579</v>
      </c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68"/>
      <c r="B18" s="173"/>
      <c r="C18" s="173"/>
      <c r="D18" s="245" t="s">
        <v>7605</v>
      </c>
      <c r="E18" s="245"/>
      <c r="H18" s="153"/>
    </row>
    <row r="19" spans="1:8" x14ac:dyDescent="0.2">
      <c r="D19" s="175"/>
      <c r="E19" s="175"/>
    </row>
    <row r="20" spans="1:8" x14ac:dyDescent="0.2">
      <c r="A20" s="168" t="s">
        <v>7576</v>
      </c>
      <c r="B20" s="264" t="s">
        <v>7720</v>
      </c>
      <c r="C20" s="264"/>
      <c r="D20" s="175" t="s">
        <v>7721</v>
      </c>
      <c r="E20" s="175"/>
      <c r="F20" s="153"/>
      <c r="G20" s="153"/>
      <c r="H20" s="153">
        <f>3.5*5</f>
        <v>17.5</v>
      </c>
    </row>
    <row r="21" spans="1:8" x14ac:dyDescent="0.2">
      <c r="A21" s="168"/>
      <c r="B21" s="175"/>
      <c r="C21" s="175"/>
      <c r="D21" s="153"/>
      <c r="E21" s="153"/>
      <c r="F21" s="153"/>
      <c r="G21" s="153"/>
      <c r="H21" s="153"/>
    </row>
    <row r="22" spans="1:8" x14ac:dyDescent="0.2">
      <c r="A22" s="168"/>
      <c r="B22" s="175"/>
      <c r="C22" s="175"/>
      <c r="D22" s="245"/>
      <c r="E22" s="245"/>
      <c r="F22" s="153"/>
      <c r="G22" s="153"/>
      <c r="H22" s="153"/>
    </row>
    <row r="23" spans="1:8" x14ac:dyDescent="0.2">
      <c r="A23" s="168"/>
      <c r="B23" s="175"/>
      <c r="C23" s="175"/>
      <c r="D23" s="153"/>
      <c r="E23" s="153"/>
      <c r="F23" s="153"/>
      <c r="G23" s="153"/>
      <c r="H23" s="153"/>
    </row>
    <row r="24" spans="1:8" x14ac:dyDescent="0.2">
      <c r="A24" s="168"/>
      <c r="B24" s="264"/>
      <c r="C24" s="264"/>
      <c r="D24" s="175"/>
      <c r="E24" s="175"/>
      <c r="F24" s="153"/>
      <c r="G24" s="153"/>
      <c r="H24" s="153"/>
    </row>
    <row r="25" spans="1:8" x14ac:dyDescent="0.2">
      <c r="A25" s="168"/>
      <c r="B25" s="155"/>
      <c r="C25" s="155"/>
      <c r="D25" s="153"/>
      <c r="E25" s="153"/>
      <c r="F25" s="153"/>
      <c r="G25" s="153"/>
      <c r="H25" s="153"/>
    </row>
    <row r="26" spans="1:8" x14ac:dyDescent="0.2">
      <c r="A26" s="168"/>
      <c r="B26" s="155"/>
      <c r="C26" s="155"/>
      <c r="D26" s="153"/>
      <c r="E26" s="153"/>
      <c r="F26" s="153"/>
      <c r="G26" s="153"/>
      <c r="H26" s="153"/>
    </row>
    <row r="27" spans="1:8" x14ac:dyDescent="0.2">
      <c r="A27" s="168"/>
      <c r="B27" s="155"/>
      <c r="C27" s="155"/>
      <c r="D27" s="153"/>
      <c r="E27" s="153"/>
      <c r="F27" s="153"/>
      <c r="G27" s="153"/>
      <c r="H27" s="153"/>
    </row>
    <row r="28" spans="1:8" x14ac:dyDescent="0.2">
      <c r="A28" s="168"/>
      <c r="B28" s="155"/>
      <c r="C28" s="155"/>
      <c r="D28" s="153"/>
      <c r="E28" s="153"/>
      <c r="F28" s="153"/>
      <c r="G28" s="153"/>
      <c r="H28" s="153"/>
    </row>
    <row r="29" spans="1:8" x14ac:dyDescent="0.2">
      <c r="A29" s="168"/>
      <c r="B29" s="169"/>
      <c r="C29" s="169"/>
      <c r="D29" s="163"/>
      <c r="E29" s="163"/>
      <c r="F29" s="153"/>
      <c r="G29" s="153"/>
      <c r="H29" s="153"/>
    </row>
    <row r="30" spans="1:8" x14ac:dyDescent="0.2">
      <c r="A30" s="153"/>
      <c r="B30" s="169"/>
      <c r="C30" s="169"/>
      <c r="D30" s="153"/>
      <c r="E30" s="153"/>
      <c r="F30" s="153"/>
      <c r="G30" s="153"/>
      <c r="H30" s="153"/>
    </row>
    <row r="31" spans="1:8" x14ac:dyDescent="0.2">
      <c r="A31" s="168"/>
      <c r="B31" s="168"/>
      <c r="C31" s="168"/>
      <c r="D31" s="153"/>
      <c r="E31" s="153"/>
      <c r="F31" s="153"/>
      <c r="G31" s="153"/>
      <c r="H31" s="153"/>
    </row>
    <row r="32" spans="1:8" x14ac:dyDescent="0.2">
      <c r="A32" s="153"/>
      <c r="B32" s="153"/>
      <c r="C32" s="153"/>
      <c r="D32" s="153"/>
      <c r="E32" s="153"/>
      <c r="F32" s="153"/>
      <c r="G32" s="153"/>
      <c r="H32" s="153"/>
    </row>
    <row r="33" spans="1:8" ht="13.5" thickBot="1" x14ac:dyDescent="0.25">
      <c r="A33" s="153"/>
      <c r="B33" s="153"/>
      <c r="C33" s="153"/>
      <c r="D33" s="153"/>
      <c r="E33" s="153"/>
      <c r="F33" s="153"/>
      <c r="G33" s="153"/>
      <c r="H33" s="170">
        <f>SUM(H18:H32)</f>
        <v>17.5</v>
      </c>
    </row>
    <row r="34" spans="1:8" ht="13.5" thickTop="1" x14ac:dyDescent="0.2">
      <c r="A34" s="153"/>
      <c r="B34" s="153"/>
      <c r="C34" s="153"/>
      <c r="D34" s="153"/>
      <c r="E34" s="153"/>
      <c r="F34" s="153"/>
      <c r="G34" s="153"/>
      <c r="H34" s="153"/>
    </row>
    <row r="35" spans="1:8" ht="20.100000000000001" customHeight="1" x14ac:dyDescent="0.2">
      <c r="A35" s="171" t="s">
        <v>122</v>
      </c>
      <c r="B35" s="213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Seventeen and 50/100 -----------</v>
      </c>
      <c r="C35" s="213"/>
      <c r="D35" s="172"/>
      <c r="E35" s="172"/>
      <c r="F35" s="172"/>
      <c r="G35" s="172"/>
      <c r="H35" s="172"/>
    </row>
    <row r="36" spans="1:8" x14ac:dyDescent="0.2">
      <c r="A36" s="169" t="s">
        <v>11</v>
      </c>
      <c r="B36" s="153"/>
      <c r="C36" s="153"/>
      <c r="D36" s="153"/>
      <c r="E36" s="153"/>
      <c r="F36" s="153"/>
      <c r="G36" s="153"/>
      <c r="H36" s="153"/>
    </row>
    <row r="37" spans="1:8" x14ac:dyDescent="0.2">
      <c r="A37" s="153" t="s">
        <v>10</v>
      </c>
      <c r="B37" s="153"/>
      <c r="C37" s="153"/>
      <c r="D37" s="153"/>
      <c r="E37" s="153"/>
      <c r="F37" s="153"/>
      <c r="G37" s="153"/>
      <c r="H37" s="153"/>
    </row>
    <row r="38" spans="1:8" x14ac:dyDescent="0.2">
      <c r="A38" s="153"/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/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73"/>
      <c r="E40" s="173"/>
      <c r="F40" s="153"/>
      <c r="G40" s="153"/>
      <c r="H40" s="153"/>
    </row>
    <row r="41" spans="1:8" x14ac:dyDescent="0.2">
      <c r="A41" s="174"/>
      <c r="B41" s="174"/>
      <c r="C41" s="413"/>
      <c r="D41" s="153"/>
      <c r="E41" s="153"/>
      <c r="F41" s="153"/>
      <c r="G41" s="153"/>
      <c r="H41" s="153"/>
    </row>
    <row r="42" spans="1:8" x14ac:dyDescent="0.2">
      <c r="B42" s="153"/>
      <c r="C42" s="153"/>
      <c r="D42" s="153"/>
      <c r="E42" s="153"/>
      <c r="F42" s="153"/>
      <c r="G42" s="153"/>
      <c r="H42" s="153"/>
    </row>
    <row r="43" spans="1:8" x14ac:dyDescent="0.2">
      <c r="A43" s="175" t="s">
        <v>8</v>
      </c>
      <c r="D43" s="175" t="s">
        <v>8</v>
      </c>
      <c r="E43" s="153"/>
      <c r="F43" s="175" t="s">
        <v>7</v>
      </c>
      <c r="G43" s="153"/>
      <c r="H43" s="176"/>
    </row>
    <row r="44" spans="1:8" x14ac:dyDescent="0.2">
      <c r="A44" s="153"/>
      <c r="B44" s="153"/>
      <c r="C44" s="153"/>
      <c r="D44" s="153"/>
      <c r="E44" s="153"/>
      <c r="F44" s="153"/>
      <c r="G44" s="153"/>
      <c r="H44" s="153"/>
    </row>
    <row r="45" spans="1:8" x14ac:dyDescent="0.2">
      <c r="A45" s="153"/>
      <c r="B45" s="153"/>
      <c r="C45" s="153"/>
      <c r="D45" s="153"/>
      <c r="E45" s="153"/>
      <c r="F45" s="153"/>
      <c r="G45" s="153"/>
      <c r="H45" s="153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74"/>
      <c r="B47" s="174"/>
      <c r="C47" s="413"/>
      <c r="D47" s="174"/>
      <c r="E47" s="153"/>
      <c r="F47" s="174"/>
      <c r="G47" s="174"/>
      <c r="H47" s="174"/>
    </row>
    <row r="48" spans="1:8" s="178" customFormat="1" ht="17.100000000000001" customHeight="1" x14ac:dyDescent="0.2">
      <c r="A48" s="225" t="s">
        <v>4066</v>
      </c>
      <c r="B48" s="177"/>
      <c r="C48" s="177"/>
      <c r="D48" s="225" t="s">
        <v>50</v>
      </c>
      <c r="E48" s="156"/>
      <c r="F48" s="156" t="s">
        <v>3</v>
      </c>
      <c r="G48" s="156"/>
      <c r="H48" s="156"/>
    </row>
    <row r="49" spans="1:8" x14ac:dyDescent="0.2">
      <c r="A49" s="153"/>
      <c r="B49" s="153"/>
      <c r="C49" s="153"/>
      <c r="D49" s="153"/>
      <c r="E49" s="153"/>
      <c r="F49" s="153" t="s">
        <v>2</v>
      </c>
      <c r="G49" s="153"/>
      <c r="H49" s="153"/>
    </row>
    <row r="50" spans="1:8" x14ac:dyDescent="0.2">
      <c r="A50" s="225"/>
      <c r="B50" s="153"/>
      <c r="C50" s="153"/>
      <c r="D50" s="153"/>
      <c r="E50" s="153"/>
      <c r="F50" s="153"/>
      <c r="G50" s="153"/>
      <c r="H50" s="153"/>
    </row>
    <row r="51" spans="1:8" x14ac:dyDescent="0.2">
      <c r="A51" s="153"/>
      <c r="B51" s="153"/>
      <c r="C51" s="153"/>
      <c r="D51" s="153"/>
      <c r="E51" s="153"/>
      <c r="F51" s="163" t="s">
        <v>1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63" t="s">
        <v>0</v>
      </c>
      <c r="G52" s="153"/>
      <c r="H52" s="153"/>
    </row>
    <row r="53" spans="1:8" x14ac:dyDescent="0.2">
      <c r="A53" s="153"/>
      <c r="B53" s="153"/>
      <c r="C53" s="153"/>
      <c r="D53" s="153"/>
      <c r="E53" s="153"/>
      <c r="F53" s="153"/>
      <c r="G53" s="153"/>
      <c r="H53" s="153"/>
    </row>
    <row r="54" spans="1:8" x14ac:dyDescent="0.2">
      <c r="A54" s="153"/>
      <c r="B54" s="153"/>
      <c r="C54" s="153"/>
      <c r="D54" s="153"/>
      <c r="E54" s="153"/>
      <c r="F54" s="153"/>
      <c r="G54" s="153"/>
      <c r="H54" s="153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3C20-58E4-4D8B-BC6D-DF4A94A3F6B4}">
  <sheetPr codeName="Sheet769"/>
  <dimension ref="A1:O56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15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5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5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5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15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15" x14ac:dyDescent="0.2">
      <c r="A9" s="153"/>
      <c r="B9" s="153"/>
      <c r="C9" s="153"/>
      <c r="D9" s="153"/>
      <c r="E9" s="153"/>
      <c r="F9" s="155" t="s">
        <v>1517</v>
      </c>
      <c r="G9" s="153" t="s">
        <v>8626</v>
      </c>
      <c r="H9" s="153"/>
    </row>
    <row r="10" spans="1:15" x14ac:dyDescent="0.2">
      <c r="A10" s="153" t="s">
        <v>8444</v>
      </c>
      <c r="B10" s="153"/>
      <c r="C10" s="153"/>
      <c r="D10" s="153"/>
      <c r="E10" s="153"/>
      <c r="F10" s="155" t="s">
        <v>1357</v>
      </c>
      <c r="G10" s="155" t="s">
        <v>8628</v>
      </c>
      <c r="H10" s="153"/>
    </row>
    <row r="11" spans="1:15" x14ac:dyDescent="0.2">
      <c r="A11" s="153" t="s">
        <v>8445</v>
      </c>
      <c r="B11" s="153"/>
      <c r="C11" s="153"/>
      <c r="D11" s="153"/>
      <c r="E11" s="153"/>
      <c r="F11" s="155" t="s">
        <v>1330</v>
      </c>
      <c r="G11" s="155" t="s">
        <v>2625</v>
      </c>
      <c r="H11" s="153"/>
    </row>
    <row r="12" spans="1:15" x14ac:dyDescent="0.2">
      <c r="A12" s="153" t="s">
        <v>1404</v>
      </c>
      <c r="B12" s="153"/>
      <c r="C12" s="153"/>
      <c r="D12" s="153"/>
      <c r="E12" s="153"/>
      <c r="F12" s="155" t="s">
        <v>1377</v>
      </c>
      <c r="G12" s="155" t="s">
        <v>8627</v>
      </c>
      <c r="H12" s="153"/>
      <c r="K12" s="169"/>
      <c r="L12" s="169"/>
      <c r="M12" s="153"/>
      <c r="N12" s="153"/>
      <c r="O12" s="153"/>
    </row>
    <row r="13" spans="1:15" x14ac:dyDescent="0.2">
      <c r="A13" s="153" t="s">
        <v>8446</v>
      </c>
      <c r="B13" s="153"/>
      <c r="C13" s="153"/>
      <c r="D13" s="153"/>
      <c r="E13" s="153"/>
      <c r="F13" s="153"/>
      <c r="G13" s="153" t="s">
        <v>7762</v>
      </c>
      <c r="H13" s="153"/>
      <c r="K13" s="153"/>
      <c r="L13" s="153"/>
      <c r="O13" s="153"/>
    </row>
    <row r="14" spans="1:15" x14ac:dyDescent="0.2">
      <c r="A14" s="153"/>
      <c r="B14" s="153"/>
      <c r="C14" s="153"/>
      <c r="D14" s="153"/>
      <c r="E14" s="153"/>
      <c r="F14" s="153"/>
      <c r="G14" s="153"/>
      <c r="H14" s="153"/>
      <c r="K14" s="153"/>
      <c r="L14" s="153"/>
      <c r="M14" s="153"/>
      <c r="N14" s="153"/>
      <c r="O14" s="153"/>
    </row>
    <row r="15" spans="1:15" x14ac:dyDescent="0.2">
      <c r="A15" s="153"/>
      <c r="B15" s="153"/>
      <c r="C15" s="153"/>
      <c r="D15" s="153"/>
      <c r="E15" s="153"/>
      <c r="F15" s="153"/>
      <c r="G15" s="153"/>
      <c r="H15" s="153"/>
      <c r="K15" s="153"/>
      <c r="L15" s="153"/>
      <c r="O15" s="153"/>
    </row>
    <row r="16" spans="1:15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79"/>
      <c r="B18" s="153"/>
      <c r="C18" s="153"/>
      <c r="D18" s="163" t="s">
        <v>8447</v>
      </c>
      <c r="E18" s="163"/>
      <c r="F18" s="153"/>
      <c r="G18" s="153"/>
      <c r="H18" s="153"/>
    </row>
    <row r="19" spans="1:8" x14ac:dyDescent="0.2">
      <c r="A19" s="153"/>
      <c r="B19" s="153"/>
      <c r="C19" s="153"/>
      <c r="D19" s="163"/>
      <c r="E19" s="163"/>
      <c r="F19" s="153"/>
      <c r="G19" s="153"/>
      <c r="H19" s="153"/>
    </row>
    <row r="20" spans="1:8" x14ac:dyDescent="0.2">
      <c r="A20" s="187" t="s">
        <v>8629</v>
      </c>
      <c r="B20" s="168" t="s">
        <v>8630</v>
      </c>
      <c r="C20" s="153"/>
      <c r="D20" s="169" t="s">
        <v>8632</v>
      </c>
      <c r="E20" s="169"/>
      <c r="F20" s="153"/>
      <c r="G20" s="153"/>
      <c r="H20" s="153">
        <v>2200</v>
      </c>
    </row>
    <row r="21" spans="1:8" x14ac:dyDescent="0.2">
      <c r="A21" s="199"/>
      <c r="B21" s="153" t="s">
        <v>8631</v>
      </c>
      <c r="C21" s="153"/>
      <c r="D21" s="153"/>
      <c r="E21" s="153"/>
      <c r="H21" s="153"/>
    </row>
    <row r="22" spans="1:8" x14ac:dyDescent="0.2">
      <c r="A22" s="179"/>
      <c r="B22" s="267"/>
      <c r="C22" s="267"/>
      <c r="D22" s="153"/>
      <c r="E22" s="153"/>
      <c r="F22" s="153"/>
      <c r="G22" s="153"/>
      <c r="H22" s="153"/>
    </row>
    <row r="23" spans="1:8" x14ac:dyDescent="0.2">
      <c r="D23" s="153"/>
      <c r="E23" s="153"/>
      <c r="H23" s="153"/>
    </row>
    <row r="24" spans="1:8" x14ac:dyDescent="0.2">
      <c r="A24" s="198"/>
      <c r="B24" s="153"/>
      <c r="C24" s="153"/>
      <c r="D24" s="153"/>
      <c r="H24" s="153"/>
    </row>
    <row r="25" spans="1:8" x14ac:dyDescent="0.2">
      <c r="A25" s="199"/>
      <c r="B25" s="153"/>
      <c r="C25" s="153"/>
      <c r="D25" s="153"/>
      <c r="E25" s="153"/>
      <c r="H25" s="153"/>
    </row>
    <row r="26" spans="1:8" x14ac:dyDescent="0.2">
      <c r="A26" s="179"/>
    </row>
    <row r="27" spans="1:8" x14ac:dyDescent="0.2">
      <c r="B27" s="153"/>
      <c r="C27" s="153"/>
      <c r="D27" s="153"/>
      <c r="E27" s="153"/>
      <c r="H27" s="153"/>
    </row>
    <row r="28" spans="1:8" x14ac:dyDescent="0.2">
      <c r="A28" s="198"/>
      <c r="B28" s="153"/>
      <c r="C28" s="153"/>
      <c r="D28" s="163"/>
      <c r="E28" s="163"/>
      <c r="H28" s="153"/>
    </row>
    <row r="29" spans="1:8" x14ac:dyDescent="0.2">
      <c r="A29" s="199"/>
      <c r="B29" s="153"/>
      <c r="C29" s="153"/>
      <c r="D29" s="153"/>
      <c r="E29" s="153"/>
      <c r="H29" s="153"/>
    </row>
    <row r="30" spans="1:8" x14ac:dyDescent="0.2">
      <c r="A30" s="198"/>
      <c r="B30" s="153"/>
      <c r="C30" s="153"/>
      <c r="D30" s="153"/>
      <c r="E30" s="153"/>
      <c r="H30" s="153"/>
    </row>
    <row r="31" spans="1:8" x14ac:dyDescent="0.2">
      <c r="A31" s="199"/>
      <c r="B31" s="153"/>
      <c r="C31" s="153"/>
      <c r="D31" s="163"/>
      <c r="E31" s="163"/>
      <c r="H31" s="153"/>
    </row>
    <row r="32" spans="1:8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423">
        <f>SUM(H19:H34)</f>
        <v>2200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Two Hundred and NO/100 -----------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1-000000000000}">
  <sheetPr codeName="Sheet446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3.8554687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91" t="s">
        <v>3034</v>
      </c>
      <c r="B9" s="153"/>
      <c r="C9" s="153"/>
      <c r="D9" s="155" t="s">
        <v>1517</v>
      </c>
      <c r="E9" s="91" t="s">
        <v>4581</v>
      </c>
      <c r="F9" s="153"/>
    </row>
    <row r="10" spans="1:6" x14ac:dyDescent="0.2">
      <c r="A10" s="153" t="s">
        <v>4570</v>
      </c>
      <c r="B10" s="153"/>
      <c r="C10" s="153"/>
      <c r="D10" s="155" t="s">
        <v>1357</v>
      </c>
      <c r="E10" s="98" t="s">
        <v>4561</v>
      </c>
      <c r="F10" s="153"/>
    </row>
    <row r="11" spans="1:6" x14ac:dyDescent="0.2">
      <c r="A11" s="153" t="s">
        <v>4571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124</v>
      </c>
      <c r="B12" s="153"/>
      <c r="C12" s="153"/>
      <c r="D12" s="155" t="s">
        <v>1377</v>
      </c>
      <c r="E12" s="94" t="s">
        <v>4569</v>
      </c>
      <c r="F12" s="153"/>
    </row>
    <row r="13" spans="1:6" x14ac:dyDescent="0.2">
      <c r="A13" s="153" t="s">
        <v>1314</v>
      </c>
      <c r="B13" s="153"/>
      <c r="C13" s="153"/>
      <c r="D13" s="153"/>
      <c r="E13" s="153"/>
      <c r="F13" s="153"/>
    </row>
    <row r="14" spans="1:6" x14ac:dyDescent="0.2">
      <c r="A14" s="153" t="s">
        <v>3037</v>
      </c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68"/>
      <c r="B18" s="173"/>
      <c r="C18" s="245" t="s">
        <v>4572</v>
      </c>
      <c r="F18" s="153"/>
    </row>
    <row r="19" spans="1:6" x14ac:dyDescent="0.2">
      <c r="C19" s="175"/>
    </row>
    <row r="20" spans="1:6" x14ac:dyDescent="0.2">
      <c r="A20" s="168" t="s">
        <v>4573</v>
      </c>
      <c r="B20" s="265" t="s">
        <v>4574</v>
      </c>
      <c r="C20" s="175" t="s">
        <v>4575</v>
      </c>
      <c r="D20" s="153"/>
      <c r="E20" s="153"/>
      <c r="F20" s="153">
        <v>200</v>
      </c>
    </row>
    <row r="21" spans="1:6" x14ac:dyDescent="0.2">
      <c r="A21" s="168"/>
      <c r="B21" s="175"/>
      <c r="C21" s="153"/>
      <c r="D21" s="153"/>
      <c r="E21" s="153"/>
      <c r="F21" s="153"/>
    </row>
    <row r="22" spans="1:6" x14ac:dyDescent="0.2">
      <c r="A22" s="168"/>
      <c r="B22" s="175"/>
      <c r="C22" s="163" t="s">
        <v>4576</v>
      </c>
      <c r="D22" s="153"/>
      <c r="E22" s="153"/>
      <c r="F22" s="153"/>
    </row>
    <row r="23" spans="1:6" x14ac:dyDescent="0.2">
      <c r="A23" s="168"/>
      <c r="B23" s="175"/>
      <c r="C23" s="153"/>
      <c r="D23" s="153"/>
      <c r="E23" s="153"/>
      <c r="F23" s="153"/>
    </row>
    <row r="24" spans="1:6" x14ac:dyDescent="0.2">
      <c r="A24" s="168" t="s">
        <v>4489</v>
      </c>
      <c r="B24" s="266" t="s">
        <v>4490</v>
      </c>
      <c r="C24" s="175" t="s">
        <v>4575</v>
      </c>
      <c r="D24" s="153"/>
      <c r="E24" s="153"/>
      <c r="F24" s="153">
        <v>200</v>
      </c>
    </row>
    <row r="25" spans="1:6" x14ac:dyDescent="0.2">
      <c r="A25" s="168"/>
      <c r="B25" s="155"/>
      <c r="C25" s="153"/>
      <c r="D25" s="153"/>
      <c r="E25" s="153"/>
      <c r="F25" s="153"/>
    </row>
    <row r="26" spans="1:6" x14ac:dyDescent="0.2">
      <c r="A26" s="168"/>
      <c r="B26" s="155"/>
      <c r="C26" s="153"/>
      <c r="D26" s="153"/>
      <c r="E26" s="153"/>
      <c r="F26" s="153"/>
    </row>
    <row r="27" spans="1:6" x14ac:dyDescent="0.2">
      <c r="A27" s="168"/>
      <c r="B27" s="155"/>
      <c r="C27" s="153"/>
      <c r="D27" s="153"/>
      <c r="E27" s="153"/>
      <c r="F27" s="153"/>
    </row>
    <row r="28" spans="1:6" x14ac:dyDescent="0.2">
      <c r="A28" s="168"/>
      <c r="B28" s="155"/>
      <c r="C28" s="153"/>
      <c r="D28" s="153"/>
      <c r="E28" s="153"/>
      <c r="F28" s="153"/>
    </row>
    <row r="29" spans="1:6" x14ac:dyDescent="0.2">
      <c r="A29" s="168"/>
      <c r="B29" s="169"/>
      <c r="C29" s="163"/>
      <c r="D29" s="153"/>
      <c r="E29" s="153"/>
      <c r="F29" s="153"/>
    </row>
    <row r="30" spans="1:6" x14ac:dyDescent="0.2">
      <c r="A30" s="153"/>
      <c r="B30" s="169"/>
      <c r="C30" s="153"/>
      <c r="D30" s="153"/>
      <c r="E30" s="153"/>
      <c r="F30" s="153"/>
    </row>
    <row r="31" spans="1:6" x14ac:dyDescent="0.2">
      <c r="A31" s="168"/>
      <c r="B31" s="168"/>
      <c r="C31" s="153"/>
      <c r="D31" s="153"/>
      <c r="E31" s="153"/>
      <c r="F31" s="153"/>
    </row>
    <row r="32" spans="1:6" x14ac:dyDescent="0.2">
      <c r="A32" s="153"/>
      <c r="B32" s="153"/>
      <c r="C32" s="153"/>
      <c r="D32" s="153"/>
      <c r="E32" s="153"/>
      <c r="F32" s="153"/>
    </row>
    <row r="33" spans="1:6" ht="13.5" thickBot="1" x14ac:dyDescent="0.25">
      <c r="A33" s="153"/>
      <c r="B33" s="153"/>
      <c r="C33" s="153"/>
      <c r="D33" s="153"/>
      <c r="E33" s="153"/>
      <c r="F33" s="170">
        <f>SUM(F18:F32)</f>
        <v>400</v>
      </c>
    </row>
    <row r="34" spans="1:6" ht="13.5" thickTop="1" x14ac:dyDescent="0.2">
      <c r="A34" s="153"/>
      <c r="B34" s="153"/>
      <c r="C34" s="153"/>
      <c r="D34" s="153"/>
      <c r="E34" s="153"/>
      <c r="F34" s="153"/>
    </row>
    <row r="35" spans="1:6" ht="20.100000000000001" customHeight="1" x14ac:dyDescent="0.2">
      <c r="A35" s="171" t="s">
        <v>122</v>
      </c>
      <c r="B35" s="213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Hundred and NO/100 -----------</v>
      </c>
      <c r="C35" s="172"/>
      <c r="D35" s="172"/>
      <c r="E35" s="172"/>
      <c r="F35" s="172"/>
    </row>
    <row r="36" spans="1:6" x14ac:dyDescent="0.2">
      <c r="A36" s="169" t="s">
        <v>11</v>
      </c>
      <c r="B36" s="153"/>
      <c r="C36" s="153"/>
      <c r="D36" s="153"/>
      <c r="E36" s="153"/>
      <c r="F36" s="153"/>
    </row>
    <row r="37" spans="1:6" x14ac:dyDescent="0.2">
      <c r="A37" s="153" t="s">
        <v>10</v>
      </c>
      <c r="B37" s="153"/>
      <c r="C37" s="153"/>
      <c r="D37" s="153"/>
      <c r="E37" s="153"/>
      <c r="F37" s="153"/>
    </row>
    <row r="38" spans="1:6" x14ac:dyDescent="0.2">
      <c r="A38" s="153"/>
      <c r="B38" s="153"/>
      <c r="C38" s="153"/>
      <c r="D38" s="153"/>
      <c r="E38" s="153"/>
      <c r="F38" s="153"/>
    </row>
    <row r="39" spans="1:6" ht="25.5" x14ac:dyDescent="0.2">
      <c r="A39" s="156"/>
      <c r="B39" s="153"/>
      <c r="C39" s="153"/>
      <c r="D39" s="242" t="s">
        <v>3975</v>
      </c>
      <c r="E39" s="243"/>
      <c r="F39" s="244"/>
    </row>
    <row r="40" spans="1:6" x14ac:dyDescent="0.2">
      <c r="A40" s="153"/>
      <c r="B40" s="153"/>
      <c r="C40" s="173"/>
      <c r="D40" s="153"/>
      <c r="E40" s="153"/>
      <c r="F40" s="153"/>
    </row>
    <row r="41" spans="1:6" x14ac:dyDescent="0.2">
      <c r="A41" s="174"/>
      <c r="B41" s="174"/>
      <c r="C41" s="153"/>
      <c r="D41" s="153"/>
      <c r="E41" s="153"/>
      <c r="F41" s="153"/>
    </row>
    <row r="42" spans="1:6" x14ac:dyDescent="0.2">
      <c r="B42" s="153"/>
      <c r="C42" s="153"/>
      <c r="D42" s="153"/>
      <c r="E42" s="153"/>
      <c r="F42" s="153"/>
    </row>
    <row r="43" spans="1:6" x14ac:dyDescent="0.2">
      <c r="A43" s="175" t="s">
        <v>8</v>
      </c>
      <c r="C43" s="153"/>
      <c r="D43" s="175" t="s">
        <v>7</v>
      </c>
      <c r="E43" s="153"/>
      <c r="F43" s="176"/>
    </row>
    <row r="44" spans="1:6" x14ac:dyDescent="0.2">
      <c r="A44" s="153"/>
      <c r="B44" s="153"/>
      <c r="C44" s="153"/>
      <c r="D44" s="153"/>
      <c r="E44" s="153"/>
      <c r="F44" s="153"/>
    </row>
    <row r="45" spans="1:6" x14ac:dyDescent="0.2">
      <c r="A45" s="153"/>
      <c r="B45" s="153"/>
      <c r="C45" s="153"/>
      <c r="D45" s="153"/>
      <c r="E45" s="153"/>
      <c r="F45" s="153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74"/>
      <c r="B47" s="174"/>
      <c r="C47" s="153"/>
      <c r="D47" s="174"/>
      <c r="E47" s="174"/>
      <c r="F47" s="174"/>
    </row>
    <row r="48" spans="1:6" s="178" customFormat="1" ht="17.100000000000001" customHeight="1" x14ac:dyDescent="0.2">
      <c r="A48" s="225" t="s">
        <v>4066</v>
      </c>
      <c r="B48" s="177"/>
      <c r="C48" s="156"/>
      <c r="D48" s="156" t="s">
        <v>3</v>
      </c>
      <c r="E48" s="156"/>
      <c r="F48" s="156"/>
    </row>
    <row r="49" spans="1:6" x14ac:dyDescent="0.2">
      <c r="A49" s="153"/>
      <c r="B49" s="153"/>
      <c r="C49" s="153"/>
      <c r="D49" s="153" t="s">
        <v>2</v>
      </c>
      <c r="E49" s="153"/>
      <c r="F49" s="153"/>
    </row>
    <row r="50" spans="1:6" x14ac:dyDescent="0.2">
      <c r="A50" s="225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5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1-000000000000}">
  <sheetPr codeName="Sheet447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4519</v>
      </c>
    </row>
    <row r="10" spans="1:6" x14ac:dyDescent="0.2">
      <c r="A10" s="91" t="s">
        <v>4521</v>
      </c>
      <c r="D10" s="92" t="s">
        <v>1357</v>
      </c>
      <c r="E10" s="98" t="s">
        <v>4486</v>
      </c>
    </row>
    <row r="11" spans="1:6" x14ac:dyDescent="0.2">
      <c r="A11" s="91" t="s">
        <v>4522</v>
      </c>
      <c r="D11" s="92" t="s">
        <v>1330</v>
      </c>
      <c r="E11" s="92" t="s">
        <v>1220</v>
      </c>
    </row>
    <row r="12" spans="1:6" x14ac:dyDescent="0.2">
      <c r="A12" s="91" t="s">
        <v>4523</v>
      </c>
      <c r="D12" s="92" t="s">
        <v>1224</v>
      </c>
      <c r="E12" s="94" t="s">
        <v>4520</v>
      </c>
    </row>
    <row r="13" spans="1:6" x14ac:dyDescent="0.2">
      <c r="A13" s="91" t="s">
        <v>4524</v>
      </c>
    </row>
    <row r="14" spans="1:6" x14ac:dyDescent="0.2">
      <c r="A14" s="91" t="s">
        <v>4525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14" t="s">
        <v>4526</v>
      </c>
    </row>
    <row r="19" spans="1:6" x14ac:dyDescent="0.2">
      <c r="C19" s="14"/>
    </row>
    <row r="20" spans="1:6" x14ac:dyDescent="0.2">
      <c r="A20" s="93" t="s">
        <v>4528</v>
      </c>
      <c r="B20" s="93" t="s">
        <v>4527</v>
      </c>
      <c r="C20" s="61" t="s">
        <v>4529</v>
      </c>
      <c r="F20" s="91">
        <f>700+270</f>
        <v>970</v>
      </c>
    </row>
    <row r="21" spans="1:6" x14ac:dyDescent="0.2">
      <c r="C21" s="61" t="s">
        <v>1987</v>
      </c>
      <c r="F21" s="91">
        <v>320</v>
      </c>
    </row>
    <row r="22" spans="1:6" x14ac:dyDescent="0.2">
      <c r="A22" s="93"/>
      <c r="B22" s="99"/>
      <c r="C22" s="61" t="s">
        <v>4530</v>
      </c>
      <c r="F22" s="91">
        <v>200</v>
      </c>
    </row>
    <row r="24" spans="1:6" x14ac:dyDescent="0.2">
      <c r="A24" s="93"/>
      <c r="B24" s="93"/>
    </row>
    <row r="26" spans="1:6" x14ac:dyDescent="0.2">
      <c r="A26" s="99"/>
      <c r="B26" s="93"/>
    </row>
    <row r="27" spans="1:6" x14ac:dyDescent="0.2">
      <c r="A27" s="99"/>
      <c r="B27" s="93"/>
    </row>
    <row r="28" spans="1:6" x14ac:dyDescent="0.2">
      <c r="A28" s="99"/>
      <c r="B28" s="93"/>
    </row>
    <row r="29" spans="1:6" x14ac:dyDescent="0.2">
      <c r="A29" s="93"/>
      <c r="B29" s="93"/>
    </row>
    <row r="30" spans="1:6" x14ac:dyDescent="0.2">
      <c r="A30" s="99"/>
      <c r="B30" s="99"/>
    </row>
    <row r="31" spans="1:6" x14ac:dyDescent="0.2">
      <c r="A31" s="93"/>
      <c r="B31" s="93"/>
      <c r="C31" s="2"/>
    </row>
    <row r="32" spans="1:6" x14ac:dyDescent="0.2">
      <c r="F32" s="2"/>
    </row>
    <row r="33" spans="1:6" x14ac:dyDescent="0.2">
      <c r="A33" s="93"/>
      <c r="B33" s="93"/>
    </row>
    <row r="34" spans="1:6" x14ac:dyDescent="0.2">
      <c r="B34" s="94"/>
    </row>
    <row r="36" spans="1:6" ht="13.5" thickBot="1" x14ac:dyDescent="0.25">
      <c r="F36" s="95">
        <f>SUM(F18:F35)</f>
        <v>1490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Four Hundred Ninety and NO/100 -----------</v>
      </c>
      <c r="C38" s="97"/>
      <c r="D38" s="97"/>
      <c r="E38" s="97"/>
      <c r="F38" s="97"/>
    </row>
    <row r="39" spans="1:6" x14ac:dyDescent="0.2">
      <c r="A39" s="94"/>
    </row>
    <row r="40" spans="1:6" ht="25.5" x14ac:dyDescent="0.2">
      <c r="A40" s="98" t="s">
        <v>10</v>
      </c>
      <c r="D40" s="218" t="s">
        <v>3975</v>
      </c>
      <c r="E40" s="219"/>
      <c r="F40" s="220"/>
    </row>
    <row r="41" spans="1:6" x14ac:dyDescent="0.2">
      <c r="A41" s="98"/>
    </row>
    <row r="42" spans="1:6" x14ac:dyDescent="0.2">
      <c r="A42" s="98"/>
      <c r="D42" s="227"/>
      <c r="E42" s="227"/>
      <c r="F42" s="227"/>
    </row>
    <row r="43" spans="1:6" x14ac:dyDescent="0.2">
      <c r="A43" s="98"/>
      <c r="C43" s="99"/>
      <c r="D43" s="228"/>
      <c r="E43" s="229"/>
      <c r="F43" s="229"/>
    </row>
    <row r="44" spans="1:6" x14ac:dyDescent="0.2">
      <c r="A44" s="101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/>
    </row>
    <row r="48" spans="1:6" x14ac:dyDescent="0.2">
      <c r="A48" s="98"/>
    </row>
    <row r="49" spans="1:6" x14ac:dyDescent="0.2">
      <c r="A49" s="98"/>
    </row>
    <row r="50" spans="1:6" x14ac:dyDescent="0.2">
      <c r="A50" s="100"/>
      <c r="B50" s="101"/>
      <c r="D50" s="101"/>
      <c r="E50" s="101"/>
      <c r="F50" s="101"/>
    </row>
    <row r="51" spans="1:6" s="61" customFormat="1" ht="17.100000000000001" customHeight="1" x14ac:dyDescent="0.2">
      <c r="A51" s="98" t="s">
        <v>4066</v>
      </c>
      <c r="B51" s="104"/>
      <c r="D51" s="61" t="s">
        <v>3</v>
      </c>
    </row>
    <row r="52" spans="1:6" x14ac:dyDescent="0.2">
      <c r="A52" s="98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5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1-000000000000}">
  <sheetPr codeName="Sheet448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5825</v>
      </c>
    </row>
    <row r="10" spans="1:6" x14ac:dyDescent="0.2">
      <c r="A10" s="91" t="s">
        <v>4456</v>
      </c>
      <c r="D10" s="92" t="s">
        <v>1357</v>
      </c>
      <c r="E10" s="92" t="s">
        <v>5812</v>
      </c>
    </row>
    <row r="11" spans="1:6" x14ac:dyDescent="0.2">
      <c r="A11" s="91" t="s">
        <v>4457</v>
      </c>
      <c r="D11" s="92" t="s">
        <v>1330</v>
      </c>
      <c r="E11" s="92" t="s">
        <v>1220</v>
      </c>
    </row>
    <row r="12" spans="1:6" x14ac:dyDescent="0.2">
      <c r="A12" s="91" t="s">
        <v>4458</v>
      </c>
      <c r="D12" s="92" t="s">
        <v>1224</v>
      </c>
      <c r="E12" s="94" t="s">
        <v>5826</v>
      </c>
    </row>
    <row r="13" spans="1:6" x14ac:dyDescent="0.2">
      <c r="A13" s="91" t="s">
        <v>4459</v>
      </c>
    </row>
    <row r="14" spans="1:6" x14ac:dyDescent="0.2">
      <c r="A14" s="91" t="s">
        <v>123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4449</v>
      </c>
    </row>
    <row r="19" spans="1:6" x14ac:dyDescent="0.2">
      <c r="A19" s="94"/>
      <c r="B19" s="240"/>
    </row>
    <row r="20" spans="1:6" x14ac:dyDescent="0.2">
      <c r="A20" s="92" t="s">
        <v>4249</v>
      </c>
      <c r="B20" s="195"/>
      <c r="C20" s="153" t="s">
        <v>5827</v>
      </c>
      <c r="F20" s="91">
        <v>2000</v>
      </c>
    </row>
    <row r="21" spans="1:6" x14ac:dyDescent="0.2">
      <c r="A21" s="93"/>
      <c r="B21" s="195"/>
      <c r="C21" s="153" t="s">
        <v>5828</v>
      </c>
    </row>
    <row r="22" spans="1:6" x14ac:dyDescent="0.2">
      <c r="A22" s="168"/>
      <c r="B22" s="168"/>
      <c r="C22" s="153"/>
      <c r="D22" s="153"/>
      <c r="E22" s="153"/>
      <c r="F22" s="153"/>
    </row>
    <row r="23" spans="1:6" x14ac:dyDescent="0.2">
      <c r="A23" s="93"/>
      <c r="B23" s="195"/>
    </row>
    <row r="24" spans="1:6" x14ac:dyDescent="0.2">
      <c r="A24" s="93"/>
      <c r="B24" s="195"/>
    </row>
    <row r="25" spans="1:6" x14ac:dyDescent="0.2">
      <c r="B25" s="191"/>
    </row>
    <row r="26" spans="1:6" x14ac:dyDescent="0.2">
      <c r="A26" s="93"/>
      <c r="B26" s="240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2000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1-000000000000}">
  <sheetPr codeName="Sheet449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5.5703125" style="91" customWidth="1"/>
    <col min="2" max="2" width="14.42578125" style="91" customWidth="1"/>
    <col min="3" max="3" width="0.85546875" style="91" customWidth="1"/>
    <col min="4" max="4" width="20" style="91" customWidth="1"/>
    <col min="5" max="5" width="1" style="91" customWidth="1"/>
    <col min="6" max="6" width="17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7651</v>
      </c>
    </row>
    <row r="10" spans="1:8" x14ac:dyDescent="0.2">
      <c r="A10" s="91" t="s">
        <v>6097</v>
      </c>
      <c r="F10" s="92" t="s">
        <v>1357</v>
      </c>
      <c r="G10" s="92" t="s">
        <v>7643</v>
      </c>
    </row>
    <row r="11" spans="1:8" x14ac:dyDescent="0.2">
      <c r="A11" s="91" t="s">
        <v>4447</v>
      </c>
      <c r="F11" s="92" t="s">
        <v>1330</v>
      </c>
      <c r="G11" s="92" t="s">
        <v>1220</v>
      </c>
    </row>
    <row r="12" spans="1:8" x14ac:dyDescent="0.2">
      <c r="A12" s="91" t="s">
        <v>1245</v>
      </c>
      <c r="F12" s="92" t="s">
        <v>1224</v>
      </c>
      <c r="G12" s="92" t="s">
        <v>7652</v>
      </c>
    </row>
    <row r="13" spans="1:8" x14ac:dyDescent="0.2">
      <c r="A13" s="91" t="s">
        <v>4448</v>
      </c>
      <c r="G13" s="153" t="s">
        <v>6823</v>
      </c>
    </row>
    <row r="16" spans="1:8" s="14" customFormat="1" ht="20.100000000000001" customHeight="1" x14ac:dyDescent="0.2">
      <c r="A16" s="17" t="s">
        <v>1261</v>
      </c>
      <c r="B16" s="31" t="s">
        <v>1262</v>
      </c>
      <c r="C16" s="427"/>
      <c r="D16" s="18" t="s">
        <v>19</v>
      </c>
      <c r="E16" s="18"/>
      <c r="F16" s="17"/>
      <c r="G16" s="16"/>
      <c r="H16" s="15" t="s">
        <v>18</v>
      </c>
    </row>
    <row r="18" spans="1:8" ht="12.75" customHeight="1" x14ac:dyDescent="0.2">
      <c r="A18" s="93"/>
      <c r="B18" s="240"/>
      <c r="C18" s="240"/>
      <c r="D18" s="2" t="s">
        <v>7649</v>
      </c>
      <c r="E18" s="2"/>
    </row>
    <row r="19" spans="1:8" x14ac:dyDescent="0.2">
      <c r="A19" s="94"/>
      <c r="B19" s="240"/>
      <c r="C19" s="240"/>
    </row>
    <row r="20" spans="1:8" x14ac:dyDescent="0.2">
      <c r="C20" s="195"/>
      <c r="D20" s="163" t="s">
        <v>7650</v>
      </c>
      <c r="E20" s="153"/>
    </row>
    <row r="21" spans="1:8" x14ac:dyDescent="0.2">
      <c r="A21" s="93" t="s">
        <v>7604</v>
      </c>
      <c r="B21" s="195" t="s">
        <v>7655</v>
      </c>
      <c r="C21" s="195"/>
      <c r="D21" s="153" t="s">
        <v>7653</v>
      </c>
      <c r="E21" s="153"/>
      <c r="H21" s="91">
        <v>2000</v>
      </c>
    </row>
    <row r="22" spans="1:8" x14ac:dyDescent="0.2">
      <c r="C22" s="168"/>
      <c r="D22" s="153" t="s">
        <v>7654</v>
      </c>
      <c r="E22" s="153"/>
      <c r="F22" s="153"/>
      <c r="G22" s="153"/>
      <c r="H22" s="153"/>
    </row>
    <row r="23" spans="1:8" x14ac:dyDescent="0.2">
      <c r="A23" s="92"/>
      <c r="B23" s="195"/>
      <c r="C23" s="195"/>
      <c r="D23" s="153"/>
      <c r="E23" s="153"/>
    </row>
    <row r="24" spans="1:8" x14ac:dyDescent="0.2">
      <c r="A24" s="93"/>
      <c r="B24" s="195"/>
      <c r="C24" s="195"/>
      <c r="D24" s="153"/>
      <c r="E24" s="153"/>
    </row>
    <row r="25" spans="1:8" x14ac:dyDescent="0.2">
      <c r="B25" s="191"/>
      <c r="C25" s="191"/>
    </row>
    <row r="26" spans="1:8" x14ac:dyDescent="0.2">
      <c r="A26" s="93"/>
      <c r="B26" s="240"/>
      <c r="C26" s="240"/>
      <c r="D26" s="153"/>
      <c r="E26" s="153"/>
    </row>
    <row r="27" spans="1:8" x14ac:dyDescent="0.2">
      <c r="A27" s="94"/>
      <c r="B27" s="240"/>
      <c r="C27" s="240"/>
    </row>
    <row r="28" spans="1:8" x14ac:dyDescent="0.2">
      <c r="A28" s="93"/>
      <c r="B28" s="195"/>
      <c r="C28" s="195"/>
    </row>
    <row r="31" spans="1:8" x14ac:dyDescent="0.2">
      <c r="H31" s="2"/>
    </row>
    <row r="32" spans="1:8" x14ac:dyDescent="0.2">
      <c r="B32" s="94"/>
      <c r="C32" s="94"/>
    </row>
    <row r="33" spans="1:8" x14ac:dyDescent="0.2">
      <c r="B33" s="94"/>
      <c r="C33" s="94"/>
    </row>
    <row r="35" spans="1:8" ht="13.5" thickBot="1" x14ac:dyDescent="0.25">
      <c r="H35" s="95">
        <f>SUM(H18:H34)</f>
        <v>2000</v>
      </c>
    </row>
    <row r="36" spans="1:8" ht="13.5" thickTop="1" x14ac:dyDescent="0.2"/>
    <row r="37" spans="1:8" ht="20.100000000000001" customHeight="1" x14ac:dyDescent="0.2">
      <c r="A37" s="96" t="s">
        <v>1075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8" t="s">
        <v>10</v>
      </c>
      <c r="F39" s="218" t="s">
        <v>3975</v>
      </c>
      <c r="G39" s="219"/>
      <c r="H39" s="220"/>
    </row>
    <row r="40" spans="1:8" x14ac:dyDescent="0.2">
      <c r="A40" s="98"/>
    </row>
    <row r="41" spans="1:8" x14ac:dyDescent="0.2">
      <c r="A41" s="98"/>
      <c r="F41" s="227"/>
      <c r="G41" s="227"/>
      <c r="H41" s="227"/>
    </row>
    <row r="42" spans="1:8" x14ac:dyDescent="0.2">
      <c r="A42" s="98"/>
      <c r="D42" s="99"/>
      <c r="E42" s="428"/>
      <c r="F42" s="228"/>
      <c r="G42" s="229"/>
      <c r="H42" s="229"/>
    </row>
    <row r="43" spans="1:8" x14ac:dyDescent="0.2">
      <c r="A43" s="101"/>
      <c r="B43" s="101"/>
      <c r="C43" s="386"/>
    </row>
    <row r="44" spans="1:8" x14ac:dyDescent="0.2">
      <c r="A44" s="98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C49" s="386"/>
      <c r="D49" s="100"/>
      <c r="F49" s="101"/>
      <c r="G49" s="101"/>
      <c r="H49" s="101"/>
    </row>
    <row r="50" spans="1:8" s="61" customFormat="1" ht="17.100000000000001" customHeight="1" x14ac:dyDescent="0.2">
      <c r="A50" s="98" t="s">
        <v>4066</v>
      </c>
      <c r="B50" s="104"/>
      <c r="C50" s="104"/>
      <c r="D50" s="98" t="s">
        <v>50</v>
      </c>
      <c r="F50" s="61" t="s">
        <v>3</v>
      </c>
    </row>
    <row r="51" spans="1:8" x14ac:dyDescent="0.2">
      <c r="A51" s="98"/>
      <c r="D51" s="98"/>
      <c r="F51" s="91" t="s">
        <v>2</v>
      </c>
    </row>
    <row r="52" spans="1:8" x14ac:dyDescent="0.2">
      <c r="A52" s="98"/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5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1-000000000000}">
  <sheetPr codeName="Sheet450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4206</v>
      </c>
    </row>
    <row r="10" spans="1:6" x14ac:dyDescent="0.2">
      <c r="A10" s="91" t="s">
        <v>4208</v>
      </c>
      <c r="D10" s="92" t="s">
        <v>1444</v>
      </c>
      <c r="E10" s="91" t="s">
        <v>4201</v>
      </c>
    </row>
    <row r="11" spans="1:6" x14ac:dyDescent="0.2">
      <c r="A11" s="91" t="s">
        <v>4209</v>
      </c>
      <c r="D11" s="92" t="s">
        <v>1431</v>
      </c>
      <c r="E11" s="91" t="s">
        <v>1220</v>
      </c>
    </row>
    <row r="12" spans="1:6" x14ac:dyDescent="0.2">
      <c r="D12" s="92" t="s">
        <v>1268</v>
      </c>
      <c r="E12" s="94" t="s">
        <v>4207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4210</v>
      </c>
    </row>
    <row r="20" spans="1:6" x14ac:dyDescent="0.2">
      <c r="A20" s="111"/>
      <c r="B20" s="201" t="s">
        <v>4211</v>
      </c>
      <c r="C20" s="91" t="s">
        <v>4212</v>
      </c>
      <c r="F20" s="110">
        <v>1500</v>
      </c>
    </row>
    <row r="21" spans="1:6" x14ac:dyDescent="0.2">
      <c r="A21" s="111"/>
      <c r="B21" s="93"/>
    </row>
    <row r="24" spans="1:6" x14ac:dyDescent="0.2">
      <c r="F24" s="110"/>
    </row>
    <row r="25" spans="1:6" x14ac:dyDescent="0.2">
      <c r="C25" s="2"/>
      <c r="F25" s="110"/>
    </row>
    <row r="26" spans="1:6" x14ac:dyDescent="0.2">
      <c r="F26" s="110"/>
    </row>
    <row r="27" spans="1:6" x14ac:dyDescent="0.2">
      <c r="C27" s="2"/>
      <c r="F27" s="110"/>
    </row>
    <row r="29" spans="1:6" x14ac:dyDescent="0.2">
      <c r="A29" s="111"/>
      <c r="B29" s="93"/>
    </row>
    <row r="31" spans="1:6" x14ac:dyDescent="0.2">
      <c r="A31" s="108"/>
    </row>
    <row r="35" spans="1:6" ht="13.5" thickBot="1" x14ac:dyDescent="0.25">
      <c r="F35" s="95">
        <f>SUM(F20:F33)</f>
        <v>1500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and NO/100 -----------</v>
      </c>
      <c r="C37" s="97"/>
      <c r="D37" s="222"/>
      <c r="E37" s="222"/>
      <c r="F37" s="97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1-000000000000}">
  <sheetPr codeName="Sheet452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6094</v>
      </c>
    </row>
    <row r="10" spans="1:6" x14ac:dyDescent="0.2">
      <c r="A10" s="91" t="s">
        <v>4450</v>
      </c>
      <c r="D10" s="92" t="s">
        <v>1357</v>
      </c>
      <c r="E10" s="98" t="s">
        <v>6060</v>
      </c>
    </row>
    <row r="11" spans="1:6" x14ac:dyDescent="0.2">
      <c r="A11" s="91" t="s">
        <v>4451</v>
      </c>
      <c r="D11" s="92" t="s">
        <v>1330</v>
      </c>
      <c r="E11" s="92" t="s">
        <v>1220</v>
      </c>
    </row>
    <row r="12" spans="1:6" x14ac:dyDescent="0.2">
      <c r="A12" s="91" t="s">
        <v>4452</v>
      </c>
      <c r="D12" s="92" t="s">
        <v>1224</v>
      </c>
      <c r="E12" s="94" t="s">
        <v>6095</v>
      </c>
    </row>
    <row r="13" spans="1:6" x14ac:dyDescent="0.2">
      <c r="A13" s="91" t="s">
        <v>1298</v>
      </c>
    </row>
    <row r="14" spans="1:6" x14ac:dyDescent="0.2">
      <c r="A14" s="91" t="s">
        <v>4453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4449</v>
      </c>
    </row>
    <row r="19" spans="1:6" x14ac:dyDescent="0.2">
      <c r="A19" s="94"/>
      <c r="B19" s="240"/>
    </row>
    <row r="20" spans="1:6" x14ac:dyDescent="0.2">
      <c r="A20" s="92"/>
      <c r="B20" s="195"/>
      <c r="C20" s="153" t="s">
        <v>6091</v>
      </c>
      <c r="F20" s="91">
        <v>1000</v>
      </c>
    </row>
    <row r="21" spans="1:6" x14ac:dyDescent="0.2">
      <c r="A21" s="93"/>
      <c r="B21" s="195"/>
      <c r="C21" s="153"/>
    </row>
    <row r="22" spans="1:6" x14ac:dyDescent="0.2">
      <c r="A22" s="168"/>
      <c r="B22" s="168"/>
      <c r="C22" s="153"/>
      <c r="D22" s="153"/>
      <c r="E22" s="153"/>
      <c r="F22" s="153"/>
    </row>
    <row r="23" spans="1:6" x14ac:dyDescent="0.2">
      <c r="A23" s="92"/>
      <c r="B23" s="195"/>
    </row>
    <row r="24" spans="1:6" x14ac:dyDescent="0.2">
      <c r="A24" s="93"/>
      <c r="B24" s="195"/>
    </row>
    <row r="25" spans="1:6" x14ac:dyDescent="0.2">
      <c r="B25" s="191"/>
    </row>
    <row r="26" spans="1:6" x14ac:dyDescent="0.2">
      <c r="A26" s="92"/>
      <c r="B26" s="240"/>
    </row>
    <row r="27" spans="1:6" x14ac:dyDescent="0.2">
      <c r="A27" s="94"/>
      <c r="B27" s="240"/>
    </row>
    <row r="28" spans="1:6" x14ac:dyDescent="0.2">
      <c r="A28" s="93"/>
      <c r="B28" s="195"/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1000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and NO/100 -----------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1-000000000000}">
  <sheetPr codeName="Sheet453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23" style="152" customWidth="1"/>
    <col min="4" max="4" width="13.8554687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4565</v>
      </c>
      <c r="F9" s="153"/>
    </row>
    <row r="10" spans="1:6" x14ac:dyDescent="0.2">
      <c r="A10" s="153" t="s">
        <v>4184</v>
      </c>
      <c r="B10" s="153"/>
      <c r="C10" s="153"/>
      <c r="D10" s="155" t="s">
        <v>1357</v>
      </c>
      <c r="E10" s="98" t="s">
        <v>4561</v>
      </c>
      <c r="F10" s="153"/>
    </row>
    <row r="11" spans="1:6" x14ac:dyDescent="0.2">
      <c r="A11" s="153" t="s">
        <v>4183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4182</v>
      </c>
      <c r="B12" s="153"/>
      <c r="C12" s="153"/>
      <c r="D12" s="155" t="s">
        <v>1377</v>
      </c>
      <c r="E12" s="94" t="s">
        <v>4566</v>
      </c>
      <c r="F12" s="153"/>
    </row>
    <row r="13" spans="1:6" x14ac:dyDescent="0.2">
      <c r="A13" s="153" t="s">
        <v>4181</v>
      </c>
      <c r="B13" s="153"/>
      <c r="C13" s="153"/>
      <c r="D13" s="153"/>
      <c r="E13" s="153"/>
      <c r="F13" s="153"/>
    </row>
    <row r="14" spans="1:6" x14ac:dyDescent="0.2">
      <c r="A14" s="153" t="s">
        <v>4180</v>
      </c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68" t="s">
        <v>4541</v>
      </c>
      <c r="B18" s="173" t="s">
        <v>4567</v>
      </c>
      <c r="C18" s="175" t="s">
        <v>4179</v>
      </c>
      <c r="F18" s="153">
        <v>1000</v>
      </c>
    </row>
    <row r="19" spans="1:6" x14ac:dyDescent="0.2">
      <c r="C19" s="175" t="s">
        <v>4178</v>
      </c>
    </row>
    <row r="20" spans="1:6" x14ac:dyDescent="0.2">
      <c r="C20" s="175" t="s">
        <v>4568</v>
      </c>
    </row>
    <row r="21" spans="1:6" x14ac:dyDescent="0.2">
      <c r="A21" s="168"/>
      <c r="B21" s="173"/>
      <c r="C21" s="153"/>
      <c r="F21" s="153"/>
    </row>
    <row r="22" spans="1:6" x14ac:dyDescent="0.2">
      <c r="A22" s="168"/>
      <c r="B22" s="173"/>
      <c r="C22" s="153"/>
      <c r="D22" s="153"/>
      <c r="E22" s="153"/>
      <c r="F22" s="153"/>
    </row>
    <row r="23" spans="1:6" x14ac:dyDescent="0.2">
      <c r="A23" s="168"/>
      <c r="B23" s="173"/>
      <c r="C23" s="153"/>
      <c r="D23" s="153"/>
      <c r="E23" s="153"/>
      <c r="F23" s="153"/>
    </row>
    <row r="24" spans="1:6" x14ac:dyDescent="0.2">
      <c r="A24" s="168"/>
      <c r="B24" s="168"/>
      <c r="C24" s="153"/>
      <c r="D24" s="153"/>
      <c r="E24" s="153"/>
      <c r="F24" s="153"/>
    </row>
    <row r="25" spans="1:6" x14ac:dyDescent="0.2">
      <c r="A25" s="168"/>
      <c r="B25" s="168"/>
      <c r="C25" s="153"/>
      <c r="D25" s="153"/>
      <c r="E25" s="153"/>
      <c r="F25" s="153"/>
    </row>
    <row r="26" spans="1:6" x14ac:dyDescent="0.2">
      <c r="A26" s="168"/>
      <c r="B26" s="168"/>
      <c r="C26" s="153"/>
      <c r="D26" s="153"/>
      <c r="E26" s="153"/>
      <c r="F26" s="153"/>
    </row>
    <row r="27" spans="1:6" x14ac:dyDescent="0.2">
      <c r="A27" s="168"/>
      <c r="B27" s="168"/>
      <c r="C27" s="153"/>
      <c r="D27" s="153"/>
      <c r="E27" s="153"/>
      <c r="F27" s="153"/>
    </row>
    <row r="28" spans="1:6" x14ac:dyDescent="0.2">
      <c r="A28" s="168"/>
      <c r="B28" s="169"/>
      <c r="C28" s="153"/>
      <c r="D28" s="153"/>
      <c r="E28" s="153"/>
      <c r="F28" s="153"/>
    </row>
    <row r="29" spans="1:6" x14ac:dyDescent="0.2">
      <c r="A29" s="168"/>
      <c r="B29" s="169"/>
      <c r="C29" s="163"/>
      <c r="D29" s="153"/>
      <c r="E29" s="153"/>
      <c r="F29" s="153"/>
    </row>
    <row r="30" spans="1:6" x14ac:dyDescent="0.2">
      <c r="B30" s="169"/>
      <c r="C30" s="153"/>
      <c r="D30" s="153"/>
      <c r="E30" s="153"/>
      <c r="F30" s="153"/>
    </row>
    <row r="31" spans="1:6" x14ac:dyDescent="0.2">
      <c r="A31" s="168"/>
      <c r="B31" s="168"/>
      <c r="C31" s="153"/>
      <c r="D31" s="153"/>
      <c r="E31" s="153"/>
      <c r="F31" s="153"/>
    </row>
    <row r="32" spans="1:6" x14ac:dyDescent="0.2">
      <c r="A32" s="153"/>
      <c r="B32" s="153"/>
      <c r="C32" s="153"/>
      <c r="D32" s="153"/>
      <c r="E32" s="153"/>
    </row>
    <row r="33" spans="1:6" ht="13.5" thickBot="1" x14ac:dyDescent="0.25">
      <c r="A33" s="153"/>
      <c r="B33" s="153"/>
      <c r="C33" s="153"/>
      <c r="D33" s="153"/>
      <c r="E33" s="153"/>
      <c r="F33" s="170">
        <f>SUM(F18:F32)</f>
        <v>1000</v>
      </c>
    </row>
    <row r="34" spans="1:6" ht="13.5" thickTop="1" x14ac:dyDescent="0.2">
      <c r="A34" s="153"/>
      <c r="B34" s="153"/>
      <c r="C34" s="153"/>
      <c r="D34" s="153"/>
      <c r="E34" s="153"/>
      <c r="F34" s="153"/>
    </row>
    <row r="35" spans="1:6" ht="20.100000000000001" customHeight="1" x14ac:dyDescent="0.2">
      <c r="A35" s="171" t="s">
        <v>122</v>
      </c>
      <c r="B35" s="213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and NO/100 -----------</v>
      </c>
      <c r="C35" s="172"/>
      <c r="D35" s="172"/>
      <c r="E35" s="172"/>
      <c r="F35" s="172"/>
    </row>
    <row r="36" spans="1:6" x14ac:dyDescent="0.2">
      <c r="A36" s="169" t="s">
        <v>11</v>
      </c>
      <c r="B36" s="153"/>
      <c r="C36" s="153"/>
      <c r="D36" s="153"/>
      <c r="E36" s="153"/>
      <c r="F36" s="153"/>
    </row>
    <row r="37" spans="1:6" x14ac:dyDescent="0.2">
      <c r="A37" s="153" t="s">
        <v>10</v>
      </c>
      <c r="B37" s="153"/>
      <c r="C37" s="153"/>
      <c r="D37" s="153"/>
      <c r="E37" s="153"/>
      <c r="F37" s="153"/>
    </row>
    <row r="38" spans="1:6" x14ac:dyDescent="0.2">
      <c r="A38" s="153"/>
      <c r="B38" s="153"/>
      <c r="C38" s="153"/>
      <c r="D38" s="153"/>
      <c r="E38" s="153"/>
      <c r="F38" s="153"/>
    </row>
    <row r="39" spans="1:6" ht="25.5" x14ac:dyDescent="0.2">
      <c r="A39" s="156"/>
      <c r="B39" s="153"/>
      <c r="C39" s="153"/>
      <c r="D39" s="242" t="s">
        <v>3975</v>
      </c>
      <c r="E39" s="243"/>
      <c r="F39" s="244"/>
    </row>
    <row r="40" spans="1:6" x14ac:dyDescent="0.2">
      <c r="A40" s="153"/>
      <c r="B40" s="153"/>
      <c r="C40" s="173"/>
      <c r="D40" s="153"/>
      <c r="E40" s="153"/>
      <c r="F40" s="153"/>
    </row>
    <row r="41" spans="1:6" x14ac:dyDescent="0.2">
      <c r="A41" s="174"/>
      <c r="B41" s="174"/>
      <c r="C41" s="153"/>
      <c r="D41" s="153"/>
      <c r="E41" s="153"/>
      <c r="F41" s="153"/>
    </row>
    <row r="42" spans="1:6" x14ac:dyDescent="0.2">
      <c r="B42" s="153"/>
      <c r="C42" s="153"/>
      <c r="D42" s="153"/>
      <c r="E42" s="153"/>
      <c r="F42" s="153"/>
    </row>
    <row r="43" spans="1:6" x14ac:dyDescent="0.2">
      <c r="A43" s="175" t="s">
        <v>8</v>
      </c>
      <c r="C43" s="153"/>
      <c r="D43" s="175" t="s">
        <v>7</v>
      </c>
      <c r="E43" s="153"/>
      <c r="F43" s="176"/>
    </row>
    <row r="44" spans="1:6" x14ac:dyDescent="0.2">
      <c r="A44" s="153"/>
      <c r="B44" s="153"/>
      <c r="C44" s="153"/>
      <c r="D44" s="153"/>
      <c r="E44" s="153"/>
      <c r="F44" s="153"/>
    </row>
    <row r="45" spans="1:6" x14ac:dyDescent="0.2">
      <c r="A45" s="153"/>
      <c r="B45" s="153"/>
      <c r="C45" s="153"/>
      <c r="D45" s="153"/>
      <c r="E45" s="153"/>
      <c r="F45" s="153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74"/>
      <c r="B47" s="174"/>
      <c r="C47" s="153"/>
      <c r="D47" s="174"/>
      <c r="E47" s="174"/>
      <c r="F47" s="174"/>
    </row>
    <row r="48" spans="1:6" s="178" customFormat="1" ht="17.100000000000001" customHeight="1" x14ac:dyDescent="0.2">
      <c r="A48" s="225" t="s">
        <v>4066</v>
      </c>
      <c r="B48" s="177"/>
      <c r="C48" s="156"/>
      <c r="D48" s="156" t="s">
        <v>3</v>
      </c>
      <c r="E48" s="156"/>
      <c r="F48" s="156"/>
    </row>
    <row r="49" spans="1:6" x14ac:dyDescent="0.2">
      <c r="A49" s="153"/>
      <c r="B49" s="153"/>
      <c r="C49" s="153"/>
      <c r="D49" s="153" t="s">
        <v>2</v>
      </c>
      <c r="E49" s="153"/>
      <c r="F49" s="153"/>
    </row>
    <row r="50" spans="1:6" x14ac:dyDescent="0.2">
      <c r="A50" s="225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5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1-000000000000}">
  <sheetPr codeName="Sheet45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42578125" style="152" customWidth="1"/>
    <col min="2" max="2" width="19" style="152" customWidth="1"/>
    <col min="3" max="3" width="23" style="152" customWidth="1"/>
    <col min="4" max="4" width="13.8554687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153" t="s">
        <v>4185</v>
      </c>
      <c r="F9" s="153"/>
    </row>
    <row r="10" spans="1:6" x14ac:dyDescent="0.2">
      <c r="A10" s="153" t="s">
        <v>4187</v>
      </c>
      <c r="B10" s="153"/>
      <c r="C10" s="153"/>
      <c r="D10" s="155" t="s">
        <v>1357</v>
      </c>
      <c r="E10" s="175" t="s">
        <v>4170</v>
      </c>
      <c r="F10" s="153"/>
    </row>
    <row r="11" spans="1:6" x14ac:dyDescent="0.2">
      <c r="A11" s="153" t="s">
        <v>4188</v>
      </c>
      <c r="B11" s="153"/>
      <c r="C11" s="153"/>
      <c r="D11" s="155" t="s">
        <v>1330</v>
      </c>
      <c r="E11" s="155" t="s">
        <v>1220</v>
      </c>
      <c r="F11" s="153"/>
    </row>
    <row r="12" spans="1:6" x14ac:dyDescent="0.2">
      <c r="A12" s="153" t="s">
        <v>4189</v>
      </c>
      <c r="B12" s="153"/>
      <c r="C12" s="153"/>
      <c r="D12" s="155" t="s">
        <v>1377</v>
      </c>
      <c r="E12" s="169" t="s">
        <v>4186</v>
      </c>
      <c r="F12" s="153"/>
    </row>
    <row r="13" spans="1:6" x14ac:dyDescent="0.2">
      <c r="A13" s="153" t="s">
        <v>4075</v>
      </c>
      <c r="B13" s="153"/>
      <c r="C13" s="153"/>
      <c r="D13" s="153"/>
      <c r="E13" s="153"/>
      <c r="F13" s="153"/>
    </row>
    <row r="14" spans="1:6" x14ac:dyDescent="0.2">
      <c r="A14" s="153" t="s">
        <v>123</v>
      </c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68"/>
      <c r="B18" s="173"/>
      <c r="C18" s="245" t="s">
        <v>4190</v>
      </c>
      <c r="F18" s="153"/>
    </row>
    <row r="19" spans="1:6" x14ac:dyDescent="0.2">
      <c r="C19" s="175"/>
    </row>
    <row r="20" spans="1:6" x14ac:dyDescent="0.2">
      <c r="A20" s="168" t="s">
        <v>4164</v>
      </c>
      <c r="B20" s="246" t="s">
        <v>4191</v>
      </c>
      <c r="C20" s="175" t="s">
        <v>4192</v>
      </c>
      <c r="F20" s="153">
        <v>700</v>
      </c>
    </row>
    <row r="21" spans="1:6" x14ac:dyDescent="0.2">
      <c r="A21" s="168"/>
      <c r="B21" s="173"/>
      <c r="C21" s="153"/>
      <c r="F21" s="153"/>
    </row>
    <row r="22" spans="1:6" x14ac:dyDescent="0.2">
      <c r="A22" s="168"/>
      <c r="B22" s="173"/>
      <c r="C22" s="153"/>
      <c r="D22" s="153"/>
      <c r="E22" s="153"/>
      <c r="F22" s="153"/>
    </row>
    <row r="23" spans="1:6" x14ac:dyDescent="0.2">
      <c r="A23" s="168"/>
      <c r="B23" s="173"/>
      <c r="C23" s="153"/>
      <c r="D23" s="153"/>
      <c r="E23" s="153"/>
      <c r="F23" s="153"/>
    </row>
    <row r="24" spans="1:6" x14ac:dyDescent="0.2">
      <c r="A24" s="168"/>
      <c r="B24" s="168"/>
      <c r="C24" s="153"/>
      <c r="D24" s="153"/>
      <c r="E24" s="153"/>
      <c r="F24" s="153"/>
    </row>
    <row r="25" spans="1:6" x14ac:dyDescent="0.2">
      <c r="A25" s="168"/>
      <c r="B25" s="168"/>
      <c r="C25" s="153"/>
      <c r="D25" s="153"/>
      <c r="E25" s="153"/>
      <c r="F25" s="153"/>
    </row>
    <row r="26" spans="1:6" x14ac:dyDescent="0.2">
      <c r="A26" s="168"/>
      <c r="B26" s="168"/>
      <c r="C26" s="153"/>
      <c r="D26" s="153"/>
      <c r="E26" s="153"/>
      <c r="F26" s="153"/>
    </row>
    <row r="27" spans="1:6" x14ac:dyDescent="0.2">
      <c r="A27" s="168"/>
      <c r="B27" s="168"/>
      <c r="C27" s="153"/>
      <c r="D27" s="153"/>
      <c r="E27" s="153"/>
      <c r="F27" s="153"/>
    </row>
    <row r="28" spans="1:6" x14ac:dyDescent="0.2">
      <c r="A28" s="168"/>
      <c r="B28" s="169"/>
      <c r="C28" s="153"/>
      <c r="D28" s="153"/>
      <c r="E28" s="153"/>
      <c r="F28" s="153"/>
    </row>
    <row r="29" spans="1:6" x14ac:dyDescent="0.2">
      <c r="A29" s="168"/>
      <c r="B29" s="169"/>
      <c r="C29" s="163"/>
      <c r="D29" s="153"/>
      <c r="E29" s="153"/>
      <c r="F29" s="153"/>
    </row>
    <row r="30" spans="1:6" x14ac:dyDescent="0.2">
      <c r="B30" s="169"/>
      <c r="C30" s="153"/>
      <c r="D30" s="153"/>
      <c r="E30" s="153"/>
      <c r="F30" s="153"/>
    </row>
    <row r="31" spans="1:6" x14ac:dyDescent="0.2">
      <c r="A31" s="168"/>
      <c r="B31" s="168"/>
      <c r="C31" s="153"/>
      <c r="D31" s="153"/>
      <c r="E31" s="153"/>
      <c r="F31" s="153"/>
    </row>
    <row r="32" spans="1:6" x14ac:dyDescent="0.2">
      <c r="A32" s="153"/>
      <c r="B32" s="153"/>
      <c r="C32" s="153"/>
      <c r="D32" s="153"/>
      <c r="E32" s="153"/>
    </row>
    <row r="33" spans="1:6" ht="13.5" thickBot="1" x14ac:dyDescent="0.25">
      <c r="A33" s="153"/>
      <c r="B33" s="153"/>
      <c r="C33" s="153"/>
      <c r="D33" s="153"/>
      <c r="E33" s="153"/>
      <c r="F33" s="170">
        <f>SUM(F18:F32)</f>
        <v>700</v>
      </c>
    </row>
    <row r="34" spans="1:6" ht="13.5" thickTop="1" x14ac:dyDescent="0.2">
      <c r="A34" s="153"/>
      <c r="B34" s="153"/>
      <c r="C34" s="153"/>
      <c r="D34" s="153"/>
      <c r="E34" s="153"/>
      <c r="F34" s="153"/>
    </row>
    <row r="35" spans="1:6" ht="20.100000000000001" customHeight="1" x14ac:dyDescent="0.2">
      <c r="A35" s="171" t="s">
        <v>122</v>
      </c>
      <c r="B35" s="213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Seven Hundred and NO/100 -----------</v>
      </c>
      <c r="C35" s="172"/>
      <c r="D35" s="172"/>
      <c r="E35" s="172"/>
      <c r="F35" s="172"/>
    </row>
    <row r="36" spans="1:6" x14ac:dyDescent="0.2">
      <c r="A36" s="169" t="s">
        <v>11</v>
      </c>
      <c r="B36" s="153"/>
      <c r="C36" s="153"/>
      <c r="D36" s="153"/>
      <c r="E36" s="153"/>
      <c r="F36" s="153"/>
    </row>
    <row r="37" spans="1:6" x14ac:dyDescent="0.2">
      <c r="A37" s="153" t="s">
        <v>10</v>
      </c>
      <c r="B37" s="153"/>
      <c r="C37" s="153"/>
      <c r="D37" s="153"/>
      <c r="E37" s="153"/>
      <c r="F37" s="153"/>
    </row>
    <row r="38" spans="1:6" x14ac:dyDescent="0.2">
      <c r="A38" s="153"/>
      <c r="B38" s="153"/>
      <c r="C38" s="153"/>
      <c r="D38" s="153"/>
      <c r="E38" s="153"/>
      <c r="F38" s="153"/>
    </row>
    <row r="39" spans="1:6" ht="25.5" x14ac:dyDescent="0.2">
      <c r="A39" s="156"/>
      <c r="B39" s="153"/>
      <c r="C39" s="153"/>
      <c r="D39" s="242" t="s">
        <v>3975</v>
      </c>
      <c r="E39" s="243"/>
      <c r="F39" s="244"/>
    </row>
    <row r="40" spans="1:6" x14ac:dyDescent="0.2">
      <c r="A40" s="153"/>
      <c r="B40" s="153"/>
      <c r="C40" s="173"/>
      <c r="D40" s="153"/>
      <c r="E40" s="153"/>
      <c r="F40" s="153"/>
    </row>
    <row r="41" spans="1:6" x14ac:dyDescent="0.2">
      <c r="A41" s="174"/>
      <c r="B41" s="174"/>
      <c r="C41" s="153"/>
      <c r="D41" s="153"/>
      <c r="E41" s="153"/>
      <c r="F41" s="153"/>
    </row>
    <row r="42" spans="1:6" x14ac:dyDescent="0.2">
      <c r="B42" s="153"/>
      <c r="C42" s="153"/>
      <c r="D42" s="153"/>
      <c r="E42" s="153"/>
      <c r="F42" s="153"/>
    </row>
    <row r="43" spans="1:6" x14ac:dyDescent="0.2">
      <c r="A43" s="175" t="s">
        <v>8</v>
      </c>
      <c r="C43" s="153"/>
      <c r="D43" s="175" t="s">
        <v>7</v>
      </c>
      <c r="E43" s="153"/>
      <c r="F43" s="176"/>
    </row>
    <row r="44" spans="1:6" x14ac:dyDescent="0.2">
      <c r="A44" s="153"/>
      <c r="B44" s="153"/>
      <c r="C44" s="153"/>
      <c r="D44" s="153"/>
      <c r="E44" s="153"/>
      <c r="F44" s="153"/>
    </row>
    <row r="45" spans="1:6" x14ac:dyDescent="0.2">
      <c r="A45" s="153"/>
      <c r="B45" s="153"/>
      <c r="C45" s="153"/>
      <c r="D45" s="153"/>
      <c r="E45" s="153"/>
      <c r="F45" s="153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74"/>
      <c r="B47" s="174"/>
      <c r="C47" s="153"/>
      <c r="D47" s="174"/>
      <c r="E47" s="174"/>
      <c r="F47" s="174"/>
    </row>
    <row r="48" spans="1:6" s="178" customFormat="1" ht="17.100000000000001" customHeight="1" x14ac:dyDescent="0.2">
      <c r="A48" s="225" t="s">
        <v>4066</v>
      </c>
      <c r="B48" s="177"/>
      <c r="C48" s="156"/>
      <c r="D48" s="156" t="s">
        <v>3</v>
      </c>
      <c r="E48" s="156"/>
      <c r="F48" s="156"/>
    </row>
    <row r="49" spans="1:6" x14ac:dyDescent="0.2">
      <c r="A49" s="153"/>
      <c r="B49" s="153"/>
      <c r="C49" s="153"/>
      <c r="D49" s="153" t="s">
        <v>2</v>
      </c>
      <c r="E49" s="153"/>
      <c r="F49" s="153"/>
    </row>
    <row r="50" spans="1:6" x14ac:dyDescent="0.2">
      <c r="A50" s="225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1-000000000000}">
  <sheetPr codeName="Sheet455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4049</v>
      </c>
    </row>
    <row r="10" spans="1:6" x14ac:dyDescent="0.2">
      <c r="A10" s="91" t="s">
        <v>4067</v>
      </c>
      <c r="D10" s="92" t="s">
        <v>1357</v>
      </c>
      <c r="E10" s="98" t="s">
        <v>4048</v>
      </c>
    </row>
    <row r="11" spans="1:6" x14ac:dyDescent="0.2">
      <c r="A11" s="91" t="s">
        <v>1312</v>
      </c>
      <c r="D11" s="92" t="s">
        <v>1330</v>
      </c>
      <c r="E11" s="92" t="s">
        <v>1220</v>
      </c>
    </row>
    <row r="12" spans="1:6" x14ac:dyDescent="0.2">
      <c r="A12" s="91" t="s">
        <v>4051</v>
      </c>
      <c r="D12" s="92" t="s">
        <v>1224</v>
      </c>
      <c r="E12" s="94" t="s">
        <v>4050</v>
      </c>
    </row>
    <row r="13" spans="1:6" x14ac:dyDescent="0.2">
      <c r="A13" s="91" t="s">
        <v>1862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4052</v>
      </c>
    </row>
    <row r="20" spans="1:6" x14ac:dyDescent="0.2">
      <c r="A20" s="93" t="s">
        <v>4053</v>
      </c>
      <c r="B20" s="93"/>
      <c r="C20" s="91" t="s">
        <v>4054</v>
      </c>
      <c r="F20" s="91">
        <v>900</v>
      </c>
    </row>
    <row r="25" spans="1:6" x14ac:dyDescent="0.2">
      <c r="C25" s="2"/>
    </row>
    <row r="27" spans="1:6" x14ac:dyDescent="0.2">
      <c r="A27" s="93"/>
      <c r="B27" s="99"/>
    </row>
    <row r="34" spans="1:6" ht="13.5" thickBot="1" x14ac:dyDescent="0.25">
      <c r="F34" s="95">
        <f>SUM(F18:F33)</f>
        <v>900</v>
      </c>
    </row>
    <row r="35" spans="1:6" ht="13.5" thickTop="1" x14ac:dyDescent="0.2"/>
    <row r="36" spans="1:6" ht="20.100000000000001" customHeight="1" x14ac:dyDescent="0.2">
      <c r="A36" s="96" t="s">
        <v>1075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Nine Hundred and NO/100 -----------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8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100"/>
      <c r="B42" s="101"/>
    </row>
    <row r="43" spans="1:6" x14ac:dyDescent="0.2">
      <c r="A43" s="98"/>
    </row>
    <row r="44" spans="1:6" x14ac:dyDescent="0.2">
      <c r="A44" s="98" t="s">
        <v>8</v>
      </c>
      <c r="D44" s="98" t="s">
        <v>7</v>
      </c>
      <c r="F44" s="102"/>
    </row>
    <row r="45" spans="1:6" x14ac:dyDescent="0.2">
      <c r="A45" s="98"/>
    </row>
    <row r="46" spans="1:6" x14ac:dyDescent="0.2">
      <c r="A46" s="98"/>
    </row>
    <row r="47" spans="1:6" x14ac:dyDescent="0.2">
      <c r="A47" s="98"/>
    </row>
    <row r="48" spans="1:6" x14ac:dyDescent="0.2">
      <c r="A48" s="100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x14ac:dyDescent="0.2">
      <c r="A50" s="98"/>
      <c r="D50" s="91" t="s">
        <v>2</v>
      </c>
    </row>
    <row r="51" spans="1:4" x14ac:dyDescent="0.2">
      <c r="A51" s="98"/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5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1-000000000000}">
  <sheetPr codeName="Sheet456">
    <pageSetUpPr fitToPage="1"/>
  </sheetPr>
  <dimension ref="A1:F60"/>
  <sheetViews>
    <sheetView workbookViewId="0">
      <selection activeCell="E9" sqref="E9:E13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7714</v>
      </c>
    </row>
    <row r="10" spans="1:6" s="91" customFormat="1" x14ac:dyDescent="0.2">
      <c r="A10" s="91" t="s">
        <v>3177</v>
      </c>
      <c r="D10" s="92" t="s">
        <v>1706</v>
      </c>
      <c r="E10" s="92" t="s">
        <v>7712</v>
      </c>
    </row>
    <row r="11" spans="1:6" s="91" customFormat="1" x14ac:dyDescent="0.2">
      <c r="A11" s="91" t="s">
        <v>3178</v>
      </c>
      <c r="D11" s="92" t="s">
        <v>1707</v>
      </c>
      <c r="E11" s="92" t="s">
        <v>1220</v>
      </c>
    </row>
    <row r="12" spans="1:6" s="91" customFormat="1" x14ac:dyDescent="0.2">
      <c r="D12" s="92" t="s">
        <v>1355</v>
      </c>
      <c r="E12" s="92" t="s">
        <v>7715</v>
      </c>
    </row>
    <row r="13" spans="1:6" s="91" customFormat="1" x14ac:dyDescent="0.2">
      <c r="E13" s="91" t="s">
        <v>6823</v>
      </c>
    </row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3" s="91" customFormat="1" x14ac:dyDescent="0.2"/>
    <row r="18" spans="1:3" s="91" customFormat="1" x14ac:dyDescent="0.2">
      <c r="B18" s="93"/>
      <c r="C18" s="2" t="s">
        <v>1723</v>
      </c>
    </row>
    <row r="19" spans="1:3" s="91" customFormat="1" x14ac:dyDescent="0.2"/>
    <row r="20" spans="1:3" s="91" customFormat="1" x14ac:dyDescent="0.2"/>
    <row r="21" spans="1:3" s="91" customFormat="1" x14ac:dyDescent="0.2"/>
    <row r="22" spans="1:3" s="91" customFormat="1" x14ac:dyDescent="0.2">
      <c r="B22" s="93"/>
      <c r="C22" s="2"/>
    </row>
    <row r="23" spans="1:3" s="91" customFormat="1" x14ac:dyDescent="0.2"/>
    <row r="24" spans="1:3" s="91" customFormat="1" x14ac:dyDescent="0.2"/>
    <row r="25" spans="1:3" s="91" customFormat="1" x14ac:dyDescent="0.2"/>
    <row r="26" spans="1:3" s="91" customFormat="1" x14ac:dyDescent="0.2"/>
    <row r="27" spans="1:3" s="91" customFormat="1" x14ac:dyDescent="0.2">
      <c r="A27" s="93"/>
      <c r="B27" s="93"/>
      <c r="C27" s="2"/>
    </row>
    <row r="28" spans="1:3" s="91" customFormat="1" x14ac:dyDescent="0.2">
      <c r="A28" s="92"/>
      <c r="B28" s="93"/>
    </row>
    <row r="29" spans="1:3" s="91" customFormat="1" x14ac:dyDescent="0.2">
      <c r="B29" s="93"/>
    </row>
    <row r="30" spans="1:3" s="91" customFormat="1" x14ac:dyDescent="0.2"/>
    <row r="31" spans="1:3" s="91" customFormat="1" x14ac:dyDescent="0.2">
      <c r="A31" s="93"/>
      <c r="B31" s="93"/>
    </row>
    <row r="32" spans="1:3" s="91" customFormat="1" x14ac:dyDescent="0.2"/>
    <row r="33" spans="1:6" s="91" customFormat="1" x14ac:dyDescent="0.2"/>
    <row r="34" spans="1:6" s="91" customFormat="1" x14ac:dyDescent="0.2"/>
    <row r="35" spans="1:6" s="91" customFormat="1" x14ac:dyDescent="0.2"/>
    <row r="36" spans="1:6" s="91" customFormat="1" x14ac:dyDescent="0.2"/>
    <row r="37" spans="1:6" s="91" customFormat="1" ht="13.5" thickBot="1" x14ac:dyDescent="0.25">
      <c r="F37" s="107">
        <f>SUM(F18:F36)</f>
        <v>0</v>
      </c>
    </row>
    <row r="38" spans="1:6" s="91" customFormat="1" ht="13.5" thickTop="1" x14ac:dyDescent="0.2"/>
    <row r="39" spans="1:6" s="91" customFormat="1" ht="21.75" customHeight="1" x14ac:dyDescent="0.2">
      <c r="A39" s="96" t="s">
        <v>336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/>
      </c>
      <c r="C39" s="97"/>
      <c r="D39" s="237"/>
      <c r="E39" s="237"/>
      <c r="F39" s="237"/>
    </row>
    <row r="40" spans="1:6" s="91" customFormat="1" ht="15.75" customHeight="1" x14ac:dyDescent="0.2">
      <c r="A40" s="113"/>
      <c r="B40" s="103"/>
      <c r="C40" s="61"/>
      <c r="D40" s="227"/>
      <c r="E40" s="227"/>
      <c r="F40" s="227"/>
    </row>
    <row r="41" spans="1:6" s="91" customFormat="1" ht="24" customHeight="1" x14ac:dyDescent="0.2">
      <c r="A41" s="61" t="s">
        <v>10</v>
      </c>
      <c r="B41" s="103"/>
      <c r="C41" s="61"/>
      <c r="D41" s="218" t="s">
        <v>3975</v>
      </c>
      <c r="E41" s="219"/>
      <c r="F41" s="220"/>
    </row>
    <row r="42" spans="1:6" s="91" customFormat="1" x14ac:dyDescent="0.2">
      <c r="D42" s="228"/>
      <c r="E42" s="229"/>
      <c r="F42" s="229"/>
    </row>
    <row r="43" spans="1:6" s="91" customFormat="1" x14ac:dyDescent="0.2"/>
    <row r="44" spans="1:6" s="91" customFormat="1" x14ac:dyDescent="0.2"/>
    <row r="45" spans="1:6" s="91" customFormat="1" x14ac:dyDescent="0.2"/>
    <row r="46" spans="1:6" s="91" customFormat="1" x14ac:dyDescent="0.2">
      <c r="A46" s="101"/>
      <c r="B46" s="101"/>
    </row>
    <row r="47" spans="1:6" s="91" customFormat="1" x14ac:dyDescent="0.2"/>
    <row r="48" spans="1:6" s="91" customFormat="1" x14ac:dyDescent="0.2">
      <c r="A48" s="98" t="s">
        <v>8</v>
      </c>
      <c r="D48" s="98" t="s">
        <v>7</v>
      </c>
      <c r="F48" s="102"/>
    </row>
    <row r="49" spans="1:6" s="91" customFormat="1" x14ac:dyDescent="0.2"/>
    <row r="50" spans="1:6" s="91" customFormat="1" x14ac:dyDescent="0.2"/>
    <row r="51" spans="1:6" s="91" customFormat="1" x14ac:dyDescent="0.2"/>
    <row r="52" spans="1:6" s="91" customFormat="1" x14ac:dyDescent="0.2">
      <c r="A52" s="101"/>
      <c r="B52" s="101"/>
      <c r="D52" s="101"/>
      <c r="E52" s="101"/>
      <c r="F52" s="101"/>
    </row>
    <row r="53" spans="1:6" s="61" customFormat="1" ht="17.100000000000001" customHeight="1" x14ac:dyDescent="0.2">
      <c r="A53" s="209" t="s">
        <v>4066</v>
      </c>
      <c r="B53" s="104"/>
      <c r="D53" s="61" t="s">
        <v>3</v>
      </c>
    </row>
    <row r="54" spans="1:6" s="91" customFormat="1" x14ac:dyDescent="0.2">
      <c r="D54" s="91" t="s">
        <v>2</v>
      </c>
    </row>
    <row r="55" spans="1:6" s="91" customFormat="1" x14ac:dyDescent="0.2"/>
    <row r="56" spans="1:6" s="91" customFormat="1" x14ac:dyDescent="0.2">
      <c r="D56" s="2" t="s">
        <v>1</v>
      </c>
    </row>
    <row r="57" spans="1:6" s="91" customFormat="1" x14ac:dyDescent="0.2">
      <c r="D57" s="2" t="s">
        <v>0</v>
      </c>
    </row>
    <row r="58" spans="1:6" s="91" customFormat="1" x14ac:dyDescent="0.2"/>
    <row r="59" spans="1:6" s="91" customFormat="1" x14ac:dyDescent="0.2"/>
    <row r="60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9957-3FF4-44AD-A7FE-F3170198F97B}">
  <sheetPr codeName="Sheet770">
    <pageSetUpPr fitToPage="1"/>
  </sheetPr>
  <dimension ref="A1:H55"/>
  <sheetViews>
    <sheetView workbookViewId="0">
      <selection activeCell="G9" sqref="G9:G12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8473</v>
      </c>
    </row>
    <row r="10" spans="1:8" x14ac:dyDescent="0.2">
      <c r="A10" s="91" t="s">
        <v>8468</v>
      </c>
      <c r="F10" s="92" t="s">
        <v>1329</v>
      </c>
      <c r="G10" s="92" t="s">
        <v>8332</v>
      </c>
    </row>
    <row r="11" spans="1:8" x14ac:dyDescent="0.2">
      <c r="A11" s="91" t="s">
        <v>8469</v>
      </c>
      <c r="F11" s="92" t="s">
        <v>1330</v>
      </c>
      <c r="G11" s="92" t="s">
        <v>1220</v>
      </c>
    </row>
    <row r="12" spans="1:8" x14ac:dyDescent="0.2">
      <c r="A12" s="91" t="s">
        <v>8470</v>
      </c>
      <c r="F12" s="92" t="s">
        <v>1377</v>
      </c>
      <c r="G12" s="92" t="s">
        <v>770</v>
      </c>
    </row>
    <row r="13" spans="1:8" x14ac:dyDescent="0.2">
      <c r="A13" s="91" t="s">
        <v>8471</v>
      </c>
    </row>
    <row r="16" spans="1:8" s="14" customFormat="1" ht="20.100000000000001" customHeight="1" x14ac:dyDescent="0.2">
      <c r="A16" s="17" t="s">
        <v>1247</v>
      </c>
      <c r="B16" s="495" t="s">
        <v>128</v>
      </c>
      <c r="C16" s="495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8472</v>
      </c>
      <c r="E18" s="2"/>
    </row>
    <row r="19" spans="1:8" x14ac:dyDescent="0.2">
      <c r="A19" s="106"/>
    </row>
    <row r="20" spans="1:8" x14ac:dyDescent="0.2">
      <c r="A20" s="93" t="s">
        <v>8295</v>
      </c>
      <c r="B20" s="195" t="s">
        <v>8474</v>
      </c>
      <c r="C20" s="93"/>
      <c r="D20" s="91" t="s">
        <v>8475</v>
      </c>
      <c r="H20" s="91">
        <f>1000000*0.038255</f>
        <v>38255</v>
      </c>
    </row>
    <row r="21" spans="1:8" x14ac:dyDescent="0.2">
      <c r="A21" s="93"/>
      <c r="B21" s="93"/>
      <c r="C21" s="93"/>
      <c r="D21" s="91" t="s">
        <v>8476</v>
      </c>
    </row>
    <row r="22" spans="1:8" x14ac:dyDescent="0.2">
      <c r="A22" s="106"/>
    </row>
    <row r="23" spans="1:8" x14ac:dyDescent="0.2">
      <c r="A23" s="106"/>
      <c r="D23" s="94" t="s">
        <v>52</v>
      </c>
      <c r="E23" s="94"/>
      <c r="H23" s="91">
        <v>30</v>
      </c>
    </row>
    <row r="24" spans="1:8" x14ac:dyDescent="0.2">
      <c r="A24" s="106"/>
      <c r="F24" s="1"/>
      <c r="G24" s="1"/>
      <c r="H24" s="1"/>
    </row>
    <row r="25" spans="1:8" x14ac:dyDescent="0.2">
      <c r="A25" s="106"/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1" spans="1:8" x14ac:dyDescent="0.2">
      <c r="A31" s="93"/>
      <c r="B31" s="93"/>
      <c r="C31" s="93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06"/>
      <c r="H35" s="1"/>
    </row>
    <row r="36" spans="1:8" ht="13.5" thickBot="1" x14ac:dyDescent="0.25">
      <c r="A36" s="106"/>
      <c r="H36" s="107">
        <f>SUM(H19:H34)</f>
        <v>38285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Thirty-Eight Thousand Two Hundred Eighty-Five and NO/100 -----------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496"/>
      <c r="E42" s="496"/>
    </row>
    <row r="43" spans="1:8" x14ac:dyDescent="0.2">
      <c r="A43" s="91" t="s">
        <v>120</v>
      </c>
      <c r="D43" s="496"/>
      <c r="E43" s="496"/>
    </row>
    <row r="44" spans="1:8" x14ac:dyDescent="0.2">
      <c r="A44" s="101"/>
      <c r="B44" s="101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1-000000000000}">
  <sheetPr codeName="Sheet457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4109</v>
      </c>
    </row>
    <row r="10" spans="1:6" s="91" customFormat="1" x14ac:dyDescent="0.2">
      <c r="A10" s="91" t="s">
        <v>4111</v>
      </c>
      <c r="D10" s="92" t="s">
        <v>1706</v>
      </c>
      <c r="E10" s="92" t="s">
        <v>4099</v>
      </c>
    </row>
    <row r="11" spans="1:6" s="91" customFormat="1" x14ac:dyDescent="0.2">
      <c r="A11" s="91" t="s">
        <v>4112</v>
      </c>
      <c r="D11" s="92" t="s">
        <v>1707</v>
      </c>
      <c r="E11" s="92" t="s">
        <v>1220</v>
      </c>
    </row>
    <row r="12" spans="1:6" s="91" customFormat="1" x14ac:dyDescent="0.2">
      <c r="A12" s="91" t="s">
        <v>4113</v>
      </c>
      <c r="D12" s="92" t="s">
        <v>1355</v>
      </c>
      <c r="E12" s="92" t="s">
        <v>4110</v>
      </c>
    </row>
    <row r="13" spans="1:6" s="91" customFormat="1" x14ac:dyDescent="0.2">
      <c r="A13" s="91" t="s">
        <v>4114</v>
      </c>
    </row>
    <row r="14" spans="1:6" s="91" customFormat="1" x14ac:dyDescent="0.2">
      <c r="A14" s="91" t="s">
        <v>1314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4115</v>
      </c>
    </row>
    <row r="19" spans="1:6" s="91" customFormat="1" x14ac:dyDescent="0.2"/>
    <row r="20" spans="1:6" s="91" customFormat="1" x14ac:dyDescent="0.2">
      <c r="A20" s="92" t="s">
        <v>4116</v>
      </c>
      <c r="B20" s="93"/>
      <c r="C20" s="91" t="s">
        <v>1007</v>
      </c>
      <c r="F20" s="91">
        <v>30000</v>
      </c>
    </row>
    <row r="21" spans="1:6" s="91" customFormat="1" x14ac:dyDescent="0.2"/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30000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Thirty Thousand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5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1-000000000000}">
  <sheetPr codeName="Sheet458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4132</v>
      </c>
    </row>
    <row r="10" spans="1:6" s="91" customFormat="1" x14ac:dyDescent="0.2">
      <c r="A10" s="91" t="s">
        <v>4133</v>
      </c>
      <c r="D10" s="92" t="s">
        <v>1706</v>
      </c>
      <c r="E10" s="92" t="s">
        <v>4122</v>
      </c>
    </row>
    <row r="11" spans="1:6" s="91" customFormat="1" x14ac:dyDescent="0.2">
      <c r="A11" s="91" t="s">
        <v>4135</v>
      </c>
      <c r="D11" s="92" t="s">
        <v>1707</v>
      </c>
      <c r="E11" s="92" t="s">
        <v>1220</v>
      </c>
    </row>
    <row r="12" spans="1:6" s="91" customFormat="1" x14ac:dyDescent="0.2">
      <c r="A12" s="91" t="s">
        <v>3716</v>
      </c>
      <c r="D12" s="92" t="s">
        <v>1355</v>
      </c>
      <c r="E12" s="92" t="s">
        <v>4134</v>
      </c>
    </row>
    <row r="13" spans="1:6" s="91" customFormat="1" x14ac:dyDescent="0.2">
      <c r="A13" s="91" t="s">
        <v>4136</v>
      </c>
    </row>
    <row r="14" spans="1:6" s="91" customFormat="1" x14ac:dyDescent="0.2">
      <c r="A14" s="91" t="s">
        <v>1314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3"/>
      <c r="C18" s="2" t="s">
        <v>4117</v>
      </c>
    </row>
    <row r="19" spans="1:6" s="91" customFormat="1" x14ac:dyDescent="0.2">
      <c r="A19" s="93"/>
      <c r="B19" s="93"/>
    </row>
    <row r="20" spans="1:6" s="91" customFormat="1" x14ac:dyDescent="0.2">
      <c r="A20" s="93"/>
      <c r="B20" s="201" t="s">
        <v>4137</v>
      </c>
      <c r="C20" s="91" t="s">
        <v>4138</v>
      </c>
      <c r="F20" s="91">
        <v>1500</v>
      </c>
    </row>
    <row r="21" spans="1:6" s="91" customFormat="1" x14ac:dyDescent="0.2"/>
    <row r="22" spans="1:6" s="91" customFormat="1" x14ac:dyDescent="0.2">
      <c r="A22" s="93"/>
      <c r="B22" s="93"/>
    </row>
    <row r="23" spans="1:6" s="91" customFormat="1" x14ac:dyDescent="0.2">
      <c r="C23" s="2"/>
    </row>
    <row r="24" spans="1:6" s="91" customFormat="1" x14ac:dyDescent="0.2">
      <c r="A24" s="93"/>
      <c r="B24" s="93"/>
    </row>
    <row r="25" spans="1:6" s="91" customFormat="1" x14ac:dyDescent="0.2">
      <c r="A25" s="93"/>
      <c r="B25" s="93"/>
    </row>
    <row r="26" spans="1:6" s="91" customFormat="1" x14ac:dyDescent="0.2">
      <c r="A26" s="93"/>
      <c r="B26" s="93"/>
      <c r="C26" s="2"/>
    </row>
    <row r="27" spans="1:6" s="91" customFormat="1" x14ac:dyDescent="0.2"/>
    <row r="28" spans="1:6" s="91" customFormat="1" x14ac:dyDescent="0.2">
      <c r="A28" s="93"/>
      <c r="B28" s="93"/>
    </row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SUM(F18:F33)</f>
        <v>1500</v>
      </c>
    </row>
    <row r="35" spans="1:6" s="91" customFormat="1" ht="13.5" thickTop="1" x14ac:dyDescent="0.2"/>
    <row r="36" spans="1:6" s="91" customFormat="1" ht="21.75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Five Hundred and NO/100 -----------</v>
      </c>
      <c r="C36" s="97"/>
      <c r="D36" s="237"/>
      <c r="E36" s="237"/>
      <c r="F36" s="237"/>
    </row>
    <row r="37" spans="1:6" s="91" customFormat="1" ht="15.75" customHeight="1" x14ac:dyDescent="0.2">
      <c r="A37" s="113"/>
      <c r="B37" s="103"/>
      <c r="C37" s="61"/>
      <c r="D37" s="227"/>
      <c r="E37" s="227"/>
      <c r="F37" s="227"/>
    </row>
    <row r="38" spans="1:6" s="91" customFormat="1" ht="24" customHeight="1" x14ac:dyDescent="0.2">
      <c r="A38" s="61" t="s">
        <v>10</v>
      </c>
      <c r="B38" s="103"/>
      <c r="C38" s="61"/>
      <c r="D38" s="218" t="s">
        <v>3975</v>
      </c>
      <c r="E38" s="219"/>
      <c r="F38" s="220"/>
    </row>
    <row r="39" spans="1:6" s="91" customFormat="1" x14ac:dyDescent="0.2">
      <c r="D39" s="228"/>
      <c r="E39" s="229"/>
      <c r="F39" s="229"/>
    </row>
    <row r="40" spans="1:6" s="91" customFormat="1" x14ac:dyDescent="0.2"/>
    <row r="41" spans="1:6" s="91" customFormat="1" x14ac:dyDescent="0.2"/>
    <row r="42" spans="1:6" s="91" customFormat="1" x14ac:dyDescent="0.2"/>
    <row r="43" spans="1:6" s="91" customFormat="1" x14ac:dyDescent="0.2">
      <c r="A43" s="101"/>
      <c r="B43" s="101"/>
    </row>
    <row r="44" spans="1:6" s="91" customFormat="1" x14ac:dyDescent="0.2"/>
    <row r="45" spans="1:6" s="91" customFormat="1" x14ac:dyDescent="0.2">
      <c r="A45" s="98" t="s">
        <v>8</v>
      </c>
      <c r="D45" s="98" t="s">
        <v>7</v>
      </c>
      <c r="F45" s="102"/>
    </row>
    <row r="46" spans="1:6" s="91" customFormat="1" x14ac:dyDescent="0.2"/>
    <row r="47" spans="1:6" s="91" customFormat="1" x14ac:dyDescent="0.2"/>
    <row r="48" spans="1:6" s="91" customFormat="1" x14ac:dyDescent="0.2"/>
    <row r="49" spans="1:6" s="91" customFormat="1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209" t="s">
        <v>4066</v>
      </c>
      <c r="B50" s="104"/>
      <c r="D50" s="61" t="s">
        <v>3</v>
      </c>
    </row>
    <row r="51" spans="1:6" s="91" customFormat="1" x14ac:dyDescent="0.2">
      <c r="D51" s="91" t="s">
        <v>2</v>
      </c>
    </row>
    <row r="52" spans="1:6" s="91" customFormat="1" x14ac:dyDescent="0.2"/>
    <row r="53" spans="1:6" s="91" customFormat="1" x14ac:dyDescent="0.2">
      <c r="D53" s="2" t="s">
        <v>1</v>
      </c>
    </row>
    <row r="54" spans="1:6" s="91" customFormat="1" x14ac:dyDescent="0.2">
      <c r="D54" s="2" t="s">
        <v>0</v>
      </c>
    </row>
    <row r="55" spans="1:6" s="91" customFormat="1" x14ac:dyDescent="0.2"/>
    <row r="56" spans="1:6" s="91" customFormat="1" x14ac:dyDescent="0.2"/>
    <row r="57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5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1-000000000000}">
  <sheetPr codeName="Sheet38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3643</v>
      </c>
    </row>
    <row r="10" spans="1:6" x14ac:dyDescent="0.2">
      <c r="A10" s="91" t="s">
        <v>3645</v>
      </c>
      <c r="D10" s="92" t="s">
        <v>1444</v>
      </c>
      <c r="E10" s="113" t="s">
        <v>3620</v>
      </c>
    </row>
    <row r="11" spans="1:6" x14ac:dyDescent="0.2">
      <c r="A11" s="91" t="s">
        <v>3646</v>
      </c>
      <c r="D11" s="92" t="s">
        <v>1431</v>
      </c>
      <c r="E11" s="113" t="s">
        <v>1220</v>
      </c>
    </row>
    <row r="12" spans="1:6" x14ac:dyDescent="0.2">
      <c r="D12" s="92" t="s">
        <v>1268</v>
      </c>
      <c r="E12" s="113" t="s">
        <v>3644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/>
    </row>
    <row r="19" spans="1:6" x14ac:dyDescent="0.2">
      <c r="C19" s="91" t="s">
        <v>3647</v>
      </c>
      <c r="F19" s="91">
        <v>146.15</v>
      </c>
    </row>
    <row r="20" spans="1:6" x14ac:dyDescent="0.2">
      <c r="A20" s="111"/>
      <c r="B20" s="99"/>
      <c r="F20" s="110"/>
    </row>
    <row r="21" spans="1:6" x14ac:dyDescent="0.2">
      <c r="A21" s="111"/>
      <c r="B21" s="93"/>
      <c r="C21" s="143" t="s">
        <v>3651</v>
      </c>
      <c r="D21" s="143"/>
      <c r="E21" s="143"/>
      <c r="F21" s="143">
        <v>-18</v>
      </c>
    </row>
    <row r="23" spans="1:6" x14ac:dyDescent="0.2">
      <c r="C23" s="91" t="s">
        <v>3652</v>
      </c>
      <c r="F23" s="110"/>
    </row>
    <row r="24" spans="1:6" x14ac:dyDescent="0.2">
      <c r="A24" s="111"/>
      <c r="B24" s="99"/>
    </row>
    <row r="25" spans="1:6" x14ac:dyDescent="0.2">
      <c r="A25" s="111"/>
      <c r="B25" s="93"/>
      <c r="C25" s="91" t="s">
        <v>3648</v>
      </c>
      <c r="F25" s="91">
        <v>30</v>
      </c>
    </row>
    <row r="26" spans="1:6" x14ac:dyDescent="0.2">
      <c r="C26" s="91" t="s">
        <v>3649</v>
      </c>
      <c r="F26" s="91">
        <v>20</v>
      </c>
    </row>
    <row r="27" spans="1:6" x14ac:dyDescent="0.2">
      <c r="A27" s="111"/>
      <c r="B27" s="93"/>
      <c r="F27" s="110"/>
    </row>
    <row r="29" spans="1:6" x14ac:dyDescent="0.2">
      <c r="A29" s="108"/>
    </row>
    <row r="32" spans="1:6" ht="13.5" thickBot="1" x14ac:dyDescent="0.25">
      <c r="F32" s="95">
        <f>SUM(F18:F31)</f>
        <v>178.15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3650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1-000000000000}">
  <sheetPr codeName="Sheet459">
    <pageSetUpPr fitToPage="1"/>
  </sheetPr>
  <dimension ref="A1:H52"/>
  <sheetViews>
    <sheetView workbookViewId="0">
      <selection activeCell="G9" sqref="G9:H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3" t="s">
        <v>8650</v>
      </c>
    </row>
    <row r="10" spans="1:8" x14ac:dyDescent="0.2">
      <c r="A10" s="91" t="s">
        <v>4030</v>
      </c>
      <c r="F10" s="92" t="s">
        <v>1329</v>
      </c>
      <c r="G10" s="155" t="s">
        <v>8628</v>
      </c>
    </row>
    <row r="11" spans="1:8" x14ac:dyDescent="0.2">
      <c r="A11" s="91" t="s">
        <v>4027</v>
      </c>
      <c r="F11" s="92" t="s">
        <v>1330</v>
      </c>
      <c r="G11" s="155" t="s">
        <v>2625</v>
      </c>
    </row>
    <row r="12" spans="1:8" x14ac:dyDescent="0.2">
      <c r="A12" s="91" t="s">
        <v>4028</v>
      </c>
      <c r="F12" s="92" t="s">
        <v>1331</v>
      </c>
      <c r="G12" s="155" t="s">
        <v>8651</v>
      </c>
    </row>
    <row r="13" spans="1:8" x14ac:dyDescent="0.2">
      <c r="A13" s="91" t="s">
        <v>4029</v>
      </c>
      <c r="G13" s="153" t="s">
        <v>7762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448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A18" s="93"/>
      <c r="D18" s="2" t="s">
        <v>8652</v>
      </c>
      <c r="E18" s="2"/>
    </row>
    <row r="19" spans="1:8" x14ac:dyDescent="0.2">
      <c r="D19" s="2" t="s">
        <v>8653</v>
      </c>
      <c r="E19" s="2"/>
    </row>
    <row r="20" spans="1:8" x14ac:dyDescent="0.2">
      <c r="A20" s="93"/>
      <c r="B20" s="278"/>
      <c r="C20" s="278"/>
    </row>
    <row r="21" spans="1:8" x14ac:dyDescent="0.2">
      <c r="A21" s="93" t="s">
        <v>8640</v>
      </c>
      <c r="B21" s="278" t="s">
        <v>8654</v>
      </c>
      <c r="C21" s="278"/>
      <c r="D21" s="91" t="s">
        <v>8655</v>
      </c>
      <c r="H21" s="91">
        <v>500</v>
      </c>
    </row>
    <row r="22" spans="1:8" x14ac:dyDescent="0.2">
      <c r="A22" s="93"/>
      <c r="B22" s="93"/>
      <c r="C22" s="93"/>
    </row>
    <row r="23" spans="1:8" x14ac:dyDescent="0.2">
      <c r="A23" s="93"/>
      <c r="B23" s="93"/>
      <c r="C23" s="93"/>
    </row>
    <row r="24" spans="1:8" x14ac:dyDescent="0.2">
      <c r="A24" s="93"/>
      <c r="B24" s="93"/>
      <c r="C24" s="93"/>
    </row>
    <row r="25" spans="1:8" x14ac:dyDescent="0.2">
      <c r="B25" s="99"/>
      <c r="C25" s="449"/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SUM(H18:H31)</f>
        <v>500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Hundred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449"/>
      <c r="F40" s="228"/>
      <c r="G40" s="229"/>
      <c r="H40" s="229"/>
    </row>
    <row r="41" spans="1:8" x14ac:dyDescent="0.2">
      <c r="A41" s="23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3" customFormat="1" ht="17.100000000000001" customHeight="1" x14ac:dyDescent="0.2">
      <c r="A48" s="209" t="s">
        <v>4066</v>
      </c>
      <c r="B48" s="104"/>
      <c r="C48" s="104"/>
      <c r="D48" s="209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1-000000000000}">
  <sheetPr codeName="Sheet347">
    <pageSetUpPr fitToPage="1"/>
  </sheetPr>
  <dimension ref="A1:H57"/>
  <sheetViews>
    <sheetView workbookViewId="0">
      <selection activeCell="G9" sqref="G9:G13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1" style="152" customWidth="1"/>
    <col min="4" max="4" width="23" style="152" customWidth="1"/>
    <col min="5" max="5" width="0.7109375" style="152" customWidth="1"/>
    <col min="6" max="6" width="16.4257812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55" t="s">
        <v>8327</v>
      </c>
      <c r="H9" s="91"/>
    </row>
    <row r="10" spans="1:8" x14ac:dyDescent="0.2">
      <c r="A10" s="153" t="s">
        <v>3509</v>
      </c>
      <c r="B10" s="153"/>
      <c r="C10" s="153"/>
      <c r="D10" s="153"/>
      <c r="E10" s="153"/>
      <c r="F10" s="155" t="s">
        <v>1357</v>
      </c>
      <c r="G10" s="155" t="s">
        <v>8315</v>
      </c>
      <c r="H10" s="91"/>
    </row>
    <row r="11" spans="1:8" x14ac:dyDescent="0.2">
      <c r="A11" s="153" t="s">
        <v>3510</v>
      </c>
      <c r="B11" s="153"/>
      <c r="C11" s="153"/>
      <c r="D11" s="153"/>
      <c r="E11" s="153"/>
      <c r="F11" s="155" t="s">
        <v>1330</v>
      </c>
      <c r="G11" s="155" t="s">
        <v>1220</v>
      </c>
      <c r="H11" s="91"/>
    </row>
    <row r="12" spans="1:8" x14ac:dyDescent="0.2">
      <c r="A12" s="153"/>
      <c r="B12" s="153"/>
      <c r="C12" s="153"/>
      <c r="D12" s="153"/>
      <c r="E12" s="153"/>
      <c r="F12" s="155" t="s">
        <v>1377</v>
      </c>
      <c r="G12" s="94" t="s">
        <v>8328</v>
      </c>
      <c r="H12" s="91"/>
    </row>
    <row r="13" spans="1:8" x14ac:dyDescent="0.2">
      <c r="A13" s="153"/>
      <c r="B13" s="153"/>
      <c r="C13" s="153"/>
      <c r="D13" s="153"/>
      <c r="E13" s="153"/>
      <c r="F13" s="153"/>
      <c r="G13" s="153" t="s">
        <v>7931</v>
      </c>
      <c r="H13" s="153"/>
    </row>
    <row r="14" spans="1:8" x14ac:dyDescent="0.2">
      <c r="A14" s="153"/>
      <c r="B14" s="153"/>
      <c r="C14" s="153"/>
      <c r="D14" s="153"/>
      <c r="E14" s="153"/>
      <c r="F14" s="153"/>
      <c r="G14" s="91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53"/>
      <c r="B18" s="153"/>
      <c r="C18" s="153"/>
      <c r="D18" s="163" t="s">
        <v>4705</v>
      </c>
      <c r="E18" s="163"/>
      <c r="F18" s="153"/>
      <c r="G18" s="153"/>
      <c r="H18" s="153"/>
    </row>
    <row r="19" spans="1:8" x14ac:dyDescent="0.2">
      <c r="A19" s="153"/>
      <c r="B19" s="153"/>
      <c r="C19" s="153"/>
      <c r="D19" s="153"/>
      <c r="E19" s="153"/>
      <c r="F19" s="153"/>
      <c r="G19" s="153"/>
      <c r="H19" s="153"/>
    </row>
    <row r="20" spans="1:8" x14ac:dyDescent="0.2">
      <c r="A20" s="168" t="s">
        <v>8329</v>
      </c>
      <c r="B20" s="168" t="s">
        <v>8330</v>
      </c>
      <c r="C20" s="168"/>
      <c r="D20" s="153" t="s">
        <v>8331</v>
      </c>
      <c r="E20" s="153"/>
      <c r="F20" s="153"/>
      <c r="G20" s="153"/>
      <c r="H20" s="153">
        <v>90</v>
      </c>
    </row>
    <row r="21" spans="1:8" x14ac:dyDescent="0.2">
      <c r="A21" s="168"/>
      <c r="B21" s="168"/>
      <c r="C21" s="168"/>
      <c r="D21" s="153"/>
      <c r="E21" s="153"/>
      <c r="F21" s="153"/>
      <c r="G21" s="153"/>
      <c r="H21" s="153"/>
    </row>
    <row r="22" spans="1:8" x14ac:dyDescent="0.2">
      <c r="A22" s="168"/>
      <c r="B22" s="168"/>
      <c r="C22" s="168"/>
      <c r="D22" s="153"/>
      <c r="E22" s="153"/>
      <c r="F22" s="153"/>
      <c r="G22" s="153"/>
      <c r="H22" s="153"/>
    </row>
    <row r="23" spans="1:8" x14ac:dyDescent="0.2">
      <c r="A23" s="153"/>
      <c r="B23" s="169"/>
      <c r="C23" s="169"/>
      <c r="D23" s="153"/>
      <c r="E23" s="153"/>
      <c r="F23" s="153"/>
      <c r="G23" s="153"/>
      <c r="H23" s="153"/>
    </row>
    <row r="24" spans="1:8" x14ac:dyDescent="0.2">
      <c r="A24" s="168"/>
      <c r="B24" s="173"/>
      <c r="C24" s="173"/>
      <c r="D24" s="153"/>
      <c r="E24" s="153"/>
      <c r="F24" s="153"/>
      <c r="G24" s="153"/>
      <c r="H24" s="153"/>
    </row>
    <row r="25" spans="1:8" x14ac:dyDescent="0.2">
      <c r="A25" s="168"/>
      <c r="B25" s="173"/>
      <c r="C25" s="173"/>
      <c r="D25" s="153"/>
      <c r="E25" s="153"/>
      <c r="F25" s="153"/>
      <c r="G25" s="153"/>
      <c r="H25" s="153"/>
    </row>
    <row r="26" spans="1:8" x14ac:dyDescent="0.2">
      <c r="A26" s="168"/>
      <c r="B26" s="173"/>
      <c r="C26" s="173"/>
      <c r="D26" s="163"/>
      <c r="E26" s="163"/>
      <c r="F26" s="153"/>
      <c r="G26" s="153"/>
      <c r="H26" s="153"/>
    </row>
    <row r="27" spans="1:8" x14ac:dyDescent="0.2">
      <c r="A27" s="168"/>
      <c r="B27" s="173"/>
      <c r="C27" s="173"/>
      <c r="D27" s="153"/>
      <c r="E27" s="153"/>
      <c r="F27" s="153"/>
      <c r="G27" s="153"/>
      <c r="H27" s="153"/>
    </row>
    <row r="28" spans="1:8" x14ac:dyDescent="0.2">
      <c r="A28" s="168"/>
      <c r="B28" s="173"/>
      <c r="C28" s="173"/>
      <c r="D28" s="153"/>
      <c r="E28" s="153"/>
      <c r="F28" s="153"/>
      <c r="G28" s="153"/>
      <c r="H28" s="153"/>
    </row>
    <row r="29" spans="1:8" x14ac:dyDescent="0.2">
      <c r="A29" s="168"/>
      <c r="B29" s="169"/>
      <c r="C29" s="169"/>
      <c r="D29" s="153"/>
      <c r="E29" s="153"/>
      <c r="F29" s="153"/>
      <c r="G29" s="153"/>
      <c r="H29" s="153"/>
    </row>
    <row r="30" spans="1:8" x14ac:dyDescent="0.2">
      <c r="A30" s="198"/>
      <c r="B30" s="169"/>
      <c r="C30" s="169"/>
      <c r="D30" s="153"/>
      <c r="E30" s="153"/>
      <c r="F30" s="153"/>
      <c r="G30" s="153"/>
      <c r="H30" s="153"/>
    </row>
    <row r="31" spans="1:8" x14ac:dyDescent="0.2">
      <c r="A31" s="198"/>
      <c r="B31" s="169"/>
      <c r="C31" s="169"/>
      <c r="D31" s="153"/>
      <c r="E31" s="153"/>
      <c r="F31" s="153"/>
      <c r="G31" s="153"/>
      <c r="H31" s="153"/>
    </row>
    <row r="32" spans="1:8" x14ac:dyDescent="0.2">
      <c r="A32" s="199"/>
      <c r="B32" s="169"/>
      <c r="C32" s="169"/>
      <c r="D32" s="153"/>
      <c r="E32" s="153"/>
      <c r="F32" s="153"/>
      <c r="G32" s="153"/>
      <c r="H32" s="153"/>
    </row>
    <row r="33" spans="1:8" x14ac:dyDescent="0.2">
      <c r="A33" s="179"/>
      <c r="B33" s="153"/>
      <c r="C33" s="153"/>
      <c r="D33" s="153"/>
      <c r="E33" s="153"/>
      <c r="F33" s="153"/>
      <c r="G33" s="153"/>
      <c r="H33" s="153"/>
    </row>
    <row r="34" spans="1:8" x14ac:dyDescent="0.2">
      <c r="A34" s="153"/>
      <c r="B34" s="153"/>
      <c r="C34" s="153"/>
      <c r="D34" s="153"/>
      <c r="E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170">
        <f>SUM(H20:H34)</f>
        <v>90</v>
      </c>
    </row>
    <row r="36" spans="1:8" ht="13.5" thickTop="1" x14ac:dyDescent="0.2">
      <c r="A36" s="153"/>
      <c r="B36" s="153"/>
      <c r="C36" s="153"/>
      <c r="D36" s="153"/>
      <c r="E36" s="153"/>
      <c r="F36" s="153"/>
      <c r="G36" s="153"/>
      <c r="H36" s="153"/>
    </row>
    <row r="37" spans="1:8" ht="21.75" customHeight="1" x14ac:dyDescent="0.2">
      <c r="A37" s="171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 and NO/100 -----------</v>
      </c>
      <c r="C37" s="185"/>
      <c r="D37" s="172"/>
      <c r="E37" s="172"/>
      <c r="F37" s="237"/>
      <c r="G37" s="237"/>
      <c r="H37" s="237"/>
    </row>
    <row r="38" spans="1:8" x14ac:dyDescent="0.2">
      <c r="A38" s="197"/>
      <c r="B38" s="103"/>
      <c r="C38" s="103"/>
      <c r="D38" s="156"/>
      <c r="E38" s="156"/>
      <c r="F38" s="227"/>
      <c r="G38" s="227"/>
      <c r="H38" s="227"/>
    </row>
    <row r="39" spans="1:8" ht="25.5" x14ac:dyDescent="0.2">
      <c r="A39" s="156" t="s">
        <v>10</v>
      </c>
      <c r="B39" s="103"/>
      <c r="C39" s="103"/>
      <c r="D39" s="156"/>
      <c r="E39" s="156"/>
      <c r="F39" s="218" t="s">
        <v>3975</v>
      </c>
      <c r="G39" s="219"/>
      <c r="H39" s="220"/>
    </row>
    <row r="40" spans="1:8" x14ac:dyDescent="0.2">
      <c r="B40" s="153"/>
      <c r="C40" s="153"/>
      <c r="D40" s="153"/>
      <c r="E40" s="153"/>
      <c r="F40" s="228"/>
      <c r="G40" s="229"/>
      <c r="H40" s="229"/>
    </row>
    <row r="41" spans="1:8" x14ac:dyDescent="0.2">
      <c r="B41" s="153"/>
      <c r="C41" s="153"/>
      <c r="D41" s="153"/>
      <c r="E41" s="153"/>
    </row>
    <row r="42" spans="1:8" x14ac:dyDescent="0.2">
      <c r="A42" s="153"/>
      <c r="B42" s="153"/>
      <c r="C42" s="153"/>
      <c r="D42" s="153"/>
      <c r="E42" s="153"/>
      <c r="F42" s="153"/>
      <c r="G42" s="153"/>
      <c r="H42" s="153"/>
    </row>
    <row r="43" spans="1:8" x14ac:dyDescent="0.2">
      <c r="A43" s="153"/>
      <c r="B43" s="153"/>
      <c r="C43" s="153"/>
      <c r="D43" s="173"/>
      <c r="E43" s="173"/>
      <c r="F43" s="153"/>
      <c r="G43" s="153"/>
      <c r="H43" s="153"/>
    </row>
    <row r="44" spans="1:8" x14ac:dyDescent="0.2">
      <c r="A44" s="174"/>
      <c r="B44" s="174"/>
      <c r="C44" s="413"/>
      <c r="D44" s="153"/>
      <c r="E44" s="153"/>
      <c r="F44" s="153"/>
      <c r="G44" s="153"/>
      <c r="H44" s="153"/>
    </row>
    <row r="45" spans="1:8" x14ac:dyDescent="0.2">
      <c r="B45" s="153"/>
      <c r="C45" s="153"/>
      <c r="D45" s="153"/>
      <c r="E45" s="153"/>
      <c r="F45" s="153"/>
      <c r="G45" s="153"/>
      <c r="H45" s="153"/>
    </row>
    <row r="46" spans="1:8" x14ac:dyDescent="0.2">
      <c r="A46" s="175" t="s">
        <v>8</v>
      </c>
      <c r="D46" s="175" t="s">
        <v>8</v>
      </c>
      <c r="E46" s="153"/>
      <c r="F46" s="175" t="s">
        <v>7</v>
      </c>
      <c r="G46" s="153"/>
      <c r="H46" s="176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53"/>
      <c r="B49" s="153"/>
      <c r="C49" s="153"/>
      <c r="D49" s="153"/>
      <c r="E49" s="153"/>
      <c r="F49" s="153"/>
      <c r="G49" s="153"/>
      <c r="H49" s="153"/>
    </row>
    <row r="50" spans="1:8" x14ac:dyDescent="0.2">
      <c r="A50" s="174"/>
      <c r="B50" s="174"/>
      <c r="C50" s="413"/>
      <c r="D50" s="174"/>
      <c r="E50" s="153"/>
      <c r="F50" s="174"/>
      <c r="G50" s="174"/>
      <c r="H50" s="174"/>
    </row>
    <row r="51" spans="1:8" s="178" customFormat="1" ht="17.100000000000001" customHeight="1" x14ac:dyDescent="0.2">
      <c r="A51" s="153" t="s">
        <v>4066</v>
      </c>
      <c r="B51" s="177"/>
      <c r="C51" s="177"/>
      <c r="D51" s="153" t="s">
        <v>8078</v>
      </c>
      <c r="E51" s="156"/>
      <c r="F51" s="156" t="s">
        <v>3</v>
      </c>
      <c r="G51" s="156"/>
      <c r="H51" s="156"/>
    </row>
    <row r="52" spans="1:8" x14ac:dyDescent="0.2">
      <c r="A52" s="153"/>
      <c r="B52" s="153"/>
      <c r="C52" s="153"/>
      <c r="D52" s="153"/>
      <c r="E52" s="153"/>
      <c r="F52" s="153" t="s">
        <v>2</v>
      </c>
      <c r="G52" s="153"/>
      <c r="H52" s="153"/>
    </row>
    <row r="53" spans="1:8" x14ac:dyDescent="0.2">
      <c r="A53" s="153"/>
      <c r="B53" s="153"/>
      <c r="C53" s="153"/>
      <c r="D53" s="153"/>
      <c r="E53" s="153"/>
      <c r="F53" s="153"/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1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63" t="s">
        <v>0</v>
      </c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  <row r="57" spans="1:8" x14ac:dyDescent="0.2">
      <c r="A57" s="153"/>
      <c r="B57" s="153"/>
      <c r="C57" s="153"/>
      <c r="D57" s="153"/>
      <c r="E57" s="153"/>
      <c r="F57" s="153"/>
      <c r="G57" s="153"/>
      <c r="H57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5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1-000000000000}">
  <sheetPr codeName="Sheet316">
    <pageSetUpPr fitToPage="1"/>
  </sheetPr>
  <dimension ref="A1:I55"/>
  <sheetViews>
    <sheetView view="pageBreakPreview" zoomScale="115" zoomScaleNormal="100" zoomScaleSheetLayoutView="115" workbookViewId="0">
      <selection activeCell="H9" sqref="H9:H13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0.7109375" style="91" customWidth="1"/>
    <col min="4" max="4" width="22.5703125" style="91" customWidth="1"/>
    <col min="5" max="5" width="0.7109375" style="91" customWidth="1"/>
    <col min="6" max="6" width="12.85546875" style="91" customWidth="1"/>
    <col min="7" max="7" width="15.28515625" style="91" customWidth="1"/>
    <col min="8" max="8" width="12.5703125" style="91" customWidth="1"/>
    <col min="9" max="9" width="13.28515625" style="91" customWidth="1"/>
    <col min="10" max="16384" width="9.140625" style="9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  <c r="I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  <c r="I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  <c r="I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I4" s="522"/>
    </row>
    <row r="8" spans="1:9" x14ac:dyDescent="0.2">
      <c r="A8" s="91" t="s">
        <v>32</v>
      </c>
      <c r="G8" s="22" t="s">
        <v>31</v>
      </c>
    </row>
    <row r="9" spans="1:9" x14ac:dyDescent="0.2">
      <c r="G9" s="92" t="s">
        <v>1358</v>
      </c>
      <c r="H9" s="91" t="s">
        <v>7714</v>
      </c>
    </row>
    <row r="10" spans="1:9" x14ac:dyDescent="0.2">
      <c r="A10" s="91" t="s">
        <v>3177</v>
      </c>
      <c r="G10" s="92" t="s">
        <v>1357</v>
      </c>
      <c r="H10" s="92" t="s">
        <v>7712</v>
      </c>
    </row>
    <row r="11" spans="1:9" x14ac:dyDescent="0.2">
      <c r="A11" s="91" t="s">
        <v>3178</v>
      </c>
      <c r="G11" s="92" t="s">
        <v>1330</v>
      </c>
      <c r="H11" s="92" t="s">
        <v>1220</v>
      </c>
    </row>
    <row r="12" spans="1:9" x14ac:dyDescent="0.2">
      <c r="G12" s="92" t="s">
        <v>1224</v>
      </c>
      <c r="H12" s="92" t="s">
        <v>7715</v>
      </c>
    </row>
    <row r="13" spans="1:9" x14ac:dyDescent="0.2">
      <c r="H13" s="91" t="s">
        <v>6823</v>
      </c>
    </row>
    <row r="16" spans="1:9" s="162" customFormat="1" ht="20.100000000000001" customHeight="1" x14ac:dyDescent="0.2">
      <c r="A16" s="157" t="s">
        <v>129</v>
      </c>
      <c r="B16" s="157" t="s">
        <v>1379</v>
      </c>
      <c r="C16" s="157"/>
      <c r="D16" s="158" t="s">
        <v>19</v>
      </c>
      <c r="E16" s="158"/>
      <c r="F16" s="158"/>
      <c r="G16" s="160"/>
      <c r="H16" s="161" t="s">
        <v>18</v>
      </c>
    </row>
    <row r="17" spans="1:8" s="152" customFormat="1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s="152" customFormat="1" x14ac:dyDescent="0.2">
      <c r="A18" s="153"/>
      <c r="B18" s="153"/>
      <c r="C18" s="153"/>
      <c r="D18" s="163"/>
      <c r="E18" s="163"/>
      <c r="F18" s="153"/>
      <c r="G18" s="153"/>
      <c r="H18" s="153"/>
    </row>
    <row r="19" spans="1:8" s="152" customFormat="1" x14ac:dyDescent="0.2">
      <c r="A19" s="169" t="s">
        <v>7707</v>
      </c>
      <c r="B19" s="168" t="s">
        <v>7716</v>
      </c>
      <c r="C19" s="153"/>
      <c r="D19" s="153" t="s">
        <v>7717</v>
      </c>
      <c r="E19" s="153"/>
      <c r="F19" s="153"/>
      <c r="G19" s="153"/>
      <c r="H19" s="153">
        <v>2500</v>
      </c>
    </row>
    <row r="20" spans="1:8" s="152" customFormat="1" x14ac:dyDescent="0.2">
      <c r="A20" s="168"/>
      <c r="B20" s="168"/>
      <c r="C20" s="168"/>
      <c r="D20" s="153"/>
      <c r="E20" s="153"/>
      <c r="F20" s="153"/>
      <c r="G20" s="153"/>
      <c r="H20" s="153"/>
    </row>
    <row r="21" spans="1:8" s="152" customFormat="1" x14ac:dyDescent="0.2">
      <c r="A21" s="168"/>
      <c r="B21" s="168"/>
      <c r="C21" s="168"/>
      <c r="D21" s="153"/>
      <c r="E21" s="153"/>
      <c r="F21" s="153"/>
      <c r="G21" s="153"/>
      <c r="H21" s="153"/>
    </row>
    <row r="22" spans="1:8" s="152" customFormat="1" x14ac:dyDescent="0.2">
      <c r="A22" s="168"/>
      <c r="B22" s="168"/>
      <c r="C22" s="168"/>
      <c r="D22" s="153"/>
      <c r="E22" s="153"/>
      <c r="F22" s="153"/>
      <c r="G22" s="153"/>
      <c r="H22" s="153"/>
    </row>
    <row r="23" spans="1:8" s="152" customFormat="1" x14ac:dyDescent="0.2">
      <c r="A23" s="153"/>
      <c r="B23" s="169"/>
      <c r="C23" s="169"/>
      <c r="D23" s="153"/>
      <c r="E23" s="153"/>
      <c r="F23" s="153"/>
      <c r="G23" s="153"/>
      <c r="H23" s="153"/>
    </row>
    <row r="24" spans="1:8" s="152" customFormat="1" x14ac:dyDescent="0.2">
      <c r="A24" s="168"/>
      <c r="B24" s="173"/>
      <c r="C24" s="173"/>
      <c r="D24" s="153"/>
      <c r="E24" s="153"/>
      <c r="F24" s="153"/>
      <c r="G24" s="153"/>
      <c r="H24" s="153"/>
    </row>
    <row r="25" spans="1:8" s="152" customFormat="1" x14ac:dyDescent="0.2">
      <c r="A25" s="168"/>
      <c r="B25" s="173"/>
      <c r="C25" s="173"/>
      <c r="D25" s="153"/>
      <c r="E25" s="153"/>
      <c r="F25" s="153"/>
      <c r="G25" s="153"/>
      <c r="H25" s="153"/>
    </row>
    <row r="26" spans="1:8" s="152" customFormat="1" x14ac:dyDescent="0.2">
      <c r="A26" s="168"/>
      <c r="B26" s="173"/>
      <c r="C26" s="173"/>
      <c r="D26" s="163"/>
      <c r="E26" s="163"/>
      <c r="F26" s="153"/>
      <c r="G26" s="153"/>
      <c r="H26" s="153"/>
    </row>
    <row r="27" spans="1:8" s="152" customFormat="1" x14ac:dyDescent="0.2">
      <c r="A27" s="168"/>
      <c r="B27" s="173"/>
      <c r="C27" s="173"/>
      <c r="D27" s="153"/>
      <c r="E27" s="153"/>
      <c r="F27" s="153"/>
      <c r="G27" s="153"/>
      <c r="H27" s="153"/>
    </row>
    <row r="28" spans="1:8" s="152" customFormat="1" x14ac:dyDescent="0.2">
      <c r="A28" s="168"/>
      <c r="B28" s="173"/>
      <c r="C28" s="173"/>
      <c r="D28" s="153"/>
      <c r="E28" s="153"/>
      <c r="F28" s="153"/>
      <c r="G28" s="153"/>
      <c r="H28" s="153"/>
    </row>
    <row r="29" spans="1:8" s="152" customFormat="1" x14ac:dyDescent="0.2">
      <c r="A29" s="168"/>
      <c r="B29" s="169"/>
      <c r="C29" s="169"/>
      <c r="D29" s="153"/>
      <c r="E29" s="153"/>
      <c r="F29" s="153"/>
      <c r="G29" s="153"/>
      <c r="H29" s="153"/>
    </row>
    <row r="30" spans="1:8" s="152" customFormat="1" x14ac:dyDescent="0.2">
      <c r="A30" s="198"/>
      <c r="B30" s="169"/>
      <c r="C30" s="169"/>
      <c r="D30" s="153"/>
      <c r="E30" s="153"/>
      <c r="F30" s="153"/>
      <c r="G30" s="153"/>
      <c r="H30" s="153"/>
    </row>
    <row r="31" spans="1:8" s="152" customFormat="1" x14ac:dyDescent="0.2">
      <c r="A31" s="198"/>
      <c r="B31" s="169"/>
      <c r="C31" s="169"/>
      <c r="D31" s="153"/>
      <c r="E31" s="153"/>
      <c r="F31" s="153"/>
      <c r="G31" s="153"/>
      <c r="H31" s="153"/>
    </row>
    <row r="32" spans="1:8" s="152" customFormat="1" x14ac:dyDescent="0.2">
      <c r="A32" s="199"/>
      <c r="B32" s="169"/>
      <c r="C32" s="169"/>
      <c r="D32" s="153"/>
      <c r="E32" s="153"/>
      <c r="F32" s="153"/>
      <c r="G32" s="153"/>
      <c r="H32" s="153"/>
    </row>
    <row r="33" spans="1:8" s="152" customFormat="1" x14ac:dyDescent="0.2">
      <c r="A33" s="179"/>
      <c r="B33" s="153"/>
      <c r="C33" s="153"/>
      <c r="D33" s="153"/>
      <c r="E33" s="153"/>
      <c r="F33" s="153"/>
      <c r="G33" s="153"/>
      <c r="H33" s="153"/>
    </row>
    <row r="34" spans="1:8" s="152" customFormat="1" x14ac:dyDescent="0.2">
      <c r="A34" s="153"/>
      <c r="B34" s="153"/>
      <c r="C34" s="153"/>
      <c r="D34" s="153"/>
      <c r="E34" s="153"/>
    </row>
    <row r="35" spans="1:8" s="152" customFormat="1" ht="13.5" thickBot="1" x14ac:dyDescent="0.25">
      <c r="A35" s="153"/>
      <c r="B35" s="153"/>
      <c r="C35" s="153"/>
      <c r="D35" s="153"/>
      <c r="E35" s="153"/>
      <c r="F35" s="153"/>
      <c r="G35" s="153"/>
      <c r="H35" s="170">
        <f>SUM(H18:H34)</f>
        <v>2500</v>
      </c>
    </row>
    <row r="36" spans="1:8" s="152" customFormat="1" ht="13.5" thickTop="1" x14ac:dyDescent="0.2">
      <c r="A36" s="153"/>
      <c r="B36" s="153"/>
      <c r="C36" s="153"/>
      <c r="D36" s="153"/>
      <c r="E36" s="153"/>
      <c r="F36" s="153"/>
      <c r="G36" s="153"/>
      <c r="H36" s="153"/>
    </row>
    <row r="37" spans="1:8" s="152" customFormat="1" ht="21.75" customHeight="1" x14ac:dyDescent="0.2">
      <c r="A37" s="171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Five Hundred and NO/100 -----------</v>
      </c>
      <c r="C37" s="185"/>
      <c r="D37" s="172"/>
      <c r="E37" s="172"/>
      <c r="F37" s="237"/>
      <c r="G37" s="237"/>
      <c r="H37" s="237"/>
    </row>
    <row r="38" spans="1:8" s="152" customFormat="1" x14ac:dyDescent="0.2">
      <c r="A38" s="197"/>
      <c r="B38" s="103"/>
      <c r="C38" s="103"/>
      <c r="D38" s="156"/>
      <c r="E38" s="156"/>
      <c r="F38" s="227"/>
      <c r="G38" s="227"/>
      <c r="H38" s="227"/>
    </row>
    <row r="39" spans="1:8" s="152" customFormat="1" ht="24" customHeight="1" x14ac:dyDescent="0.2">
      <c r="A39" s="156" t="s">
        <v>10</v>
      </c>
      <c r="B39" s="103"/>
      <c r="C39" s="103"/>
      <c r="D39" s="156"/>
      <c r="E39" s="156"/>
      <c r="F39" s="218" t="s">
        <v>3975</v>
      </c>
      <c r="G39" s="219"/>
      <c r="H39" s="220"/>
    </row>
    <row r="40" spans="1:8" s="152" customFormat="1" x14ac:dyDescent="0.2">
      <c r="B40" s="153"/>
      <c r="C40" s="153"/>
      <c r="D40" s="153"/>
      <c r="E40" s="153"/>
      <c r="F40" s="228"/>
      <c r="G40" s="229"/>
      <c r="H40" s="229"/>
    </row>
    <row r="41" spans="1:8" s="152" customFormat="1" x14ac:dyDescent="0.2">
      <c r="B41" s="153"/>
      <c r="C41" s="153"/>
      <c r="D41" s="153"/>
      <c r="E41" s="153"/>
    </row>
    <row r="42" spans="1:8" s="152" customFormat="1" x14ac:dyDescent="0.2">
      <c r="A42" s="153"/>
      <c r="B42" s="153"/>
      <c r="C42" s="153"/>
      <c r="D42" s="153"/>
      <c r="E42" s="153"/>
      <c r="F42" s="153"/>
      <c r="G42" s="153"/>
      <c r="H42" s="153"/>
    </row>
    <row r="43" spans="1:8" s="152" customFormat="1" x14ac:dyDescent="0.2">
      <c r="A43" s="153"/>
      <c r="B43" s="153"/>
      <c r="C43" s="153"/>
      <c r="D43" s="173"/>
      <c r="E43" s="173"/>
      <c r="F43" s="153"/>
      <c r="G43" s="153"/>
      <c r="H43" s="153"/>
    </row>
    <row r="44" spans="1:8" s="152" customFormat="1" x14ac:dyDescent="0.2">
      <c r="A44" s="174"/>
      <c r="B44" s="174"/>
      <c r="C44" s="413"/>
      <c r="D44" s="153"/>
      <c r="E44" s="153"/>
      <c r="F44" s="153"/>
      <c r="G44" s="153"/>
      <c r="H44" s="153"/>
    </row>
    <row r="45" spans="1:8" s="152" customFormat="1" x14ac:dyDescent="0.2">
      <c r="B45" s="153"/>
      <c r="C45" s="153"/>
      <c r="D45" s="153"/>
      <c r="E45" s="153"/>
      <c r="F45" s="153"/>
      <c r="G45" s="153"/>
      <c r="H45" s="153"/>
    </row>
    <row r="46" spans="1:8" s="152" customFormat="1" x14ac:dyDescent="0.2">
      <c r="A46" s="175" t="s">
        <v>8</v>
      </c>
      <c r="D46" s="175" t="s">
        <v>8</v>
      </c>
      <c r="E46" s="153"/>
      <c r="F46" s="175" t="s">
        <v>7</v>
      </c>
      <c r="G46" s="153"/>
      <c r="H46" s="176"/>
    </row>
    <row r="47" spans="1:8" s="152" customFormat="1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s="152" customFormat="1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s="152" customFormat="1" x14ac:dyDescent="0.2">
      <c r="A49" s="153"/>
      <c r="B49" s="153"/>
      <c r="C49" s="153"/>
      <c r="D49" s="153"/>
      <c r="E49" s="153"/>
      <c r="F49" s="153"/>
      <c r="G49" s="153"/>
      <c r="H49" s="153"/>
    </row>
    <row r="50" spans="1:8" s="152" customFormat="1" x14ac:dyDescent="0.2">
      <c r="A50" s="174"/>
      <c r="B50" s="174"/>
      <c r="C50" s="413"/>
      <c r="D50" s="174"/>
      <c r="E50" s="153"/>
      <c r="F50" s="174"/>
      <c r="G50" s="174"/>
      <c r="H50" s="174"/>
    </row>
    <row r="51" spans="1:8" s="178" customFormat="1" ht="17.100000000000001" customHeight="1" x14ac:dyDescent="0.2">
      <c r="A51" s="153" t="s">
        <v>4066</v>
      </c>
      <c r="B51" s="177"/>
      <c r="C51" s="177"/>
      <c r="D51" s="153" t="s">
        <v>50</v>
      </c>
      <c r="E51" s="156"/>
      <c r="F51" s="156" t="s">
        <v>3</v>
      </c>
      <c r="G51" s="156"/>
      <c r="H51" s="156"/>
    </row>
    <row r="52" spans="1:8" s="152" customFormat="1" x14ac:dyDescent="0.2">
      <c r="A52" s="153"/>
      <c r="B52" s="153"/>
      <c r="C52" s="153"/>
      <c r="D52" s="153"/>
      <c r="E52" s="153"/>
      <c r="F52" s="153" t="s">
        <v>2</v>
      </c>
      <c r="G52" s="153"/>
      <c r="H52" s="153"/>
    </row>
    <row r="53" spans="1:8" s="152" customFormat="1" x14ac:dyDescent="0.2">
      <c r="A53" s="153"/>
      <c r="B53" s="153"/>
      <c r="C53" s="153"/>
      <c r="D53" s="153"/>
      <c r="E53" s="153"/>
      <c r="F53" s="153"/>
      <c r="G53" s="153"/>
      <c r="H53" s="153"/>
    </row>
    <row r="54" spans="1:8" s="152" customFormat="1" x14ac:dyDescent="0.2">
      <c r="A54" s="153"/>
      <c r="B54" s="153"/>
      <c r="C54" s="153"/>
      <c r="D54" s="153"/>
      <c r="E54" s="153"/>
      <c r="F54" s="163" t="s">
        <v>1</v>
      </c>
      <c r="G54" s="153"/>
      <c r="H54" s="153"/>
    </row>
    <row r="55" spans="1:8" s="152" customFormat="1" x14ac:dyDescent="0.2">
      <c r="A55" s="153"/>
      <c r="B55" s="153"/>
      <c r="C55" s="153"/>
      <c r="D55" s="153"/>
      <c r="E55" s="153"/>
      <c r="F55" s="163" t="s">
        <v>0</v>
      </c>
      <c r="G55" s="153"/>
      <c r="H55" s="153"/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I1"/>
    <mergeCell ref="A2:I2"/>
    <mergeCell ref="A3:I3"/>
    <mergeCell ref="A4:I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5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1-000000000000}">
  <sheetPr codeName="Sheet317">
    <pageSetUpPr fitToPage="1"/>
  </sheetPr>
  <dimension ref="A1:F52"/>
  <sheetViews>
    <sheetView topLeftCell="A34" workbookViewId="0">
      <selection activeCell="A16" sqref="A16:XFD16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3547</v>
      </c>
    </row>
    <row r="10" spans="1:6" x14ac:dyDescent="0.2">
      <c r="A10" s="91" t="s">
        <v>3087</v>
      </c>
      <c r="D10" s="92" t="s">
        <v>1444</v>
      </c>
      <c r="E10" s="91" t="s">
        <v>3545</v>
      </c>
    </row>
    <row r="11" spans="1:6" x14ac:dyDescent="0.2">
      <c r="A11" s="91" t="s">
        <v>3088</v>
      </c>
      <c r="D11" s="92" t="s">
        <v>1431</v>
      </c>
      <c r="E11" s="92" t="s">
        <v>1220</v>
      </c>
    </row>
    <row r="12" spans="1:6" x14ac:dyDescent="0.2">
      <c r="A12" s="91" t="s">
        <v>3089</v>
      </c>
      <c r="D12" s="92" t="s">
        <v>1268</v>
      </c>
      <c r="E12" s="94" t="s">
        <v>3548</v>
      </c>
    </row>
    <row r="13" spans="1:6" x14ac:dyDescent="0.2">
      <c r="A13" s="91" t="s">
        <v>1314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3549</v>
      </c>
    </row>
    <row r="20" spans="1:6" x14ac:dyDescent="0.2">
      <c r="A20" s="111" t="s">
        <v>3550</v>
      </c>
      <c r="B20" s="93"/>
      <c r="C20" s="91" t="s">
        <v>3552</v>
      </c>
      <c r="F20" s="110">
        <f>8.2*18</f>
        <v>147.6</v>
      </c>
    </row>
    <row r="21" spans="1:6" x14ac:dyDescent="0.2">
      <c r="A21" s="111"/>
      <c r="B21" s="93"/>
      <c r="C21" s="91" t="s">
        <v>3551</v>
      </c>
    </row>
    <row r="22" spans="1:6" x14ac:dyDescent="0.2">
      <c r="C22" s="91" t="s">
        <v>3090</v>
      </c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147.6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3553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1-000000000000}">
  <sheetPr codeName="Sheet197"/>
  <dimension ref="A1:F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5" spans="1:6" hidden="1" x14ac:dyDescent="0.2"/>
    <row r="8" spans="1:6" x14ac:dyDescent="0.2">
      <c r="A8" s="91" t="s">
        <v>32</v>
      </c>
      <c r="D8" s="22" t="s">
        <v>31</v>
      </c>
    </row>
    <row r="9" spans="1:6" x14ac:dyDescent="0.2">
      <c r="D9" s="92" t="s">
        <v>1300</v>
      </c>
      <c r="E9" s="61" t="s">
        <v>2826</v>
      </c>
    </row>
    <row r="10" spans="1:6" x14ac:dyDescent="0.2">
      <c r="A10" s="91" t="s">
        <v>2155</v>
      </c>
      <c r="D10" s="92" t="s">
        <v>1356</v>
      </c>
      <c r="E10" s="113" t="s">
        <v>2825</v>
      </c>
    </row>
    <row r="11" spans="1:6" x14ac:dyDescent="0.2">
      <c r="A11" s="91" t="s">
        <v>2156</v>
      </c>
      <c r="D11" s="92" t="s">
        <v>1364</v>
      </c>
      <c r="E11" s="113" t="s">
        <v>1220</v>
      </c>
    </row>
    <row r="12" spans="1:6" x14ac:dyDescent="0.2">
      <c r="D12" s="92" t="s">
        <v>1224</v>
      </c>
      <c r="E12" s="113" t="s">
        <v>2827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9"/>
      <c r="C18" s="2" t="s">
        <v>2828</v>
      </c>
    </row>
    <row r="19" spans="1:6" x14ac:dyDescent="0.2">
      <c r="A19" s="93"/>
      <c r="C19" s="2" t="s">
        <v>2829</v>
      </c>
    </row>
    <row r="21" spans="1:6" x14ac:dyDescent="0.2">
      <c r="A21" s="92" t="s">
        <v>2830</v>
      </c>
      <c r="B21" s="91" t="s">
        <v>2831</v>
      </c>
      <c r="C21" s="91" t="s">
        <v>2832</v>
      </c>
      <c r="F21" s="91">
        <v>3000</v>
      </c>
    </row>
    <row r="22" spans="1:6" x14ac:dyDescent="0.2">
      <c r="A22" s="93"/>
      <c r="C22" s="91" t="s">
        <v>2833</v>
      </c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  <c r="C26" s="143"/>
    </row>
    <row r="27" spans="1:6" x14ac:dyDescent="0.2">
      <c r="A27" s="93"/>
      <c r="B27" s="99"/>
    </row>
    <row r="28" spans="1:6" x14ac:dyDescent="0.2">
      <c r="A28" s="93"/>
    </row>
    <row r="29" spans="1:6" x14ac:dyDescent="0.2">
      <c r="A29" s="93"/>
    </row>
    <row r="30" spans="1:6" x14ac:dyDescent="0.2">
      <c r="A30" s="93"/>
    </row>
    <row r="31" spans="1:6" x14ac:dyDescent="0.2">
      <c r="A31" s="93"/>
    </row>
    <row r="32" spans="1:6" x14ac:dyDescent="0.2">
      <c r="A32" s="93"/>
      <c r="B32" s="99"/>
    </row>
    <row r="33" spans="1:6" x14ac:dyDescent="0.2">
      <c r="A33" s="93"/>
    </row>
    <row r="34" spans="1:6" ht="13.5" thickBot="1" x14ac:dyDescent="0.25">
      <c r="A34" s="93"/>
      <c r="F34" s="107"/>
    </row>
    <row r="35" spans="1:6" ht="14.25" thickTop="1" thickBot="1" x14ac:dyDescent="0.25">
      <c r="A35" s="93"/>
      <c r="F35" s="107">
        <f>SUM(F18:F34)</f>
        <v>3000</v>
      </c>
    </row>
    <row r="36" spans="1:6" ht="26.25" thickTop="1" x14ac:dyDescent="0.2">
      <c r="A36" s="106"/>
      <c r="D36" s="218" t="s">
        <v>3975</v>
      </c>
      <c r="E36" s="219"/>
      <c r="F36" s="220"/>
    </row>
    <row r="37" spans="1:6" ht="20.100000000000001" customHeight="1" x14ac:dyDescent="0.2">
      <c r="A37" s="96" t="s">
        <v>1248</v>
      </c>
      <c r="B37" s="185" t="s">
        <v>1345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61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hiddenRows="1">
      <selection activeCell="E9" sqref="E9"/>
      <pageMargins left="0.74803149606299213" right="0.74803149606299213" top="0.59055118110236227" bottom="0.78740157480314965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0" orientation="portrait" r:id="rId2"/>
  <headerFooter alignWithMargins="0"/>
</worksheet>
</file>

<file path=xl/worksheets/sheet5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1-000000000000}">
  <sheetPr codeName="Sheet264"/>
  <dimension ref="A1:G51"/>
  <sheetViews>
    <sheetView topLeftCell="A19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61" t="s">
        <v>2842</v>
      </c>
      <c r="G9" s="61"/>
    </row>
    <row r="10" spans="1:7" x14ac:dyDescent="0.2">
      <c r="A10" s="91" t="s">
        <v>2781</v>
      </c>
      <c r="D10" s="92" t="s">
        <v>1335</v>
      </c>
      <c r="E10" s="113" t="s">
        <v>2841</v>
      </c>
      <c r="G10" s="113"/>
    </row>
    <row r="11" spans="1:7" x14ac:dyDescent="0.2">
      <c r="A11" s="91" t="s">
        <v>2782</v>
      </c>
      <c r="D11" s="92" t="s">
        <v>1333</v>
      </c>
      <c r="E11" s="113" t="s">
        <v>1220</v>
      </c>
      <c r="G11" s="113"/>
    </row>
    <row r="12" spans="1:7" x14ac:dyDescent="0.2">
      <c r="A12" s="91" t="s">
        <v>2783</v>
      </c>
      <c r="D12" s="92" t="s">
        <v>1331</v>
      </c>
      <c r="E12" s="113" t="s">
        <v>2843</v>
      </c>
      <c r="G12" s="113"/>
    </row>
    <row r="13" spans="1:7" x14ac:dyDescent="0.2">
      <c r="A13" s="91" t="s">
        <v>1015</v>
      </c>
    </row>
    <row r="14" spans="1:7" x14ac:dyDescent="0.2">
      <c r="A14" s="91" t="s">
        <v>2784</v>
      </c>
    </row>
    <row r="15" spans="1:7" x14ac:dyDescent="0.2">
      <c r="A15" s="91" t="s">
        <v>2855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2844</v>
      </c>
    </row>
    <row r="19" spans="1:6" x14ac:dyDescent="0.2">
      <c r="A19" s="93"/>
      <c r="B19" s="111"/>
      <c r="F19" s="151"/>
    </row>
    <row r="20" spans="1:6" x14ac:dyDescent="0.2">
      <c r="A20" s="93" t="s">
        <v>2845</v>
      </c>
      <c r="B20" s="111" t="s">
        <v>2846</v>
      </c>
      <c r="C20" s="91" t="s">
        <v>2847</v>
      </c>
      <c r="F20" s="110">
        <f>1.05*2000</f>
        <v>2100</v>
      </c>
    </row>
    <row r="21" spans="1:6" x14ac:dyDescent="0.2">
      <c r="A21" s="93"/>
      <c r="B21" s="111"/>
    </row>
    <row r="22" spans="1:6" x14ac:dyDescent="0.2">
      <c r="A22" s="111"/>
      <c r="B22" s="93"/>
      <c r="C22" s="2" t="s">
        <v>2848</v>
      </c>
    </row>
    <row r="23" spans="1:6" x14ac:dyDescent="0.2">
      <c r="A23" s="93"/>
      <c r="B23" s="111"/>
    </row>
    <row r="24" spans="1:6" x14ac:dyDescent="0.2">
      <c r="A24" s="111" t="s">
        <v>2845</v>
      </c>
      <c r="B24" s="93" t="s">
        <v>2849</v>
      </c>
      <c r="C24" s="91" t="s">
        <v>2850</v>
      </c>
      <c r="F24" s="110">
        <v>950</v>
      </c>
    </row>
    <row r="26" spans="1:6" x14ac:dyDescent="0.2">
      <c r="C26" s="2" t="s">
        <v>2851</v>
      </c>
    </row>
    <row r="27" spans="1:6" x14ac:dyDescent="0.2">
      <c r="A27" s="93"/>
      <c r="B27" s="111"/>
    </row>
    <row r="28" spans="1:6" x14ac:dyDescent="0.2">
      <c r="A28" s="111" t="s">
        <v>2852</v>
      </c>
      <c r="B28" s="111" t="s">
        <v>2853</v>
      </c>
      <c r="C28" s="91" t="s">
        <v>2847</v>
      </c>
      <c r="F28" s="110">
        <f>2000*1.05</f>
        <v>2100</v>
      </c>
    </row>
    <row r="29" spans="1:6" x14ac:dyDescent="0.2">
      <c r="A29" s="1"/>
      <c r="B29" s="1"/>
    </row>
    <row r="30" spans="1:6" x14ac:dyDescent="0.2">
      <c r="A30" s="1"/>
      <c r="B30" s="1"/>
    </row>
    <row r="32" spans="1:6" ht="13.5" thickBot="1" x14ac:dyDescent="0.25">
      <c r="F32" s="95">
        <f>SUM(F18:F31)</f>
        <v>5150</v>
      </c>
    </row>
    <row r="33" spans="1:6" ht="13.5" thickTop="1" x14ac:dyDescent="0.2"/>
    <row r="34" spans="1:6" ht="20.100000000000001" customHeight="1" thickBot="1" x14ac:dyDescent="0.25">
      <c r="A34" s="96" t="s">
        <v>336</v>
      </c>
      <c r="B34" s="96" t="s">
        <v>2854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A41" s="1"/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3" customFormat="1" ht="17.100000000000001" customHeight="1" x14ac:dyDescent="0.2">
      <c r="A47" s="104" t="s">
        <v>3972</v>
      </c>
      <c r="B47" s="104"/>
      <c r="C47" s="61"/>
      <c r="D47" s="61" t="s">
        <v>3</v>
      </c>
      <c r="E47" s="61"/>
      <c r="F47" s="61"/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5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1-000000000000}">
  <sheetPr codeName="Sheet265">
    <pageSetUpPr fitToPage="1"/>
  </sheetPr>
  <dimension ref="A1:L59"/>
  <sheetViews>
    <sheetView workbookViewId="0">
      <selection activeCell="E9" sqref="E9:E12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0" width="9.140625" style="91"/>
    <col min="11" max="12" width="9.42578125" style="91" bestFit="1" customWidth="1"/>
    <col min="13" max="16384" width="9.140625" style="9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</row>
    <row r="2" spans="1:11" x14ac:dyDescent="0.2">
      <c r="A2" s="522" t="s">
        <v>33</v>
      </c>
      <c r="B2" s="522"/>
      <c r="C2" s="522"/>
      <c r="D2" s="522"/>
      <c r="E2" s="522"/>
      <c r="F2" s="522"/>
    </row>
    <row r="3" spans="1:11" x14ac:dyDescent="0.2">
      <c r="A3" s="522" t="s">
        <v>1829</v>
      </c>
      <c r="B3" s="522"/>
      <c r="C3" s="522"/>
      <c r="D3" s="522"/>
      <c r="E3" s="522"/>
      <c r="F3" s="522"/>
    </row>
    <row r="4" spans="1:11" x14ac:dyDescent="0.2">
      <c r="A4" s="522" t="s">
        <v>1828</v>
      </c>
      <c r="B4" s="522"/>
      <c r="C4" s="522"/>
      <c r="D4" s="522"/>
      <c r="E4" s="522"/>
      <c r="F4" s="522"/>
    </row>
    <row r="8" spans="1:11" x14ac:dyDescent="0.2">
      <c r="A8" s="91" t="s">
        <v>32</v>
      </c>
      <c r="D8" s="22" t="s">
        <v>31</v>
      </c>
    </row>
    <row r="9" spans="1:11" x14ac:dyDescent="0.2">
      <c r="D9" s="92" t="s">
        <v>1358</v>
      </c>
      <c r="E9" s="155" t="s">
        <v>7460</v>
      </c>
    </row>
    <row r="10" spans="1:11" x14ac:dyDescent="0.2">
      <c r="A10" s="91" t="s">
        <v>2750</v>
      </c>
      <c r="D10" s="92" t="s">
        <v>1357</v>
      </c>
      <c r="E10" s="155" t="s">
        <v>7448</v>
      </c>
    </row>
    <row r="11" spans="1:11" x14ac:dyDescent="0.2">
      <c r="A11" s="91" t="s">
        <v>2751</v>
      </c>
      <c r="D11" s="92" t="s">
        <v>1330</v>
      </c>
      <c r="E11" s="155" t="s">
        <v>1220</v>
      </c>
    </row>
    <row r="12" spans="1:11" x14ac:dyDescent="0.2">
      <c r="A12" s="91" t="s">
        <v>2752</v>
      </c>
      <c r="D12" s="92" t="s">
        <v>1224</v>
      </c>
      <c r="E12" s="91" t="s">
        <v>7461</v>
      </c>
      <c r="K12" s="108"/>
    </row>
    <row r="13" spans="1:11" x14ac:dyDescent="0.2">
      <c r="A13" s="91" t="s">
        <v>2753</v>
      </c>
      <c r="K13" s="108"/>
    </row>
    <row r="14" spans="1:11" x14ac:dyDescent="0.2">
      <c r="A14" s="91" t="s">
        <v>2754</v>
      </c>
      <c r="K14" s="108"/>
    </row>
    <row r="15" spans="1:11" x14ac:dyDescent="0.2">
      <c r="K15" s="108"/>
    </row>
    <row r="16" spans="1:11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  <c r="K16" s="364"/>
    </row>
    <row r="17" spans="1:12" s="152" customFormat="1" x14ac:dyDescent="0.2">
      <c r="A17" s="153"/>
      <c r="B17" s="153"/>
      <c r="C17" s="153"/>
      <c r="D17" s="153"/>
      <c r="E17" s="153"/>
      <c r="F17" s="153"/>
      <c r="K17" s="365"/>
      <c r="L17" s="365"/>
    </row>
    <row r="18" spans="1:12" s="152" customFormat="1" x14ac:dyDescent="0.2">
      <c r="A18" s="153"/>
      <c r="B18" s="153"/>
      <c r="C18" s="163" t="s">
        <v>6464</v>
      </c>
      <c r="D18" s="153"/>
      <c r="E18" s="153"/>
      <c r="F18" s="153"/>
      <c r="K18" s="365"/>
    </row>
    <row r="19" spans="1:12" s="152" customFormat="1" x14ac:dyDescent="0.2">
      <c r="A19" s="153"/>
      <c r="B19" s="153"/>
      <c r="C19" s="153"/>
      <c r="D19" s="153"/>
      <c r="E19" s="153"/>
      <c r="F19" s="153"/>
      <c r="K19" s="365"/>
    </row>
    <row r="20" spans="1:12" s="152" customFormat="1" x14ac:dyDescent="0.2">
      <c r="A20" s="168" t="s">
        <v>7439</v>
      </c>
      <c r="B20" s="168" t="s">
        <v>7462</v>
      </c>
      <c r="C20" s="153" t="s">
        <v>7463</v>
      </c>
      <c r="D20" s="153"/>
      <c r="E20" s="153"/>
      <c r="F20" s="153">
        <v>2560</v>
      </c>
      <c r="K20" s="365"/>
    </row>
    <row r="21" spans="1:12" s="152" customFormat="1" x14ac:dyDescent="0.2">
      <c r="A21" s="168"/>
      <c r="B21" s="168"/>
      <c r="C21" s="153" t="s">
        <v>7464</v>
      </c>
      <c r="D21" s="153"/>
      <c r="E21" s="153"/>
      <c r="F21" s="153">
        <f>44*62</f>
        <v>2728</v>
      </c>
      <c r="K21" s="365"/>
    </row>
    <row r="22" spans="1:12" s="152" customFormat="1" x14ac:dyDescent="0.2">
      <c r="A22" s="168"/>
      <c r="B22" s="168"/>
      <c r="C22" s="153" t="s">
        <v>7465</v>
      </c>
      <c r="D22" s="153"/>
      <c r="E22" s="153"/>
      <c r="F22" s="153">
        <v>260</v>
      </c>
      <c r="K22" s="365"/>
    </row>
    <row r="23" spans="1:12" s="152" customFormat="1" x14ac:dyDescent="0.2">
      <c r="A23" s="153"/>
      <c r="B23" s="169"/>
      <c r="C23" s="153" t="s">
        <v>7466</v>
      </c>
      <c r="D23" s="153"/>
      <c r="E23" s="153"/>
      <c r="F23" s="153">
        <f>15*9</f>
        <v>135</v>
      </c>
      <c r="K23" s="365"/>
    </row>
    <row r="24" spans="1:12" s="152" customFormat="1" x14ac:dyDescent="0.2">
      <c r="A24" s="168"/>
      <c r="B24" s="173"/>
      <c r="C24" s="153"/>
      <c r="D24" s="153"/>
      <c r="E24" s="153"/>
      <c r="F24" s="153"/>
      <c r="K24" s="365"/>
    </row>
    <row r="25" spans="1:12" s="152" customFormat="1" x14ac:dyDescent="0.2">
      <c r="A25" s="168"/>
      <c r="B25" s="173"/>
      <c r="K25" s="365"/>
    </row>
    <row r="26" spans="1:12" s="152" customFormat="1" x14ac:dyDescent="0.2">
      <c r="A26" s="168"/>
      <c r="B26" s="173"/>
      <c r="C26" s="153"/>
      <c r="D26" s="153"/>
      <c r="E26" s="153"/>
      <c r="F26" s="153"/>
      <c r="K26" s="365"/>
    </row>
    <row r="27" spans="1:12" s="152" customFormat="1" x14ac:dyDescent="0.2">
      <c r="A27" s="168"/>
      <c r="B27" s="173"/>
      <c r="C27" s="153"/>
      <c r="D27" s="153"/>
      <c r="E27" s="153"/>
      <c r="F27" s="153"/>
      <c r="K27" s="365"/>
    </row>
    <row r="28" spans="1:12" s="152" customFormat="1" x14ac:dyDescent="0.2">
      <c r="A28" s="168"/>
      <c r="B28" s="173"/>
      <c r="C28" s="153"/>
      <c r="D28" s="153"/>
      <c r="E28" s="153"/>
      <c r="F28" s="153"/>
    </row>
    <row r="29" spans="1:12" s="152" customFormat="1" x14ac:dyDescent="0.2">
      <c r="A29" s="168"/>
      <c r="B29" s="169"/>
      <c r="C29" s="153"/>
      <c r="D29" s="153"/>
      <c r="E29" s="153"/>
      <c r="F29" s="153"/>
    </row>
    <row r="30" spans="1:12" s="152" customFormat="1" x14ac:dyDescent="0.2">
      <c r="A30" s="187"/>
      <c r="B30" s="168"/>
      <c r="C30" s="153"/>
      <c r="D30" s="153"/>
      <c r="E30" s="153"/>
      <c r="F30" s="153"/>
    </row>
    <row r="31" spans="1:12" s="152" customFormat="1" x14ac:dyDescent="0.2">
      <c r="A31" s="198"/>
      <c r="B31" s="169"/>
      <c r="C31" s="153"/>
      <c r="D31" s="153"/>
      <c r="E31" s="153"/>
      <c r="F31" s="153"/>
    </row>
    <row r="32" spans="1:12" s="152" customFormat="1" x14ac:dyDescent="0.2">
      <c r="A32" s="198"/>
      <c r="B32" s="169"/>
      <c r="C32" s="153"/>
      <c r="D32" s="153"/>
      <c r="E32" s="153"/>
      <c r="F32" s="153"/>
    </row>
    <row r="33" spans="1:6" s="152" customFormat="1" x14ac:dyDescent="0.2">
      <c r="A33" s="198"/>
      <c r="B33" s="169"/>
      <c r="C33" s="153"/>
      <c r="D33" s="153"/>
      <c r="E33" s="153"/>
      <c r="F33" s="153"/>
    </row>
    <row r="34" spans="1:6" s="152" customFormat="1" x14ac:dyDescent="0.2">
      <c r="A34" s="198"/>
      <c r="B34" s="169"/>
      <c r="C34" s="153"/>
      <c r="D34" s="153"/>
      <c r="E34" s="153"/>
      <c r="F34" s="153"/>
    </row>
    <row r="35" spans="1:6" s="152" customFormat="1" x14ac:dyDescent="0.2"/>
    <row r="36" spans="1:6" s="152" customFormat="1" x14ac:dyDescent="0.2">
      <c r="A36" s="187"/>
      <c r="B36" s="168"/>
      <c r="C36" s="153"/>
      <c r="D36" s="153"/>
      <c r="E36" s="153"/>
      <c r="F36" s="153"/>
    </row>
    <row r="37" spans="1:6" s="152" customFormat="1" x14ac:dyDescent="0.2">
      <c r="A37" s="198"/>
      <c r="B37" s="169"/>
      <c r="C37" s="153"/>
      <c r="D37" s="153"/>
      <c r="E37" s="153"/>
      <c r="F37" s="153"/>
    </row>
    <row r="38" spans="1:6" s="152" customFormat="1" x14ac:dyDescent="0.2">
      <c r="A38" s="153"/>
      <c r="B38" s="153"/>
      <c r="C38" s="153"/>
    </row>
    <row r="39" spans="1:6" s="152" customFormat="1" ht="13.5" thickBot="1" x14ac:dyDescent="0.25">
      <c r="A39" s="153"/>
      <c r="B39" s="153"/>
      <c r="C39" s="153"/>
      <c r="D39" s="153"/>
      <c r="E39" s="153"/>
      <c r="F39" s="170">
        <f>SUM(F20:F38)</f>
        <v>5683</v>
      </c>
    </row>
    <row r="40" spans="1:6" s="152" customFormat="1" ht="13.5" thickTop="1" x14ac:dyDescent="0.2">
      <c r="A40" s="153"/>
      <c r="B40" s="153"/>
      <c r="C40" s="153"/>
      <c r="D40" s="153"/>
      <c r="E40" s="153"/>
      <c r="F40" s="153"/>
    </row>
    <row r="41" spans="1:6" s="152" customFormat="1" ht="21.75" customHeight="1" x14ac:dyDescent="0.2">
      <c r="A41" s="171" t="s">
        <v>122</v>
      </c>
      <c r="B41" s="185" t="str">
        <f>IF(OR(F39&gt;1000000,F39&lt;=0),"",IF(F39&lt;1000,"",IF(MOD(F39,1000000)&gt;=100000,INDEX(numbers,TRUNC(MOD(F39,1000000)/100000,0)+1)&amp;" Hundred","")&amp;IF(MOD(F39,100000)&gt;=20000," "&amp;INDEX(tens,TRUNC(MOD(F39,100000)/10000,0)+1)&amp;IF(MOD(MOD(F39,100000),10000)&gt;=1000,"-"&amp;INDEX(numbers,TRUNC(MOD(MOD(F39,100000),10000)/1000,0)+1),""),IF(MOD(F39,100000)&gt;=1000," "&amp;INDEX(numbers,TRUNC(MOD(F39,100000)/1000,0)+1),""))&amp;" Thousand") &amp; IF(F39&lt;1,"Zero Dollars",IF(MOD(F39,1000)&gt;=100," "&amp;INDEX(numbers,TRUNC(MOD(F39,1000)/100,0)+1)&amp;" Hundred","")&amp;IF(MOD(F39,100)&gt;=20," "&amp;INDEX(tens,TRUNC(MOD(F39,100)/10,0)+1)&amp;IF(MOD(MOD(F39,100),10)&gt;=1,"-"&amp;INDEX(numbers,TRUNC(MOD(MOD(F39,100),10),0)+1),""),IF(MOD(F39,100)&gt;=1," "&amp;INDEX(numbers,TRUNC(MOD(F39,100),0)+1),""))&amp;"") &amp; " and " &amp; IF(MOD(F39,1)&lt;0.005,"NO",ROUND(MOD(F39,1)*100,0)) &amp; "/100 -----------")</f>
        <v xml:space="preserve"> Five Thousand Six Hundred Eighty-Three and NO/100 -----------</v>
      </c>
      <c r="C41" s="172"/>
      <c r="D41" s="237"/>
      <c r="E41" s="237"/>
      <c r="F41" s="237"/>
    </row>
    <row r="42" spans="1:6" s="152" customFormat="1" x14ac:dyDescent="0.2">
      <c r="A42" s="197"/>
      <c r="B42" s="103"/>
      <c r="C42" s="156"/>
      <c r="D42" s="227"/>
      <c r="E42" s="227"/>
      <c r="F42" s="227"/>
    </row>
    <row r="43" spans="1:6" s="152" customFormat="1" ht="25.5" x14ac:dyDescent="0.2">
      <c r="A43" s="156" t="s">
        <v>10</v>
      </c>
      <c r="B43" s="103"/>
      <c r="C43" s="156"/>
      <c r="D43" s="218" t="s">
        <v>3975</v>
      </c>
      <c r="E43" s="219"/>
      <c r="F43" s="220"/>
    </row>
    <row r="44" spans="1:6" s="152" customFormat="1" x14ac:dyDescent="0.2">
      <c r="B44" s="153"/>
      <c r="C44" s="153"/>
      <c r="D44" s="228"/>
      <c r="E44" s="229"/>
      <c r="F44" s="229"/>
    </row>
    <row r="45" spans="1:6" s="152" customFormat="1" x14ac:dyDescent="0.2">
      <c r="B45" s="153"/>
      <c r="C45" s="153"/>
    </row>
    <row r="46" spans="1:6" s="152" customFormat="1" x14ac:dyDescent="0.2">
      <c r="A46" s="153"/>
      <c r="B46" s="153"/>
      <c r="C46" s="153"/>
      <c r="D46" s="153"/>
      <c r="E46" s="153"/>
      <c r="F46" s="153"/>
    </row>
    <row r="47" spans="1:6" s="152" customFormat="1" x14ac:dyDescent="0.2">
      <c r="A47" s="153"/>
      <c r="B47" s="153"/>
      <c r="C47" s="173"/>
      <c r="D47" s="153"/>
      <c r="E47" s="153"/>
      <c r="F47" s="153"/>
    </row>
    <row r="48" spans="1:6" s="152" customFormat="1" x14ac:dyDescent="0.2">
      <c r="A48" s="174"/>
      <c r="B48" s="174"/>
      <c r="C48" s="153"/>
      <c r="D48" s="153"/>
      <c r="E48" s="153"/>
      <c r="F48" s="153"/>
    </row>
    <row r="49" spans="1:6" s="152" customFormat="1" x14ac:dyDescent="0.2">
      <c r="B49" s="153"/>
      <c r="C49" s="153"/>
      <c r="D49" s="153"/>
      <c r="E49" s="153"/>
      <c r="F49" s="153"/>
    </row>
    <row r="50" spans="1:6" s="152" customFormat="1" x14ac:dyDescent="0.2">
      <c r="A50" s="175" t="s">
        <v>8</v>
      </c>
      <c r="C50" s="153"/>
      <c r="D50" s="175" t="s">
        <v>7</v>
      </c>
      <c r="E50" s="153"/>
      <c r="F50" s="176"/>
    </row>
    <row r="51" spans="1:6" s="152" customFormat="1" x14ac:dyDescent="0.2">
      <c r="A51" s="153"/>
      <c r="B51" s="153"/>
      <c r="C51" s="153"/>
      <c r="D51" s="153"/>
      <c r="E51" s="153"/>
      <c r="F51" s="153"/>
    </row>
    <row r="52" spans="1:6" s="152" customFormat="1" x14ac:dyDescent="0.2">
      <c r="A52" s="153"/>
      <c r="B52" s="153"/>
      <c r="C52" s="153"/>
      <c r="D52" s="153"/>
      <c r="E52" s="153"/>
      <c r="F52" s="153"/>
    </row>
    <row r="53" spans="1:6" s="152" customFormat="1" x14ac:dyDescent="0.2">
      <c r="A53" s="153"/>
      <c r="B53" s="153"/>
      <c r="C53" s="153"/>
      <c r="D53" s="153"/>
      <c r="E53" s="153"/>
      <c r="F53" s="153"/>
    </row>
    <row r="54" spans="1:6" s="152" customFormat="1" x14ac:dyDescent="0.2">
      <c r="A54" s="174"/>
      <c r="B54" s="174"/>
      <c r="C54" s="153"/>
      <c r="D54" s="174"/>
      <c r="E54" s="174"/>
      <c r="F54" s="174"/>
    </row>
    <row r="55" spans="1:6" s="178" customFormat="1" ht="17.100000000000001" customHeight="1" x14ac:dyDescent="0.2">
      <c r="A55" s="153" t="s">
        <v>4066</v>
      </c>
      <c r="B55" s="177"/>
      <c r="C55" s="156"/>
      <c r="D55" s="156" t="s">
        <v>3</v>
      </c>
      <c r="E55" s="156"/>
      <c r="F55" s="156"/>
    </row>
    <row r="56" spans="1:6" s="152" customFormat="1" x14ac:dyDescent="0.2">
      <c r="A56" s="153"/>
      <c r="B56" s="153"/>
      <c r="C56" s="153"/>
      <c r="D56" s="153" t="s">
        <v>2</v>
      </c>
      <c r="E56" s="153"/>
      <c r="F56" s="153"/>
    </row>
    <row r="57" spans="1:6" s="152" customFormat="1" x14ac:dyDescent="0.2">
      <c r="A57" s="153"/>
      <c r="B57" s="153"/>
      <c r="C57" s="153"/>
      <c r="D57" s="153"/>
      <c r="E57" s="153"/>
      <c r="F57" s="153"/>
    </row>
    <row r="58" spans="1:6" s="152" customFormat="1" x14ac:dyDescent="0.2">
      <c r="A58" s="153"/>
      <c r="B58" s="153"/>
      <c r="C58" s="153"/>
      <c r="D58" s="163" t="s">
        <v>1</v>
      </c>
      <c r="E58" s="153"/>
      <c r="F58" s="153"/>
    </row>
    <row r="59" spans="1:6" s="152" customFormat="1" x14ac:dyDescent="0.2">
      <c r="A59" s="153"/>
      <c r="B59" s="153"/>
      <c r="C59" s="153"/>
      <c r="D59" s="163" t="s">
        <v>0</v>
      </c>
      <c r="E59" s="153"/>
      <c r="F59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E456-580A-460D-8424-9D4A7ACDD987}">
  <sheetPr codeName="Sheet778"/>
  <dimension ref="A1:H61"/>
  <sheetViews>
    <sheetView view="pageBreakPreview" topLeftCell="A7" zoomScaleNormal="100" zoomScaleSheetLayoutView="100" workbookViewId="0">
      <selection activeCell="G9" sqref="G9:G13"/>
    </sheetView>
  </sheetViews>
  <sheetFormatPr defaultRowHeight="12.75" x14ac:dyDescent="0.2"/>
  <cols>
    <col min="1" max="1" width="15.140625" style="1" customWidth="1"/>
    <col min="2" max="2" width="14" style="1" customWidth="1"/>
    <col min="3" max="3" width="1.42578125" style="1" customWidth="1"/>
    <col min="4" max="4" width="20.7109375" style="1" customWidth="1"/>
    <col min="5" max="5" width="1.140625" style="1" customWidth="1"/>
    <col min="6" max="6" width="14.1406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91" t="s">
        <v>8549</v>
      </c>
    </row>
    <row r="10" spans="1:8" s="91" customFormat="1" x14ac:dyDescent="0.2">
      <c r="A10" s="91" t="s">
        <v>8551</v>
      </c>
      <c r="F10" s="92" t="s">
        <v>1357</v>
      </c>
      <c r="G10" s="92" t="s">
        <v>8546</v>
      </c>
    </row>
    <row r="11" spans="1:8" s="91" customFormat="1" x14ac:dyDescent="0.2">
      <c r="A11" s="91" t="s">
        <v>8552</v>
      </c>
      <c r="F11" s="92" t="s">
        <v>1330</v>
      </c>
      <c r="G11" s="92" t="s">
        <v>1220</v>
      </c>
    </row>
    <row r="12" spans="1:8" s="91" customFormat="1" x14ac:dyDescent="0.2">
      <c r="A12" s="91" t="s">
        <v>8553</v>
      </c>
      <c r="F12" s="92" t="s">
        <v>1224</v>
      </c>
      <c r="G12" s="92" t="s">
        <v>8550</v>
      </c>
    </row>
    <row r="13" spans="1:8" s="91" customFormat="1" x14ac:dyDescent="0.2">
      <c r="A13" s="91" t="s">
        <v>4650</v>
      </c>
      <c r="G13" s="91" t="s">
        <v>7931</v>
      </c>
    </row>
    <row r="14" spans="1:8" s="91" customFormat="1" x14ac:dyDescent="0.2">
      <c r="A14" s="91" t="s">
        <v>1606</v>
      </c>
    </row>
    <row r="15" spans="1:8" s="91" customFormat="1" x14ac:dyDescent="0.2"/>
    <row r="16" spans="1:8" s="91" customFormat="1" x14ac:dyDescent="0.2"/>
    <row r="17" spans="1:8" s="14" customFormat="1" ht="20.100000000000001" customHeight="1" x14ac:dyDescent="0.2">
      <c r="A17" s="17" t="s">
        <v>1261</v>
      </c>
      <c r="B17" s="500" t="s">
        <v>1262</v>
      </c>
      <c r="C17" s="500"/>
      <c r="D17" s="18" t="s">
        <v>19</v>
      </c>
      <c r="E17" s="18"/>
      <c r="F17" s="17"/>
      <c r="G17" s="16"/>
      <c r="H17" s="15" t="s">
        <v>18</v>
      </c>
    </row>
    <row r="18" spans="1:8" s="91" customFormat="1" x14ac:dyDescent="0.2"/>
    <row r="19" spans="1:8" s="91" customFormat="1" x14ac:dyDescent="0.2">
      <c r="A19" s="93"/>
      <c r="B19" s="93"/>
      <c r="C19" s="93"/>
      <c r="D19" s="2" t="s">
        <v>8554</v>
      </c>
      <c r="E19" s="2"/>
    </row>
    <row r="20" spans="1:8" s="91" customFormat="1" x14ac:dyDescent="0.2">
      <c r="D20" s="2"/>
      <c r="E20" s="2"/>
    </row>
    <row r="21" spans="1:8" s="91" customFormat="1" x14ac:dyDescent="0.2">
      <c r="A21" s="93" t="s">
        <v>8539</v>
      </c>
      <c r="B21" s="93" t="s">
        <v>8555</v>
      </c>
      <c r="C21" s="93"/>
      <c r="D21" s="91" t="s">
        <v>8556</v>
      </c>
      <c r="H21" s="91">
        <v>3000</v>
      </c>
    </row>
    <row r="22" spans="1:8" s="91" customFormat="1" x14ac:dyDescent="0.2">
      <c r="A22" s="93"/>
      <c r="B22" s="93"/>
      <c r="C22" s="93"/>
      <c r="D22" s="91" t="s">
        <v>8557</v>
      </c>
    </row>
    <row r="23" spans="1:8" s="91" customFormat="1" x14ac:dyDescent="0.2">
      <c r="A23" s="93"/>
      <c r="B23" s="501"/>
      <c r="C23" s="501"/>
    </row>
    <row r="24" spans="1:8" s="91" customFormat="1" x14ac:dyDescent="0.2"/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</row>
    <row r="27" spans="1:8" s="91" customFormat="1" x14ac:dyDescent="0.2">
      <c r="A27" s="93"/>
      <c r="B27" s="93"/>
      <c r="C27" s="93"/>
    </row>
    <row r="28" spans="1:8" s="91" customFormat="1" x14ac:dyDescent="0.2">
      <c r="A28" s="93"/>
      <c r="B28" s="93"/>
      <c r="C28" s="93"/>
    </row>
    <row r="29" spans="1:8" s="91" customFormat="1" x14ac:dyDescent="0.2">
      <c r="A29" s="93"/>
      <c r="B29" s="93"/>
      <c r="C29" s="93"/>
    </row>
    <row r="30" spans="1:8" s="91" customFormat="1" x14ac:dyDescent="0.2">
      <c r="A30" s="93"/>
      <c r="B30" s="93"/>
      <c r="C30" s="93"/>
    </row>
    <row r="31" spans="1:8" s="91" customFormat="1" x14ac:dyDescent="0.2">
      <c r="A31" s="93"/>
      <c r="B31" s="93"/>
      <c r="C31" s="93"/>
    </row>
    <row r="32" spans="1:8" s="91" customFormat="1" x14ac:dyDescent="0.2">
      <c r="A32" s="93"/>
      <c r="B32" s="93"/>
      <c r="C32" s="93"/>
    </row>
    <row r="33" spans="1:8" s="91" customFormat="1" x14ac:dyDescent="0.2">
      <c r="A33" s="93"/>
      <c r="B33" s="93"/>
      <c r="C33" s="93"/>
    </row>
    <row r="34" spans="1:8" s="91" customFormat="1" x14ac:dyDescent="0.2">
      <c r="A34" s="93"/>
      <c r="B34" s="93"/>
      <c r="C34" s="93"/>
    </row>
    <row r="35" spans="1:8" s="91" customFormat="1" hidden="1" x14ac:dyDescent="0.2">
      <c r="A35" s="93"/>
      <c r="B35" s="93"/>
      <c r="C35" s="93"/>
    </row>
    <row r="36" spans="1:8" s="91" customFormat="1" x14ac:dyDescent="0.2">
      <c r="A36" s="93"/>
      <c r="B36" s="93"/>
      <c r="C36" s="93"/>
    </row>
    <row r="37" spans="1:8" s="91" customFormat="1" x14ac:dyDescent="0.2"/>
    <row r="38" spans="1:8" s="91" customFormat="1" ht="13.5" thickBot="1" x14ac:dyDescent="0.25">
      <c r="H38" s="107">
        <f>SUM(H19:H37)</f>
        <v>3000</v>
      </c>
    </row>
    <row r="39" spans="1:8" s="91" customFormat="1" ht="13.5" thickTop="1" x14ac:dyDescent="0.2"/>
    <row r="40" spans="1:8" s="91" customFormat="1" ht="20.100000000000001" customHeight="1" x14ac:dyDescent="0.2">
      <c r="A40" s="96" t="s">
        <v>2674</v>
      </c>
      <c r="B40" s="96" t="s">
        <v>2675</v>
      </c>
      <c r="C40" s="96"/>
      <c r="D40" s="97"/>
      <c r="E40" s="97"/>
      <c r="F40" s="206"/>
      <c r="G40" s="206"/>
      <c r="H40" s="206"/>
    </row>
    <row r="41" spans="1:8" s="91" customFormat="1" x14ac:dyDescent="0.2">
      <c r="A41" s="94" t="s">
        <v>11</v>
      </c>
    </row>
    <row r="42" spans="1:8" s="91" customFormat="1" ht="25.5" x14ac:dyDescent="0.2">
      <c r="A42" s="91" t="s">
        <v>10</v>
      </c>
      <c r="F42" s="218" t="s">
        <v>3975</v>
      </c>
      <c r="G42" s="219"/>
      <c r="H42" s="220"/>
    </row>
    <row r="43" spans="1:8" s="91" customFormat="1" x14ac:dyDescent="0.2">
      <c r="F43" s="227"/>
      <c r="G43" s="227"/>
      <c r="H43" s="227"/>
    </row>
    <row r="44" spans="1:8" s="91" customFormat="1" x14ac:dyDescent="0.2">
      <c r="F44" s="228"/>
      <c r="G44" s="229"/>
      <c r="H44" s="229"/>
    </row>
    <row r="45" spans="1:8" s="91" customFormat="1" x14ac:dyDescent="0.2"/>
    <row r="46" spans="1:8" s="91" customFormat="1" x14ac:dyDescent="0.2">
      <c r="A46" s="101"/>
      <c r="B46" s="101"/>
      <c r="C46" s="386"/>
    </row>
    <row r="47" spans="1:8" s="91" customFormat="1" x14ac:dyDescent="0.2"/>
    <row r="48" spans="1:8" s="91" customFormat="1" x14ac:dyDescent="0.2">
      <c r="A48" s="98" t="s">
        <v>8</v>
      </c>
      <c r="D48" s="98" t="s">
        <v>8</v>
      </c>
      <c r="F48" s="98" t="s">
        <v>7</v>
      </c>
      <c r="H48" s="102"/>
    </row>
    <row r="49" spans="1:8" s="91" customFormat="1" x14ac:dyDescent="0.2"/>
    <row r="50" spans="1:8" s="91" customFormat="1" x14ac:dyDescent="0.2"/>
    <row r="51" spans="1:8" s="91" customFormat="1" x14ac:dyDescent="0.2"/>
    <row r="52" spans="1:8" s="91" customFormat="1" x14ac:dyDescent="0.2"/>
    <row r="53" spans="1:8" s="91" customFormat="1" x14ac:dyDescent="0.2">
      <c r="A53" s="101"/>
      <c r="B53" s="101"/>
      <c r="C53" s="386"/>
      <c r="D53" s="101"/>
      <c r="F53" s="101"/>
      <c r="G53" s="101"/>
      <c r="H53" s="101"/>
    </row>
    <row r="54" spans="1:8" s="61" customFormat="1" ht="17.100000000000001" customHeight="1" x14ac:dyDescent="0.2">
      <c r="A54" s="103" t="s">
        <v>4066</v>
      </c>
      <c r="B54" s="104"/>
      <c r="C54" s="104"/>
      <c r="D54" s="103" t="s">
        <v>50</v>
      </c>
      <c r="F54" s="61" t="s">
        <v>3</v>
      </c>
    </row>
    <row r="55" spans="1:8" s="91" customFormat="1" x14ac:dyDescent="0.2">
      <c r="F55" s="91" t="s">
        <v>2</v>
      </c>
    </row>
    <row r="56" spans="1:8" s="91" customFormat="1" x14ac:dyDescent="0.2"/>
    <row r="57" spans="1:8" s="91" customFormat="1" x14ac:dyDescent="0.2">
      <c r="F57" s="2" t="s">
        <v>1</v>
      </c>
    </row>
    <row r="58" spans="1:8" s="91" customFormat="1" x14ac:dyDescent="0.2">
      <c r="F58" s="2" t="s">
        <v>0</v>
      </c>
    </row>
    <row r="59" spans="1:8" s="91" customFormat="1" x14ac:dyDescent="0.2"/>
    <row r="60" spans="1:8" s="91" customFormat="1" x14ac:dyDescent="0.2"/>
    <row r="61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1-000000000000}">
  <sheetPr codeName="Sheet23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153" t="s">
        <v>2535</v>
      </c>
    </row>
    <row r="10" spans="1:6" x14ac:dyDescent="0.2">
      <c r="A10" s="91" t="s">
        <v>2537</v>
      </c>
      <c r="D10" s="92" t="s">
        <v>1444</v>
      </c>
      <c r="E10" s="155" t="s">
        <v>2533</v>
      </c>
    </row>
    <row r="11" spans="1:6" x14ac:dyDescent="0.2">
      <c r="A11" s="91" t="s">
        <v>2520</v>
      </c>
      <c r="D11" s="92" t="s">
        <v>1431</v>
      </c>
      <c r="E11" s="155" t="s">
        <v>1220</v>
      </c>
    </row>
    <row r="12" spans="1:6" x14ac:dyDescent="0.2">
      <c r="D12" s="92" t="s">
        <v>1268</v>
      </c>
      <c r="E12" s="155" t="s">
        <v>2536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2521</v>
      </c>
    </row>
    <row r="20" spans="1:6" x14ac:dyDescent="0.2">
      <c r="A20" s="111" t="s">
        <v>2522</v>
      </c>
      <c r="B20" s="93"/>
      <c r="C20" s="91" t="s">
        <v>2523</v>
      </c>
      <c r="F20" s="110">
        <v>1800</v>
      </c>
    </row>
    <row r="22" spans="1:6" x14ac:dyDescent="0.2">
      <c r="F22" s="110"/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1800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2524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1-000000000000}">
  <sheetPr codeName="Sheet26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2712</v>
      </c>
      <c r="D9" s="92" t="s">
        <v>1317</v>
      </c>
      <c r="E9" s="91" t="s">
        <v>2767</v>
      </c>
    </row>
    <row r="10" spans="1:6" x14ac:dyDescent="0.2">
      <c r="A10" s="91" t="s">
        <v>2713</v>
      </c>
      <c r="D10" s="92" t="s">
        <v>1357</v>
      </c>
      <c r="E10" s="98" t="s">
        <v>2762</v>
      </c>
    </row>
    <row r="11" spans="1:6" x14ac:dyDescent="0.2">
      <c r="A11" s="91" t="s">
        <v>2714</v>
      </c>
      <c r="D11" s="92" t="s">
        <v>1376</v>
      </c>
      <c r="E11" s="92" t="s">
        <v>1220</v>
      </c>
    </row>
    <row r="12" spans="1:6" x14ac:dyDescent="0.2">
      <c r="A12" s="91" t="s">
        <v>2715</v>
      </c>
      <c r="D12" s="92" t="s">
        <v>1316</v>
      </c>
      <c r="E12" s="92" t="s">
        <v>2768</v>
      </c>
    </row>
    <row r="13" spans="1:6" x14ac:dyDescent="0.2">
      <c r="A13" s="91" t="s">
        <v>1284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9" spans="1:6" x14ac:dyDescent="0.2">
      <c r="A19" s="111" t="s">
        <v>2749</v>
      </c>
      <c r="B19" s="91" t="s">
        <v>2769</v>
      </c>
      <c r="C19" s="91" t="s">
        <v>2716</v>
      </c>
      <c r="F19" s="91">
        <v>300</v>
      </c>
    </row>
    <row r="20" spans="1:6" x14ac:dyDescent="0.2">
      <c r="C20" s="91" t="s">
        <v>2717</v>
      </c>
    </row>
    <row r="21" spans="1:6" x14ac:dyDescent="0.2">
      <c r="A21" s="111"/>
      <c r="B21" s="93"/>
      <c r="C21" s="91" t="s">
        <v>2770</v>
      </c>
      <c r="F21" s="110"/>
    </row>
    <row r="22" spans="1:6" x14ac:dyDescent="0.2">
      <c r="F22" s="110"/>
    </row>
    <row r="24" spans="1:6" x14ac:dyDescent="0.2">
      <c r="F24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SUM(F19:F31)</f>
        <v>300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2718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1-000000000000}">
  <sheetPr codeName="Sheet13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1963</v>
      </c>
      <c r="D9" s="92" t="s">
        <v>1300</v>
      </c>
      <c r="E9" s="61" t="s">
        <v>1989</v>
      </c>
    </row>
    <row r="10" spans="1:6" x14ac:dyDescent="0.2">
      <c r="A10" s="91" t="s">
        <v>1964</v>
      </c>
      <c r="D10" s="92" t="s">
        <v>1356</v>
      </c>
      <c r="E10" s="113" t="s">
        <v>1990</v>
      </c>
    </row>
    <row r="11" spans="1:6" x14ac:dyDescent="0.2">
      <c r="D11" s="92" t="s">
        <v>1364</v>
      </c>
      <c r="E11" s="113" t="s">
        <v>1220</v>
      </c>
    </row>
    <row r="12" spans="1:6" x14ac:dyDescent="0.2">
      <c r="D12" s="92" t="s">
        <v>1224</v>
      </c>
      <c r="E12" s="113" t="s">
        <v>1991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1230</v>
      </c>
    </row>
    <row r="19" spans="1:6" x14ac:dyDescent="0.2">
      <c r="A19" s="106"/>
      <c r="C19" s="2" t="s">
        <v>1966</v>
      </c>
    </row>
    <row r="21" spans="1:6" x14ac:dyDescent="0.2">
      <c r="A21" s="105" t="s">
        <v>1965</v>
      </c>
      <c r="C21" s="91" t="s">
        <v>1967</v>
      </c>
    </row>
    <row r="22" spans="1:6" x14ac:dyDescent="0.2">
      <c r="A22" s="137"/>
      <c r="C22" s="91" t="s">
        <v>1993</v>
      </c>
      <c r="F22" s="91">
        <v>191.9</v>
      </c>
    </row>
    <row r="23" spans="1:6" x14ac:dyDescent="0.2">
      <c r="A23" s="106"/>
    </row>
    <row r="24" spans="1:6" x14ac:dyDescent="0.2">
      <c r="A24" s="137"/>
    </row>
    <row r="25" spans="1:6" x14ac:dyDescent="0.2">
      <c r="A25" s="106"/>
      <c r="C25" s="143"/>
    </row>
    <row r="26" spans="1:6" x14ac:dyDescent="0.2">
      <c r="A26" s="106"/>
    </row>
    <row r="28" spans="1:6" x14ac:dyDescent="0.2">
      <c r="A28" s="106"/>
    </row>
    <row r="29" spans="1:6" x14ac:dyDescent="0.2">
      <c r="A29" s="106"/>
    </row>
    <row r="31" spans="1:6" x14ac:dyDescent="0.2">
      <c r="A31" s="106"/>
    </row>
    <row r="32" spans="1:6" ht="13.5" thickBot="1" x14ac:dyDescent="0.25">
      <c r="A32" s="106"/>
      <c r="F32" s="107">
        <f>SUM(F19:F31)</f>
        <v>191.9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96" t="s">
        <v>1992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5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D267-A551-4D88-95F4-DFA5ED38CF87}">
  <sheetPr codeName="Sheet727"/>
  <dimension ref="A1:K57"/>
  <sheetViews>
    <sheetView topLeftCell="A7" workbookViewId="0">
      <selection activeCell="G20" sqref="G20"/>
    </sheetView>
  </sheetViews>
  <sheetFormatPr defaultRowHeight="12.75" x14ac:dyDescent="0.2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5.140625" style="1" customWidth="1"/>
    <col min="8" max="8" width="9.140625" style="1"/>
    <col min="9" max="9" width="9.7109375" style="1" bestFit="1" customWidth="1"/>
    <col min="10" max="10" width="9.140625" style="1"/>
    <col min="11" max="11" width="11.7109375" style="383" bestFit="1" customWidth="1"/>
    <col min="12" max="16384" width="9.140625" style="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  <c r="G1" s="521"/>
    </row>
    <row r="2" spans="1:11" x14ac:dyDescent="0.2">
      <c r="A2" s="522" t="s">
        <v>33</v>
      </c>
      <c r="B2" s="522"/>
      <c r="C2" s="522"/>
      <c r="D2" s="522"/>
      <c r="E2" s="522"/>
      <c r="F2" s="522"/>
      <c r="G2" s="522"/>
    </row>
    <row r="3" spans="1:11" x14ac:dyDescent="0.2">
      <c r="A3" s="522" t="s">
        <v>1829</v>
      </c>
      <c r="B3" s="522"/>
      <c r="C3" s="522"/>
      <c r="D3" s="522"/>
      <c r="E3" s="522"/>
      <c r="F3" s="522"/>
      <c r="G3" s="522"/>
    </row>
    <row r="4" spans="1:11" x14ac:dyDescent="0.2">
      <c r="A4" s="522" t="s">
        <v>1828</v>
      </c>
      <c r="B4" s="522"/>
      <c r="C4" s="522"/>
      <c r="D4" s="522"/>
      <c r="E4" s="522"/>
      <c r="F4" s="522"/>
      <c r="G4" s="522"/>
    </row>
    <row r="7" spans="1:11" s="91" customFormat="1" x14ac:dyDescent="0.2">
      <c r="K7" s="193"/>
    </row>
    <row r="8" spans="1:11" s="91" customFormat="1" x14ac:dyDescent="0.2">
      <c r="A8" s="91" t="s">
        <v>32</v>
      </c>
      <c r="F8" s="22" t="s">
        <v>31</v>
      </c>
      <c r="K8" s="193"/>
    </row>
    <row r="9" spans="1:11" s="91" customFormat="1" x14ac:dyDescent="0.2">
      <c r="F9" s="92" t="s">
        <v>1705</v>
      </c>
      <c r="G9" s="91" t="s">
        <v>7407</v>
      </c>
      <c r="K9" s="193"/>
    </row>
    <row r="10" spans="1:11" s="91" customFormat="1" x14ac:dyDescent="0.2">
      <c r="A10" s="91" t="s">
        <v>7409</v>
      </c>
      <c r="F10" s="92" t="s">
        <v>1706</v>
      </c>
      <c r="G10" s="91" t="s">
        <v>7408</v>
      </c>
      <c r="K10" s="193"/>
    </row>
    <row r="11" spans="1:11" s="91" customFormat="1" x14ac:dyDescent="0.2">
      <c r="A11" s="91" t="s">
        <v>7410</v>
      </c>
      <c r="F11" s="92" t="s">
        <v>1707</v>
      </c>
      <c r="G11" s="91" t="s">
        <v>1220</v>
      </c>
      <c r="K11" s="193"/>
    </row>
    <row r="12" spans="1:11" s="91" customFormat="1" x14ac:dyDescent="0.2">
      <c r="A12" s="91" t="s">
        <v>7411</v>
      </c>
      <c r="F12" s="92" t="s">
        <v>1355</v>
      </c>
      <c r="G12" s="91" t="s">
        <v>770</v>
      </c>
      <c r="K12" s="193"/>
    </row>
    <row r="13" spans="1:11" s="91" customFormat="1" x14ac:dyDescent="0.2">
      <c r="A13" s="91" t="s">
        <v>7412</v>
      </c>
      <c r="K13" s="193"/>
    </row>
    <row r="14" spans="1:11" s="91" customFormat="1" x14ac:dyDescent="0.2">
      <c r="K14" s="193"/>
    </row>
    <row r="15" spans="1:11" s="91" customFormat="1" x14ac:dyDescent="0.2">
      <c r="K15" s="193"/>
    </row>
    <row r="16" spans="1:11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5" t="s">
        <v>18</v>
      </c>
      <c r="K16" s="390"/>
    </row>
    <row r="17" spans="1:11" s="91" customFormat="1" x14ac:dyDescent="0.2">
      <c r="K17" s="193"/>
    </row>
    <row r="18" spans="1:11" s="91" customFormat="1" x14ac:dyDescent="0.2">
      <c r="A18" s="93"/>
      <c r="B18" s="99"/>
      <c r="C18" s="99"/>
      <c r="D18" s="2" t="s">
        <v>7413</v>
      </c>
      <c r="K18" s="193"/>
    </row>
    <row r="19" spans="1:11" s="91" customFormat="1" x14ac:dyDescent="0.2">
      <c r="K19" s="193"/>
    </row>
    <row r="20" spans="1:11" s="91" customFormat="1" x14ac:dyDescent="0.2">
      <c r="A20" s="93" t="s">
        <v>7414</v>
      </c>
      <c r="B20" s="93" t="s">
        <v>7415</v>
      </c>
      <c r="C20" s="93"/>
      <c r="D20" s="91" t="s">
        <v>7416</v>
      </c>
      <c r="G20" s="91">
        <f>9506.73*4.1213</f>
        <v>39180.086348999997</v>
      </c>
      <c r="K20" s="193"/>
    </row>
    <row r="21" spans="1:11" s="91" customFormat="1" x14ac:dyDescent="0.2">
      <c r="D21" s="91" t="s">
        <v>7417</v>
      </c>
      <c r="G21" s="91">
        <f>204.27*4.1213</f>
        <v>841.85795099999996</v>
      </c>
      <c r="K21" s="193"/>
    </row>
    <row r="22" spans="1:11" s="91" customFormat="1" x14ac:dyDescent="0.2">
      <c r="A22" s="93"/>
      <c r="B22" s="93"/>
      <c r="C22" s="93"/>
      <c r="D22" s="91" t="s">
        <v>7418</v>
      </c>
      <c r="G22" s="389"/>
      <c r="K22" s="193"/>
    </row>
    <row r="23" spans="1:11" s="91" customFormat="1" x14ac:dyDescent="0.2">
      <c r="K23" s="193"/>
    </row>
    <row r="24" spans="1:11" s="91" customFormat="1" x14ac:dyDescent="0.2">
      <c r="A24" s="93"/>
      <c r="B24" s="93"/>
      <c r="C24" s="93"/>
      <c r="D24" s="91" t="s">
        <v>52</v>
      </c>
      <c r="G24" s="91">
        <v>30</v>
      </c>
      <c r="K24" s="193"/>
    </row>
    <row r="25" spans="1:11" s="91" customFormat="1" x14ac:dyDescent="0.2">
      <c r="K25" s="193"/>
    </row>
    <row r="26" spans="1:11" s="91" customFormat="1" x14ac:dyDescent="0.2">
      <c r="K26" s="193"/>
    </row>
    <row r="27" spans="1:11" s="91" customFormat="1" x14ac:dyDescent="0.2">
      <c r="K27" s="193"/>
    </row>
    <row r="28" spans="1:11" s="91" customFormat="1" x14ac:dyDescent="0.2">
      <c r="K28" s="193"/>
    </row>
    <row r="29" spans="1:11" s="91" customFormat="1" x14ac:dyDescent="0.2">
      <c r="B29" s="94"/>
      <c r="C29" s="94"/>
      <c r="K29" s="193"/>
    </row>
    <row r="30" spans="1:11" s="91" customFormat="1" x14ac:dyDescent="0.2">
      <c r="B30" s="94"/>
      <c r="C30" s="94"/>
      <c r="K30" s="193"/>
    </row>
    <row r="31" spans="1:11" s="91" customFormat="1" x14ac:dyDescent="0.2">
      <c r="B31" s="94"/>
      <c r="C31" s="94"/>
      <c r="K31" s="193"/>
    </row>
    <row r="32" spans="1:11" s="91" customFormat="1" x14ac:dyDescent="0.2">
      <c r="K32" s="193"/>
    </row>
    <row r="33" spans="1:11" s="91" customFormat="1" x14ac:dyDescent="0.2">
      <c r="K33" s="193"/>
    </row>
    <row r="34" spans="1:11" s="91" customFormat="1" x14ac:dyDescent="0.2">
      <c r="K34" s="193"/>
    </row>
    <row r="35" spans="1:11" s="91" customFormat="1" ht="13.5" thickBot="1" x14ac:dyDescent="0.25">
      <c r="G35" s="95">
        <f>SUM(G18:G33)</f>
        <v>40051.944299999996</v>
      </c>
      <c r="K35" s="193"/>
    </row>
    <row r="36" spans="1:11" s="91" customFormat="1" ht="13.5" thickTop="1" x14ac:dyDescent="0.2">
      <c r="G36" s="101"/>
      <c r="K36" s="193"/>
    </row>
    <row r="37" spans="1:11" s="91" customFormat="1" ht="20.100000000000001" customHeight="1" x14ac:dyDescent="0.2">
      <c r="A37" s="96" t="s">
        <v>336</v>
      </c>
      <c r="B37" s="185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Forty Thousand Fifty-One and 94/100 -----------</v>
      </c>
      <c r="C37" s="185"/>
      <c r="D37" s="97"/>
      <c r="E37" s="97"/>
      <c r="F37" s="97"/>
      <c r="G37" s="207"/>
      <c r="K37" s="193"/>
    </row>
    <row r="38" spans="1:11" s="91" customFormat="1" x14ac:dyDescent="0.2">
      <c r="A38" s="94" t="s">
        <v>11</v>
      </c>
      <c r="K38" s="193"/>
    </row>
    <row r="39" spans="1:11" s="91" customFormat="1" ht="25.5" x14ac:dyDescent="0.2">
      <c r="A39" s="91" t="s">
        <v>10</v>
      </c>
      <c r="F39" s="218" t="s">
        <v>3975</v>
      </c>
      <c r="G39" s="220"/>
      <c r="K39" s="193"/>
    </row>
    <row r="40" spans="1:11" s="91" customFormat="1" x14ac:dyDescent="0.2">
      <c r="B40" s="386"/>
      <c r="C40" s="386"/>
      <c r="K40" s="193"/>
    </row>
    <row r="41" spans="1:11" s="91" customFormat="1" x14ac:dyDescent="0.2">
      <c r="B41" s="386"/>
      <c r="C41" s="386"/>
      <c r="F41" s="227"/>
      <c r="G41" s="227"/>
      <c r="K41" s="193"/>
    </row>
    <row r="42" spans="1:11" s="91" customFormat="1" x14ac:dyDescent="0.2">
      <c r="B42" s="386"/>
      <c r="C42" s="386"/>
      <c r="F42" s="228"/>
      <c r="G42" s="229"/>
      <c r="K42" s="193"/>
    </row>
    <row r="43" spans="1:11" s="91" customFormat="1" x14ac:dyDescent="0.2">
      <c r="A43" s="101"/>
      <c r="B43" s="101"/>
      <c r="C43" s="386"/>
      <c r="K43" s="193"/>
    </row>
    <row r="44" spans="1:11" s="91" customFormat="1" x14ac:dyDescent="0.2">
      <c r="B44" s="386"/>
      <c r="C44" s="386"/>
      <c r="K44" s="193"/>
    </row>
    <row r="45" spans="1:11" s="91" customFormat="1" x14ac:dyDescent="0.2">
      <c r="A45" s="98" t="s">
        <v>8</v>
      </c>
      <c r="B45" s="98"/>
      <c r="C45" s="386"/>
      <c r="D45" s="98" t="s">
        <v>8</v>
      </c>
      <c r="F45" s="98" t="s">
        <v>7</v>
      </c>
      <c r="G45" s="102"/>
      <c r="K45" s="193"/>
    </row>
    <row r="46" spans="1:11" s="91" customFormat="1" x14ac:dyDescent="0.2">
      <c r="C46" s="386"/>
      <c r="K46" s="193"/>
    </row>
    <row r="47" spans="1:11" s="91" customFormat="1" x14ac:dyDescent="0.2">
      <c r="C47" s="386"/>
      <c r="K47" s="193"/>
    </row>
    <row r="48" spans="1:11" s="91" customFormat="1" x14ac:dyDescent="0.2">
      <c r="C48" s="386"/>
      <c r="K48" s="193"/>
    </row>
    <row r="49" spans="1:11" s="91" customFormat="1" x14ac:dyDescent="0.2">
      <c r="A49" s="101"/>
      <c r="B49" s="101"/>
      <c r="C49" s="386"/>
      <c r="D49" s="101"/>
      <c r="F49" s="101"/>
      <c r="G49" s="101"/>
      <c r="K49" s="193"/>
    </row>
    <row r="50" spans="1:11" s="61" customFormat="1" ht="17.100000000000001" customHeight="1" x14ac:dyDescent="0.2">
      <c r="A50" s="103" t="s">
        <v>4047</v>
      </c>
      <c r="B50" s="103"/>
      <c r="C50" s="387"/>
      <c r="D50" s="103" t="s">
        <v>50</v>
      </c>
      <c r="F50" s="61" t="s">
        <v>3</v>
      </c>
      <c r="K50" s="391"/>
    </row>
    <row r="51" spans="1:11" s="91" customFormat="1" x14ac:dyDescent="0.2">
      <c r="B51" s="386"/>
      <c r="C51" s="386"/>
      <c r="F51" s="91" t="s">
        <v>2</v>
      </c>
      <c r="K51" s="193"/>
    </row>
    <row r="52" spans="1:11" s="91" customFormat="1" x14ac:dyDescent="0.2">
      <c r="B52" s="386"/>
      <c r="C52" s="386"/>
      <c r="K52" s="193"/>
    </row>
    <row r="53" spans="1:11" s="91" customFormat="1" x14ac:dyDescent="0.2">
      <c r="B53" s="386"/>
      <c r="C53" s="386"/>
      <c r="F53" s="2" t="s">
        <v>1</v>
      </c>
      <c r="K53" s="193"/>
    </row>
    <row r="54" spans="1:11" s="91" customFormat="1" x14ac:dyDescent="0.2">
      <c r="F54" s="2" t="s">
        <v>0</v>
      </c>
      <c r="K54" s="193"/>
    </row>
    <row r="55" spans="1:11" s="91" customFormat="1" x14ac:dyDescent="0.2">
      <c r="K55" s="193"/>
    </row>
    <row r="56" spans="1:11" s="91" customFormat="1" x14ac:dyDescent="0.2">
      <c r="K56" s="193"/>
    </row>
    <row r="57" spans="1:11" s="91" customFormat="1" x14ac:dyDescent="0.2">
      <c r="K57" s="193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5205-9DF2-466C-B1A9-2B9429C83699}">
  <sheetPr codeName="Sheet743"/>
  <dimension ref="A1:P55"/>
  <sheetViews>
    <sheetView zoomScaleNormal="100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0.28515625" style="91" customWidth="1"/>
    <col min="5" max="5" width="1" style="91" customWidth="1"/>
    <col min="6" max="6" width="16.42578125" style="91" customWidth="1"/>
    <col min="7" max="7" width="8.7109375" style="91" customWidth="1"/>
    <col min="8" max="8" width="12" style="91" customWidth="1"/>
    <col min="9" max="15" width="9.140625" style="1"/>
    <col min="16" max="16" width="10.42578125" style="1" bestFit="1" customWidth="1"/>
    <col min="17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1334</v>
      </c>
      <c r="G9" s="91" t="s">
        <v>7769</v>
      </c>
      <c r="I9" s="61"/>
    </row>
    <row r="10" spans="1:16" x14ac:dyDescent="0.2">
      <c r="A10" s="91" t="s">
        <v>7771</v>
      </c>
      <c r="F10" s="92" t="s">
        <v>1335</v>
      </c>
      <c r="G10" s="92" t="s">
        <v>7750</v>
      </c>
      <c r="I10" s="113"/>
    </row>
    <row r="11" spans="1:16" x14ac:dyDescent="0.2">
      <c r="A11" s="91" t="s">
        <v>7772</v>
      </c>
      <c r="F11" s="92" t="s">
        <v>1333</v>
      </c>
      <c r="G11" s="92" t="s">
        <v>1220</v>
      </c>
      <c r="I11" s="113"/>
    </row>
    <row r="12" spans="1:16" x14ac:dyDescent="0.2">
      <c r="A12" s="91" t="s">
        <v>7773</v>
      </c>
      <c r="F12" s="92" t="s">
        <v>1331</v>
      </c>
      <c r="G12" s="92" t="s">
        <v>7770</v>
      </c>
      <c r="I12" s="113"/>
      <c r="L12" s="91" t="s">
        <v>7249</v>
      </c>
      <c r="M12" s="91"/>
      <c r="N12" s="91"/>
      <c r="O12" s="91"/>
      <c r="P12" s="91">
        <v>15375</v>
      </c>
    </row>
    <row r="13" spans="1:16" x14ac:dyDescent="0.2">
      <c r="A13" s="91" t="s">
        <v>1471</v>
      </c>
      <c r="G13" s="91" t="s">
        <v>7762</v>
      </c>
      <c r="L13" s="91" t="s">
        <v>7250</v>
      </c>
      <c r="M13" s="91"/>
      <c r="N13" s="91"/>
      <c r="O13" s="91"/>
      <c r="P13" s="91"/>
    </row>
    <row r="14" spans="1:16" x14ac:dyDescent="0.2">
      <c r="A14" s="91" t="s">
        <v>7774</v>
      </c>
      <c r="L14" s="91"/>
      <c r="M14" s="91"/>
      <c r="N14" s="91"/>
      <c r="O14" s="91"/>
      <c r="P14" s="91"/>
    </row>
    <row r="15" spans="1:16" x14ac:dyDescent="0.2">
      <c r="A15" s="91" t="s">
        <v>7775</v>
      </c>
      <c r="L15" s="91"/>
      <c r="M15" s="91"/>
      <c r="N15" s="91"/>
      <c r="O15" s="91"/>
      <c r="P15" s="91"/>
    </row>
    <row r="16" spans="1:16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7776</v>
      </c>
    </row>
    <row r="19" spans="1:8" x14ac:dyDescent="0.2">
      <c r="A19" s="93"/>
      <c r="B19" s="444"/>
    </row>
    <row r="20" spans="1:8" x14ac:dyDescent="0.2">
      <c r="A20" s="93" t="s">
        <v>7740</v>
      </c>
      <c r="B20" s="93" t="s">
        <v>7777</v>
      </c>
      <c r="C20" s="93"/>
      <c r="D20" s="91" t="s">
        <v>7778</v>
      </c>
      <c r="H20" s="91">
        <f>1.905*200</f>
        <v>381</v>
      </c>
    </row>
    <row r="21" spans="1:8" x14ac:dyDescent="0.2">
      <c r="A21" s="93"/>
      <c r="B21" s="93"/>
      <c r="C21" s="93"/>
      <c r="D21" s="91" t="s">
        <v>7779</v>
      </c>
      <c r="H21" s="91">
        <f>H20*5%</f>
        <v>19.05</v>
      </c>
    </row>
    <row r="22" spans="1:8" x14ac:dyDescent="0.2">
      <c r="A22" s="93"/>
      <c r="B22" s="93"/>
    </row>
    <row r="23" spans="1:8" x14ac:dyDescent="0.2">
      <c r="A23" s="93"/>
      <c r="B23" s="444"/>
    </row>
    <row r="24" spans="1:8" x14ac:dyDescent="0.2">
      <c r="A24" s="93"/>
      <c r="B24" s="444"/>
    </row>
    <row r="25" spans="1:8" x14ac:dyDescent="0.2">
      <c r="D25" s="2"/>
    </row>
    <row r="26" spans="1:8" x14ac:dyDescent="0.2">
      <c r="A26" s="111"/>
      <c r="B26" s="93"/>
      <c r="C26" s="93"/>
      <c r="D26" s="2"/>
      <c r="H26" s="110"/>
    </row>
    <row r="27" spans="1:8" x14ac:dyDescent="0.2">
      <c r="A27" s="111"/>
      <c r="B27" s="93"/>
      <c r="C27" s="93"/>
      <c r="D27" s="2"/>
      <c r="H27" s="110"/>
    </row>
    <row r="28" spans="1:8" x14ac:dyDescent="0.2">
      <c r="A28" s="111"/>
      <c r="B28" s="93"/>
      <c r="C28" s="93"/>
      <c r="H28" s="110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09"/>
      <c r="B34" s="444"/>
      <c r="C34" s="444"/>
    </row>
    <row r="36" spans="1:8" ht="13.5" thickBot="1" x14ac:dyDescent="0.25">
      <c r="H36" s="107">
        <f>SUM(H18:H34)</f>
        <v>400.05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 Hundred and 5/100 -----------</v>
      </c>
      <c r="C38" s="185"/>
      <c r="D38" s="97"/>
      <c r="E38" s="97"/>
      <c r="F38" s="97"/>
      <c r="G38" s="97"/>
      <c r="H38" s="97"/>
    </row>
    <row r="39" spans="1:8" ht="20.100000000000001" customHeight="1" x14ac:dyDescent="0.2">
      <c r="A39" s="113"/>
      <c r="B39" s="103"/>
      <c r="C39" s="103"/>
      <c r="D39" s="61"/>
      <c r="E39" s="61"/>
      <c r="F39" s="61"/>
      <c r="G39" s="61"/>
      <c r="H39" s="61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444"/>
      <c r="E42" s="444"/>
    </row>
    <row r="43" spans="1:8" x14ac:dyDescent="0.2">
      <c r="A43" s="91" t="s">
        <v>121</v>
      </c>
      <c r="D43" s="444"/>
      <c r="E43" s="444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EAC9-E9F8-4480-AD99-1A7C964AA9D4}">
  <dimension ref="A1:S53"/>
  <sheetViews>
    <sheetView view="pageBreakPreview" zoomScaleNormal="100" zoomScaleSheetLayoutView="100" workbookViewId="0">
      <selection activeCell="H9" sqref="H9:H13"/>
    </sheetView>
  </sheetViews>
  <sheetFormatPr defaultRowHeight="12.75" x14ac:dyDescent="0.2"/>
  <cols>
    <col min="1" max="1" width="15.28515625" style="91" customWidth="1"/>
    <col min="2" max="2" width="13.140625" style="91" customWidth="1"/>
    <col min="3" max="3" width="1.28515625" style="91" customWidth="1"/>
    <col min="4" max="4" width="19.140625" style="91" customWidth="1"/>
    <col min="5" max="5" width="1.42578125" style="91" customWidth="1"/>
    <col min="6" max="6" width="14" style="91" customWidth="1"/>
    <col min="7" max="7" width="11.140625" style="91" customWidth="1"/>
    <col min="8" max="8" width="13.42578125" style="91" customWidth="1"/>
    <col min="9" max="9" width="13.28515625" style="91" customWidth="1"/>
    <col min="10" max="16384" width="9.140625" style="9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G8" s="22" t="s">
        <v>31</v>
      </c>
    </row>
    <row r="9" spans="1:19" x14ac:dyDescent="0.2">
      <c r="G9" s="92" t="s">
        <v>1393</v>
      </c>
      <c r="H9" s="153" t="s">
        <v>8823</v>
      </c>
    </row>
    <row r="10" spans="1:19" x14ac:dyDescent="0.2">
      <c r="A10" s="91" t="s">
        <v>8825</v>
      </c>
      <c r="G10" s="92" t="s">
        <v>1356</v>
      </c>
      <c r="H10" s="155" t="s">
        <v>8808</v>
      </c>
    </row>
    <row r="11" spans="1:19" x14ac:dyDescent="0.2">
      <c r="A11" s="91" t="s">
        <v>8826</v>
      </c>
      <c r="G11" s="92" t="s">
        <v>1364</v>
      </c>
      <c r="H11" s="155" t="s">
        <v>1220</v>
      </c>
    </row>
    <row r="12" spans="1:19" x14ac:dyDescent="0.2">
      <c r="A12" s="91" t="s">
        <v>8827</v>
      </c>
      <c r="G12" s="92" t="s">
        <v>1394</v>
      </c>
      <c r="H12" s="155" t="s">
        <v>8824</v>
      </c>
    </row>
    <row r="13" spans="1:19" x14ac:dyDescent="0.2">
      <c r="A13" s="91" t="s">
        <v>8828</v>
      </c>
      <c r="G13" s="92"/>
      <c r="H13" s="153" t="s">
        <v>7931</v>
      </c>
    </row>
    <row r="16" spans="1:19" s="14" customFormat="1" ht="20.100000000000001" customHeight="1" x14ac:dyDescent="0.2">
      <c r="A16" s="17" t="s">
        <v>1247</v>
      </c>
      <c r="B16" s="511" t="s">
        <v>128</v>
      </c>
      <c r="C16" s="511"/>
      <c r="D16" s="18" t="s">
        <v>19</v>
      </c>
      <c r="E16" s="18"/>
      <c r="F16" s="18"/>
      <c r="G16" s="17"/>
      <c r="H16" s="15" t="s">
        <v>18</v>
      </c>
      <c r="K16" s="93"/>
      <c r="L16" s="93"/>
      <c r="M16" s="93"/>
      <c r="N16" s="2" t="s">
        <v>6627</v>
      </c>
      <c r="O16" s="2"/>
      <c r="P16" s="2"/>
      <c r="Q16" s="91"/>
      <c r="R16" s="91"/>
      <c r="S16" s="91"/>
    </row>
    <row r="17" spans="1:18" x14ac:dyDescent="0.2">
      <c r="K17" s="93"/>
      <c r="L17" s="93"/>
      <c r="M17" s="93"/>
      <c r="N17" s="2"/>
      <c r="O17" s="2"/>
      <c r="P17" s="2"/>
    </row>
    <row r="18" spans="1:18" x14ac:dyDescent="0.2">
      <c r="A18" s="93"/>
      <c r="B18" s="93"/>
      <c r="C18" s="93"/>
      <c r="D18" s="146" t="s">
        <v>5673</v>
      </c>
      <c r="E18" s="2"/>
      <c r="F18" s="2"/>
      <c r="K18" s="93" t="s">
        <v>6628</v>
      </c>
      <c r="L18" s="93" t="s">
        <v>6629</v>
      </c>
      <c r="M18" s="512"/>
      <c r="N18" s="91" t="s">
        <v>6630</v>
      </c>
      <c r="R18" s="91">
        <f>750+390+650+390+700+420+70+100</f>
        <v>3470</v>
      </c>
    </row>
    <row r="19" spans="1:18" x14ac:dyDescent="0.2">
      <c r="A19" s="93"/>
      <c r="B19" s="93"/>
      <c r="C19" s="93"/>
      <c r="D19" s="2"/>
      <c r="E19" s="2"/>
      <c r="F19" s="2"/>
      <c r="K19" s="93"/>
      <c r="L19" s="93"/>
      <c r="M19" s="512"/>
      <c r="N19" s="91" t="s">
        <v>6631</v>
      </c>
      <c r="R19" s="91">
        <v>550</v>
      </c>
    </row>
    <row r="20" spans="1:18" x14ac:dyDescent="0.2">
      <c r="A20" s="93" t="s">
        <v>8691</v>
      </c>
      <c r="B20" s="93" t="s">
        <v>8829</v>
      </c>
      <c r="C20" s="512"/>
      <c r="D20" s="91" t="s">
        <v>8830</v>
      </c>
      <c r="H20" s="91">
        <v>1251</v>
      </c>
      <c r="K20" s="93"/>
      <c r="L20" s="93"/>
      <c r="M20" s="512"/>
    </row>
    <row r="21" spans="1:18" x14ac:dyDescent="0.2">
      <c r="A21" s="93"/>
      <c r="B21" s="93"/>
      <c r="C21" s="512"/>
      <c r="D21" s="91" t="s">
        <v>8831</v>
      </c>
      <c r="H21" s="91">
        <v>1251</v>
      </c>
      <c r="K21" s="93"/>
      <c r="L21" s="93"/>
      <c r="M21" s="512"/>
    </row>
    <row r="22" spans="1:18" x14ac:dyDescent="0.2">
      <c r="A22" s="93"/>
      <c r="B22" s="512"/>
      <c r="C22" s="512"/>
      <c r="D22" s="91" t="s">
        <v>8835</v>
      </c>
      <c r="H22" s="91">
        <v>1112</v>
      </c>
      <c r="M22" s="512"/>
      <c r="N22" s="91" t="s">
        <v>2147</v>
      </c>
      <c r="R22" s="91">
        <f>SUM(R18+R19)*6%</f>
        <v>241.2</v>
      </c>
    </row>
    <row r="23" spans="1:18" x14ac:dyDescent="0.2">
      <c r="A23" s="93"/>
      <c r="B23" s="512"/>
      <c r="C23" s="512"/>
      <c r="D23" s="91" t="s">
        <v>8832</v>
      </c>
      <c r="H23" s="91">
        <v>973</v>
      </c>
      <c r="K23" s="93"/>
      <c r="L23" s="512"/>
      <c r="M23" s="512"/>
    </row>
    <row r="24" spans="1:18" x14ac:dyDescent="0.2">
      <c r="C24" s="512"/>
      <c r="D24" s="91" t="s">
        <v>8834</v>
      </c>
      <c r="H24" s="91">
        <v>1112</v>
      </c>
      <c r="K24" s="93"/>
      <c r="L24" s="512"/>
      <c r="M24" s="512"/>
      <c r="N24" s="2" t="s">
        <v>6632</v>
      </c>
    </row>
    <row r="25" spans="1:18" x14ac:dyDescent="0.2">
      <c r="A25" s="93"/>
      <c r="B25" s="512"/>
      <c r="C25" s="512"/>
      <c r="D25" s="91" t="s">
        <v>8833</v>
      </c>
      <c r="H25" s="91">
        <v>973</v>
      </c>
      <c r="K25" s="93" t="s">
        <v>6567</v>
      </c>
      <c r="L25" s="512" t="s">
        <v>6633</v>
      </c>
      <c r="N25" s="91" t="s">
        <v>6634</v>
      </c>
      <c r="R25" s="91">
        <f>700+300+770+330+170+100</f>
        <v>2370</v>
      </c>
    </row>
    <row r="26" spans="1:18" x14ac:dyDescent="0.2">
      <c r="A26" s="93"/>
      <c r="B26" s="512"/>
      <c r="D26" s="91" t="s">
        <v>8836</v>
      </c>
      <c r="H26" s="91">
        <v>973</v>
      </c>
      <c r="K26" s="93"/>
      <c r="L26" s="512"/>
      <c r="M26" s="512"/>
      <c r="N26" s="91" t="s">
        <v>6631</v>
      </c>
      <c r="R26" s="91">
        <v>1122</v>
      </c>
    </row>
    <row r="27" spans="1:18" x14ac:dyDescent="0.2">
      <c r="A27" s="93"/>
      <c r="B27" s="512"/>
      <c r="D27" s="91" t="s">
        <v>8837</v>
      </c>
      <c r="H27" s="91">
        <v>1400</v>
      </c>
      <c r="K27" s="93"/>
      <c r="L27" s="512"/>
      <c r="M27" s="512"/>
      <c r="N27" s="91" t="s">
        <v>2147</v>
      </c>
      <c r="R27" s="91">
        <f>SUM(R25+R26)*6%</f>
        <v>209.51999999999998</v>
      </c>
    </row>
    <row r="28" spans="1:18" x14ac:dyDescent="0.2">
      <c r="A28" s="93"/>
      <c r="B28" s="512"/>
      <c r="K28" s="93"/>
      <c r="L28" s="512"/>
      <c r="M28" s="512"/>
      <c r="N28" s="2"/>
    </row>
    <row r="29" spans="1:18" x14ac:dyDescent="0.2">
      <c r="A29" s="93"/>
      <c r="B29" s="512"/>
      <c r="C29" s="512"/>
      <c r="K29" s="93"/>
      <c r="L29" s="512"/>
      <c r="M29" s="512"/>
      <c r="N29" s="2" t="s">
        <v>6635</v>
      </c>
    </row>
    <row r="30" spans="1:18" x14ac:dyDescent="0.2">
      <c r="C30" s="512"/>
      <c r="D30" s="2"/>
      <c r="K30" s="93"/>
      <c r="L30" s="512"/>
      <c r="M30" s="512"/>
      <c r="N30" s="2"/>
    </row>
    <row r="31" spans="1:18" x14ac:dyDescent="0.2">
      <c r="C31" s="512"/>
      <c r="D31" s="2"/>
      <c r="K31" s="93" t="s">
        <v>6636</v>
      </c>
      <c r="L31" s="512" t="s">
        <v>6637</v>
      </c>
      <c r="M31" s="512"/>
      <c r="N31" s="91" t="s">
        <v>6638</v>
      </c>
      <c r="R31" s="91">
        <f>200+100+840+120+700+300+350+150</f>
        <v>2760</v>
      </c>
    </row>
    <row r="32" spans="1:18" x14ac:dyDescent="0.2">
      <c r="A32" s="93"/>
      <c r="B32" s="512"/>
      <c r="C32" s="512"/>
      <c r="D32" s="2"/>
      <c r="K32" s="93"/>
      <c r="L32" s="512"/>
      <c r="M32" s="512"/>
    </row>
    <row r="33" spans="1:13" x14ac:dyDescent="0.2">
      <c r="A33" s="93"/>
      <c r="B33" s="512"/>
      <c r="C33" s="512"/>
      <c r="K33" s="93"/>
      <c r="L33" s="512"/>
      <c r="M33" s="512"/>
    </row>
    <row r="34" spans="1:13" x14ac:dyDescent="0.2">
      <c r="A34" s="93"/>
      <c r="B34" s="93"/>
      <c r="C34" s="93"/>
    </row>
    <row r="35" spans="1:13" ht="13.5" thickBot="1" x14ac:dyDescent="0.25">
      <c r="H35" s="95">
        <f>SUM(H18:H34)</f>
        <v>9045</v>
      </c>
    </row>
    <row r="36" spans="1:13" ht="13.5" thickTop="1" x14ac:dyDescent="0.2"/>
    <row r="37" spans="1:13" ht="20.25" customHeight="1" x14ac:dyDescent="0.2">
      <c r="A37" s="96" t="s">
        <v>1465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 Thousand Forty-Five and NO/100 -----------</v>
      </c>
      <c r="C37" s="185"/>
      <c r="D37" s="97"/>
      <c r="E37" s="97"/>
      <c r="F37" s="236"/>
      <c r="G37" s="232"/>
      <c r="H37" s="232"/>
    </row>
    <row r="38" spans="1:13" x14ac:dyDescent="0.2">
      <c r="A38" s="94" t="s">
        <v>11</v>
      </c>
    </row>
    <row r="39" spans="1:13" ht="25.5" x14ac:dyDescent="0.2">
      <c r="A39" s="61" t="s">
        <v>10</v>
      </c>
      <c r="F39" s="218" t="s">
        <v>3975</v>
      </c>
      <c r="G39" s="219"/>
      <c r="H39" s="220"/>
    </row>
    <row r="40" spans="1:13" x14ac:dyDescent="0.2">
      <c r="F40" s="227"/>
      <c r="G40" s="227"/>
      <c r="H40" s="227"/>
    </row>
    <row r="41" spans="1:13" x14ac:dyDescent="0.2">
      <c r="F41" s="228"/>
      <c r="G41" s="229"/>
      <c r="H41" s="229"/>
    </row>
    <row r="43" spans="1:13" s="61" customFormat="1" ht="17.100000000000001" customHeight="1" x14ac:dyDescent="0.2">
      <c r="A43" s="101"/>
      <c r="B43" s="101"/>
      <c r="C43" s="91"/>
      <c r="D43" s="91"/>
      <c r="E43" s="91"/>
      <c r="F43" s="91"/>
      <c r="G43" s="91"/>
      <c r="H43" s="91"/>
    </row>
    <row r="44" spans="1:13" x14ac:dyDescent="0.2">
      <c r="G44" s="102"/>
    </row>
    <row r="45" spans="1:13" x14ac:dyDescent="0.2">
      <c r="A45" s="98" t="s">
        <v>8</v>
      </c>
      <c r="D45" s="98" t="s">
        <v>8</v>
      </c>
      <c r="F45" s="98" t="s">
        <v>7</v>
      </c>
    </row>
    <row r="49" spans="1:8" x14ac:dyDescent="0.2">
      <c r="A49" s="101"/>
      <c r="B49" s="101"/>
      <c r="D49" s="101"/>
      <c r="F49" s="101"/>
      <c r="G49" s="101"/>
      <c r="H49" s="101"/>
    </row>
    <row r="50" spans="1:8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0" orientation="portrait" r:id="rId1"/>
  <headerFooter alignWithMargins="0">
    <oddFooter>Page &amp;P of &amp;N</oddFooter>
  </headerFooter>
</worksheet>
</file>

<file path=xl/worksheets/sheet5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3140-30F2-4CC1-9EE8-64DA36979B49}">
  <sheetPr codeName="Sheet776">
    <pageSetUpPr fitToPage="1"/>
  </sheetPr>
  <dimension ref="A1:L56"/>
  <sheetViews>
    <sheetView workbookViewId="0">
      <selection activeCell="G9" sqref="G9:G12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9" width="9.7109375" style="1" bestFit="1" customWidth="1"/>
    <col min="10" max="10" width="11" style="1" bestFit="1" customWidth="1"/>
    <col min="11" max="11" width="9.140625" style="1"/>
    <col min="12" max="12" width="16.28515625" style="1" bestFit="1" customWidth="1"/>
    <col min="13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61" t="s">
        <v>8429</v>
      </c>
      <c r="H9" s="91"/>
    </row>
    <row r="10" spans="1:8" x14ac:dyDescent="0.2">
      <c r="A10" s="91" t="s">
        <v>8430</v>
      </c>
      <c r="B10" s="91"/>
      <c r="C10" s="91"/>
      <c r="D10" s="91"/>
      <c r="E10" s="91"/>
      <c r="F10" s="92" t="s">
        <v>1357</v>
      </c>
      <c r="G10" s="113" t="s">
        <v>8183</v>
      </c>
      <c r="H10" s="91"/>
    </row>
    <row r="11" spans="1:8" x14ac:dyDescent="0.2">
      <c r="A11" s="91" t="s">
        <v>8431</v>
      </c>
      <c r="B11" s="91"/>
      <c r="C11" s="91"/>
      <c r="D11" s="91"/>
      <c r="E11" s="91"/>
      <c r="F11" s="92" t="s">
        <v>1330</v>
      </c>
      <c r="G11" s="113" t="s">
        <v>1220</v>
      </c>
      <c r="H11" s="91"/>
    </row>
    <row r="12" spans="1:8" x14ac:dyDescent="0.2">
      <c r="A12" s="91" t="s">
        <v>8432</v>
      </c>
      <c r="B12" s="91"/>
      <c r="C12" s="91"/>
      <c r="D12" s="91"/>
      <c r="E12" s="91"/>
      <c r="F12" s="92" t="s">
        <v>1377</v>
      </c>
      <c r="G12" s="113" t="s">
        <v>770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/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489" t="s">
        <v>128</v>
      </c>
      <c r="C16" s="489"/>
      <c r="D16" s="18" t="s">
        <v>19</v>
      </c>
      <c r="E16" s="18"/>
      <c r="F16" s="17"/>
      <c r="G16" s="16"/>
      <c r="H16" s="15" t="s">
        <v>18</v>
      </c>
    </row>
    <row r="17" spans="1:12" x14ac:dyDescent="0.2">
      <c r="A17" s="91"/>
      <c r="B17" s="91"/>
      <c r="C17" s="91"/>
      <c r="D17" s="91"/>
      <c r="E17" s="91"/>
      <c r="F17" s="91"/>
      <c r="G17" s="91"/>
      <c r="H17" s="91"/>
    </row>
    <row r="18" spans="1:12" x14ac:dyDescent="0.2">
      <c r="A18" s="93"/>
      <c r="B18" s="93"/>
      <c r="C18" s="93"/>
      <c r="D18" s="146" t="s">
        <v>8434</v>
      </c>
      <c r="E18" s="94"/>
      <c r="F18" s="91"/>
      <c r="G18" s="91"/>
      <c r="H18" s="91"/>
    </row>
    <row r="19" spans="1:12" x14ac:dyDescent="0.2">
      <c r="A19" s="93"/>
      <c r="B19" s="93"/>
      <c r="C19" s="93"/>
      <c r="D19" s="2" t="s">
        <v>8435</v>
      </c>
      <c r="E19" s="91"/>
      <c r="F19" s="91"/>
      <c r="G19" s="91"/>
      <c r="H19" s="91"/>
      <c r="I19" s="91"/>
    </row>
    <row r="20" spans="1:12" x14ac:dyDescent="0.2">
      <c r="A20" s="93"/>
      <c r="B20" s="93"/>
      <c r="C20" s="93"/>
      <c r="D20" s="2"/>
      <c r="E20" s="91"/>
      <c r="F20" s="91"/>
      <c r="G20" s="91"/>
      <c r="H20" s="91"/>
      <c r="I20" s="91"/>
    </row>
    <row r="21" spans="1:12" x14ac:dyDescent="0.2">
      <c r="A21" s="93" t="s">
        <v>8424</v>
      </c>
      <c r="B21" s="93" t="s">
        <v>8433</v>
      </c>
      <c r="C21" s="94"/>
      <c r="D21" s="91" t="s">
        <v>8436</v>
      </c>
      <c r="E21" s="91"/>
      <c r="H21" s="110">
        <f>16407.09*4.1887</f>
        <v>68724.377882999994</v>
      </c>
      <c r="I21" s="466"/>
      <c r="J21" s="494"/>
      <c r="L21" s="493"/>
    </row>
    <row r="22" spans="1:12" x14ac:dyDescent="0.2">
      <c r="A22" s="93"/>
      <c r="B22" s="93"/>
      <c r="C22" s="93"/>
      <c r="D22" s="94" t="s">
        <v>8437</v>
      </c>
      <c r="E22" s="94"/>
      <c r="F22" s="91"/>
      <c r="G22" s="91"/>
      <c r="H22" s="91"/>
      <c r="I22" s="91"/>
    </row>
    <row r="23" spans="1:12" x14ac:dyDescent="0.2">
      <c r="A23" s="93"/>
      <c r="B23" s="93"/>
      <c r="C23" s="93"/>
      <c r="D23" s="94"/>
      <c r="E23" s="94"/>
      <c r="F23" s="91"/>
      <c r="G23" s="91"/>
      <c r="H23" s="91"/>
      <c r="I23" s="91"/>
    </row>
    <row r="24" spans="1:12" x14ac:dyDescent="0.2">
      <c r="A24" s="93"/>
      <c r="B24" s="93"/>
      <c r="C24" s="93"/>
      <c r="D24" s="91" t="s">
        <v>8438</v>
      </c>
      <c r="E24" s="91"/>
      <c r="F24" s="91"/>
      <c r="G24" s="91"/>
      <c r="H24" s="91"/>
      <c r="I24" s="91"/>
    </row>
    <row r="25" spans="1:12" x14ac:dyDescent="0.2">
      <c r="A25" s="93"/>
      <c r="B25" s="93"/>
      <c r="C25" s="93"/>
      <c r="D25" s="94"/>
      <c r="E25" s="94"/>
      <c r="F25" s="91"/>
      <c r="G25" s="91"/>
      <c r="H25" s="91"/>
      <c r="I25" s="91"/>
    </row>
    <row r="26" spans="1:12" x14ac:dyDescent="0.2">
      <c r="A26" s="93"/>
      <c r="B26" s="93"/>
      <c r="C26" s="93"/>
      <c r="D26" s="91" t="s">
        <v>52</v>
      </c>
      <c r="H26" s="91">
        <v>30</v>
      </c>
      <c r="I26" s="91"/>
    </row>
    <row r="27" spans="1:12" x14ac:dyDescent="0.2">
      <c r="A27" s="93"/>
      <c r="B27" s="94"/>
      <c r="C27" s="94"/>
      <c r="D27" s="91"/>
      <c r="E27" s="91"/>
      <c r="H27" s="91"/>
      <c r="I27" s="91"/>
    </row>
    <row r="28" spans="1:12" x14ac:dyDescent="0.2">
      <c r="A28" s="93"/>
      <c r="B28" s="93"/>
      <c r="C28" s="93"/>
      <c r="D28" s="94"/>
      <c r="E28" s="94"/>
      <c r="F28" s="91"/>
      <c r="G28" s="91"/>
      <c r="H28" s="91"/>
      <c r="I28" s="91"/>
    </row>
    <row r="29" spans="1:12" x14ac:dyDescent="0.2">
      <c r="A29" s="93"/>
      <c r="B29" s="94"/>
      <c r="C29" s="94"/>
      <c r="D29" s="91"/>
      <c r="E29" s="91"/>
      <c r="F29" s="91"/>
      <c r="G29" s="91"/>
      <c r="H29" s="91"/>
      <c r="I29" s="91"/>
    </row>
    <row r="30" spans="1:12" x14ac:dyDescent="0.2">
      <c r="A30" s="93"/>
      <c r="B30" s="94"/>
      <c r="C30" s="94"/>
      <c r="D30" s="91"/>
      <c r="E30" s="91"/>
      <c r="F30" s="91"/>
      <c r="G30" s="91"/>
      <c r="H30" s="91"/>
      <c r="I30" s="91"/>
    </row>
    <row r="31" spans="1:12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2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x14ac:dyDescent="0.2">
      <c r="A34" s="91"/>
      <c r="B34" s="91"/>
      <c r="C34" s="91"/>
      <c r="D34" s="91"/>
      <c r="E34" s="91"/>
      <c r="F34" s="91"/>
      <c r="G34" s="91"/>
      <c r="I34" s="91"/>
    </row>
    <row r="35" spans="1:9" ht="13.5" thickBot="1" x14ac:dyDescent="0.25">
      <c r="A35" s="91"/>
      <c r="B35" s="91"/>
      <c r="C35" s="91"/>
      <c r="D35" s="91"/>
      <c r="E35" s="91"/>
      <c r="F35" s="91"/>
      <c r="G35" s="91"/>
      <c r="H35" s="107">
        <f>SUM(H18:H34)</f>
        <v>68754.377882999994</v>
      </c>
      <c r="I35" s="91"/>
    </row>
    <row r="36" spans="1:9" ht="13.5" thickTop="1" x14ac:dyDescent="0.2">
      <c r="A36" s="91"/>
      <c r="B36" s="91"/>
      <c r="C36" s="91"/>
      <c r="D36" s="91"/>
      <c r="E36" s="91"/>
      <c r="F36" s="91"/>
      <c r="G36" s="91"/>
      <c r="H36" s="91"/>
      <c r="I36" s="91"/>
    </row>
    <row r="37" spans="1:9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Sixty-Eight Thousand Seven Hundred Fifty-Four and 38/100 -----------</v>
      </c>
      <c r="C37" s="185"/>
      <c r="D37" s="97"/>
      <c r="E37" s="97"/>
      <c r="F37" s="97"/>
      <c r="G37" s="97"/>
      <c r="H37" s="97"/>
      <c r="I37" s="91"/>
    </row>
    <row r="38" spans="1:9" x14ac:dyDescent="0.2">
      <c r="A38" s="94" t="s">
        <v>11</v>
      </c>
      <c r="B38" s="91"/>
      <c r="C38" s="91"/>
      <c r="D38" s="91"/>
      <c r="E38" s="91"/>
      <c r="F38" s="91"/>
      <c r="G38" s="91"/>
      <c r="H38" s="91"/>
    </row>
    <row r="39" spans="1:9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9" x14ac:dyDescent="0.2">
      <c r="A40" s="91"/>
      <c r="B40" s="91"/>
      <c r="C40" s="91"/>
      <c r="D40" s="91"/>
      <c r="E40" s="91"/>
      <c r="F40" s="91"/>
      <c r="G40" s="91"/>
      <c r="H40" s="91"/>
    </row>
    <row r="41" spans="1:9" x14ac:dyDescent="0.2">
      <c r="A41" s="61"/>
      <c r="B41" s="91"/>
      <c r="C41" s="91"/>
      <c r="D41" s="91"/>
      <c r="E41" s="91"/>
    </row>
    <row r="42" spans="1:9" x14ac:dyDescent="0.2">
      <c r="A42" s="91"/>
      <c r="B42" s="91"/>
      <c r="C42" s="91"/>
      <c r="D42" s="490"/>
      <c r="E42" s="490"/>
      <c r="F42" s="91"/>
      <c r="G42" s="91"/>
      <c r="H42" s="91"/>
    </row>
    <row r="43" spans="1:9" x14ac:dyDescent="0.2">
      <c r="A43" s="101"/>
      <c r="B43" s="101"/>
      <c r="C43" s="91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148D-E1A4-46BD-B8DD-021064342144}">
  <sheetPr codeName="Sheet677">
    <pageSetUpPr fitToPage="1"/>
  </sheetPr>
  <dimension ref="A1:G57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A9" s="91" t="s">
        <v>5618</v>
      </c>
      <c r="D9" s="92" t="s">
        <v>1334</v>
      </c>
      <c r="E9" s="91" t="s">
        <v>6858</v>
      </c>
      <c r="G9" s="61"/>
    </row>
    <row r="10" spans="1:7" x14ac:dyDescent="0.2">
      <c r="A10" s="91" t="s">
        <v>6847</v>
      </c>
      <c r="D10" s="92" t="s">
        <v>1335</v>
      </c>
      <c r="E10" s="98" t="s">
        <v>6833</v>
      </c>
      <c r="G10" s="113"/>
    </row>
    <row r="11" spans="1:7" x14ac:dyDescent="0.2">
      <c r="A11" s="91" t="s">
        <v>5619</v>
      </c>
      <c r="D11" s="92" t="s">
        <v>1333</v>
      </c>
      <c r="E11" s="92" t="s">
        <v>1220</v>
      </c>
      <c r="G11" s="113"/>
    </row>
    <row r="12" spans="1:7" x14ac:dyDescent="0.2">
      <c r="A12" s="91" t="s">
        <v>3309</v>
      </c>
      <c r="D12" s="92" t="s">
        <v>1331</v>
      </c>
      <c r="E12" s="92" t="s">
        <v>6859</v>
      </c>
      <c r="G12" s="113"/>
    </row>
    <row r="13" spans="1:7" x14ac:dyDescent="0.2">
      <c r="A13" s="91" t="s">
        <v>1314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6848</v>
      </c>
    </row>
    <row r="20" spans="1:6" x14ac:dyDescent="0.2">
      <c r="A20" s="93" t="s">
        <v>6849</v>
      </c>
      <c r="B20" s="111">
        <v>129761</v>
      </c>
      <c r="C20" s="91" t="s">
        <v>6852</v>
      </c>
      <c r="F20" s="91">
        <f>170*6</f>
        <v>1020</v>
      </c>
    </row>
    <row r="21" spans="1:6" x14ac:dyDescent="0.2">
      <c r="C21" s="91" t="s">
        <v>6850</v>
      </c>
      <c r="F21" s="110">
        <f>210*14</f>
        <v>2940</v>
      </c>
    </row>
    <row r="22" spans="1:6" x14ac:dyDescent="0.2">
      <c r="A22" s="93"/>
      <c r="B22" s="93"/>
      <c r="C22" s="91" t="s">
        <v>6851</v>
      </c>
      <c r="F22" s="91">
        <f>2*10*2</f>
        <v>40</v>
      </c>
    </row>
    <row r="23" spans="1:6" x14ac:dyDescent="0.2">
      <c r="A23" s="111"/>
      <c r="B23" s="111"/>
      <c r="C23" s="91" t="s">
        <v>6853</v>
      </c>
      <c r="D23" s="1"/>
      <c r="E23" s="1"/>
      <c r="F23" s="91">
        <f>200</f>
        <v>200</v>
      </c>
    </row>
    <row r="24" spans="1:6" x14ac:dyDescent="0.2">
      <c r="A24" s="93"/>
      <c r="B24" s="99"/>
    </row>
    <row r="25" spans="1:6" x14ac:dyDescent="0.2">
      <c r="A25" s="111"/>
      <c r="B25" s="111"/>
      <c r="D25" s="1"/>
      <c r="E25" s="1"/>
      <c r="F25" s="110"/>
    </row>
    <row r="26" spans="1:6" x14ac:dyDescent="0.2">
      <c r="A26" s="93"/>
      <c r="B26" s="93"/>
    </row>
    <row r="27" spans="1:6" x14ac:dyDescent="0.2">
      <c r="F27" s="110"/>
    </row>
    <row r="28" spans="1:6" x14ac:dyDescent="0.2">
      <c r="A28" s="93"/>
      <c r="B28" s="99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9"/>
    </row>
    <row r="35" spans="1:6" x14ac:dyDescent="0.2">
      <c r="A35" s="93"/>
      <c r="B35" s="99"/>
      <c r="F35" s="110"/>
    </row>
    <row r="37" spans="1:6" x14ac:dyDescent="0.2">
      <c r="A37" s="93"/>
      <c r="B37" s="111"/>
    </row>
    <row r="38" spans="1:6" ht="13.5" thickBot="1" x14ac:dyDescent="0.25">
      <c r="F38" s="95">
        <f>SUM(F18:F36)</f>
        <v>4200</v>
      </c>
    </row>
    <row r="39" spans="1:6" ht="13.5" thickTop="1" x14ac:dyDescent="0.2"/>
    <row r="40" spans="1:6" ht="20.100000000000001" customHeight="1" x14ac:dyDescent="0.2">
      <c r="A40" s="96" t="s">
        <v>336</v>
      </c>
      <c r="B40" s="185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Four Thousand Two Hundred and NO/100 -----------</v>
      </c>
      <c r="C40" s="97"/>
      <c r="D40" s="97"/>
      <c r="E40" s="97"/>
      <c r="F40" s="97"/>
    </row>
    <row r="41" spans="1:6" x14ac:dyDescent="0.2">
      <c r="A41" s="94" t="s">
        <v>11</v>
      </c>
    </row>
    <row r="42" spans="1:6" ht="25.5" x14ac:dyDescent="0.2">
      <c r="A42" s="91" t="s">
        <v>10</v>
      </c>
      <c r="D42" s="218" t="s">
        <v>3975</v>
      </c>
      <c r="E42" s="219"/>
      <c r="F42" s="220"/>
    </row>
    <row r="45" spans="1:6" x14ac:dyDescent="0.2">
      <c r="D45" s="227"/>
      <c r="E45" s="227"/>
      <c r="F45" s="227"/>
    </row>
    <row r="46" spans="1:6" x14ac:dyDescent="0.2">
      <c r="A46" s="101"/>
      <c r="B46" s="101"/>
      <c r="D46" s="228"/>
      <c r="E46" s="229"/>
      <c r="F46" s="229"/>
    </row>
    <row r="47" spans="1:6" x14ac:dyDescent="0.2">
      <c r="A47" s="1"/>
      <c r="D47" s="98" t="s">
        <v>7</v>
      </c>
      <c r="F47" s="102"/>
    </row>
    <row r="48" spans="1:6" x14ac:dyDescent="0.2">
      <c r="A48" s="98" t="s">
        <v>8</v>
      </c>
      <c r="D48" s="98"/>
      <c r="F48" s="102"/>
    </row>
    <row r="52" spans="1:6" x14ac:dyDescent="0.2">
      <c r="A52" s="101" t="s">
        <v>120</v>
      </c>
      <c r="B52" s="101"/>
      <c r="D52" s="101"/>
      <c r="E52" s="101"/>
      <c r="F52" s="101"/>
    </row>
    <row r="53" spans="1:6" s="3" customFormat="1" ht="17.100000000000001" customHeight="1" x14ac:dyDescent="0.2">
      <c r="A53" s="103" t="s">
        <v>4066</v>
      </c>
      <c r="B53" s="104"/>
      <c r="C53" s="61"/>
      <c r="D53" s="61" t="s">
        <v>3</v>
      </c>
      <c r="E53" s="61"/>
      <c r="F53" s="61"/>
    </row>
    <row r="54" spans="1:6" x14ac:dyDescent="0.2">
      <c r="D54" s="91" t="s">
        <v>2</v>
      </c>
    </row>
    <row r="56" spans="1:6" x14ac:dyDescent="0.2">
      <c r="D56" s="2" t="s">
        <v>1</v>
      </c>
    </row>
    <row r="57" spans="1:6" x14ac:dyDescent="0.2">
      <c r="D57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2B0D-CD8D-4CF4-AC32-D1EDA84AAE99}">
  <sheetPr codeName="Sheet738"/>
  <dimension ref="A1:O54"/>
  <sheetViews>
    <sheetView zoomScaleNormal="100" zoomScaleSheetLayoutView="100" workbookViewId="0">
      <selection activeCell="G9" sqref="G9:H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5703125" style="91" customWidth="1"/>
    <col min="4" max="4" width="21" style="91" customWidth="1"/>
    <col min="5" max="5" width="1.140625" style="91" customWidth="1"/>
    <col min="6" max="6" width="15" style="91" customWidth="1"/>
    <col min="7" max="7" width="8.7109375" style="91" customWidth="1"/>
    <col min="8" max="8" width="11.7109375" style="91" customWidth="1"/>
    <col min="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</row>
    <row r="9" spans="1:15" x14ac:dyDescent="0.2">
      <c r="F9" s="92" t="s">
        <v>1334</v>
      </c>
      <c r="G9" s="155" t="s">
        <v>7617</v>
      </c>
      <c r="I9" s="61"/>
    </row>
    <row r="10" spans="1:15" x14ac:dyDescent="0.2">
      <c r="A10" s="91" t="s">
        <v>7619</v>
      </c>
      <c r="F10" s="92" t="s">
        <v>1335</v>
      </c>
      <c r="G10" s="155" t="s">
        <v>7615</v>
      </c>
      <c r="I10" s="113"/>
    </row>
    <row r="11" spans="1:15" x14ac:dyDescent="0.2">
      <c r="A11" s="91" t="s">
        <v>7620</v>
      </c>
      <c r="F11" s="92" t="s">
        <v>1333</v>
      </c>
      <c r="G11" s="155" t="s">
        <v>1220</v>
      </c>
      <c r="I11" s="113"/>
    </row>
    <row r="12" spans="1:15" x14ac:dyDescent="0.2">
      <c r="F12" s="92" t="s">
        <v>1331</v>
      </c>
      <c r="G12" s="91" t="s">
        <v>7618</v>
      </c>
      <c r="I12" s="113"/>
    </row>
    <row r="13" spans="1:15" x14ac:dyDescent="0.2">
      <c r="G13" s="91" t="s">
        <v>6823</v>
      </c>
    </row>
    <row r="16" spans="1:15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  <c r="J16" s="91"/>
      <c r="K16" s="91"/>
      <c r="L16" s="2" t="s">
        <v>5431</v>
      </c>
      <c r="M16" s="91"/>
      <c r="N16" s="91"/>
      <c r="O16" s="91"/>
    </row>
    <row r="17" spans="1:15" x14ac:dyDescent="0.2">
      <c r="J17" s="91"/>
      <c r="K17" s="91"/>
      <c r="L17" s="91"/>
      <c r="M17" s="91"/>
      <c r="N17" s="91"/>
      <c r="O17" s="91"/>
    </row>
    <row r="18" spans="1:15" x14ac:dyDescent="0.2">
      <c r="D18" s="2" t="s">
        <v>7621</v>
      </c>
      <c r="E18" s="2"/>
      <c r="I18" s="14"/>
      <c r="J18" s="93" t="s">
        <v>5432</v>
      </c>
      <c r="K18" s="111" t="s">
        <v>5433</v>
      </c>
      <c r="L18" s="91" t="s">
        <v>2312</v>
      </c>
      <c r="M18" s="91"/>
      <c r="N18" s="91"/>
      <c r="O18" s="91">
        <v>300</v>
      </c>
    </row>
    <row r="19" spans="1:15" x14ac:dyDescent="0.2">
      <c r="J19" s="91"/>
      <c r="K19" s="91"/>
      <c r="L19" s="91" t="s">
        <v>2313</v>
      </c>
      <c r="M19" s="91"/>
      <c r="N19" s="91"/>
      <c r="O19" s="110"/>
    </row>
    <row r="20" spans="1:15" x14ac:dyDescent="0.2">
      <c r="A20" s="93" t="s">
        <v>7006</v>
      </c>
      <c r="B20" s="111" t="s">
        <v>7622</v>
      </c>
      <c r="C20" s="111"/>
      <c r="D20" s="91" t="s">
        <v>7623</v>
      </c>
      <c r="H20" s="91">
        <v>1500</v>
      </c>
      <c r="J20" s="91"/>
      <c r="K20" s="91"/>
      <c r="L20" s="91" t="s">
        <v>4563</v>
      </c>
      <c r="M20" s="91"/>
      <c r="N20" s="91"/>
      <c r="O20" s="110">
        <v>20</v>
      </c>
    </row>
    <row r="21" spans="1:15" x14ac:dyDescent="0.2">
      <c r="H21" s="110"/>
      <c r="J21" s="111"/>
      <c r="K21" s="111"/>
      <c r="L21" s="91" t="s">
        <v>4564</v>
      </c>
      <c r="O21" s="110">
        <v>30</v>
      </c>
    </row>
    <row r="22" spans="1:15" x14ac:dyDescent="0.2">
      <c r="H22" s="110"/>
      <c r="J22" s="80"/>
      <c r="K22" s="80"/>
      <c r="L22" s="91" t="s">
        <v>2316</v>
      </c>
      <c r="M22" s="91"/>
      <c r="N22" s="91"/>
      <c r="O22" s="91">
        <v>40</v>
      </c>
    </row>
    <row r="23" spans="1:15" x14ac:dyDescent="0.2">
      <c r="A23" s="111"/>
      <c r="B23" s="111"/>
      <c r="C23" s="111"/>
      <c r="F23" s="1"/>
      <c r="G23" s="1"/>
      <c r="H23" s="110"/>
      <c r="J23" s="93"/>
      <c r="K23" s="111"/>
      <c r="L23" s="91"/>
      <c r="M23" s="91"/>
      <c r="N23" s="91"/>
      <c r="O23" s="91"/>
    </row>
    <row r="24" spans="1:15" x14ac:dyDescent="0.2">
      <c r="A24" s="80"/>
      <c r="B24" s="80"/>
      <c r="C24" s="80"/>
      <c r="J24" s="91"/>
      <c r="K24" s="91"/>
      <c r="L24" s="91"/>
      <c r="M24" s="91"/>
      <c r="N24" s="91"/>
      <c r="O24" s="91"/>
    </row>
    <row r="25" spans="1:15" x14ac:dyDescent="0.2">
      <c r="A25" s="80"/>
      <c r="B25" s="80"/>
      <c r="C25" s="80"/>
      <c r="J25" s="91"/>
      <c r="K25" s="91"/>
      <c r="L25" s="2" t="s">
        <v>5451</v>
      </c>
      <c r="M25" s="91"/>
      <c r="N25" s="91"/>
      <c r="O25" s="91"/>
    </row>
    <row r="26" spans="1:15" x14ac:dyDescent="0.2">
      <c r="A26" s="93"/>
      <c r="B26" s="111"/>
      <c r="C26" s="111"/>
      <c r="F26" s="1"/>
      <c r="J26" s="91"/>
      <c r="K26" s="91"/>
      <c r="L26" s="91"/>
      <c r="M26" s="91"/>
      <c r="N26" s="91"/>
      <c r="O26" s="91"/>
    </row>
    <row r="27" spans="1:15" x14ac:dyDescent="0.2">
      <c r="J27" s="93" t="s">
        <v>5452</v>
      </c>
      <c r="K27" s="111" t="s">
        <v>5453</v>
      </c>
      <c r="L27" s="91" t="s">
        <v>5454</v>
      </c>
      <c r="M27" s="91"/>
      <c r="N27" s="91"/>
      <c r="O27" s="91">
        <v>300</v>
      </c>
    </row>
    <row r="28" spans="1:15" x14ac:dyDescent="0.2">
      <c r="A28" s="93"/>
      <c r="B28" s="111"/>
      <c r="C28" s="111"/>
      <c r="J28" s="91"/>
      <c r="K28" s="91"/>
      <c r="L28" s="91" t="s">
        <v>5455</v>
      </c>
      <c r="M28" s="91"/>
      <c r="N28" s="91"/>
      <c r="O28" s="110"/>
    </row>
    <row r="29" spans="1:15" x14ac:dyDescent="0.2">
      <c r="J29" s="91"/>
      <c r="K29" s="91"/>
      <c r="L29" s="91"/>
      <c r="M29" s="91"/>
      <c r="N29" s="91"/>
      <c r="O29" s="110"/>
    </row>
    <row r="30" spans="1:15" x14ac:dyDescent="0.2">
      <c r="J30" s="111"/>
      <c r="K30" s="111"/>
      <c r="L30" s="91" t="s">
        <v>2313</v>
      </c>
      <c r="M30" s="91"/>
      <c r="O30" s="110"/>
    </row>
    <row r="31" spans="1:15" x14ac:dyDescent="0.2">
      <c r="J31" s="80"/>
      <c r="K31" s="80"/>
      <c r="L31" s="91" t="s">
        <v>4563</v>
      </c>
      <c r="M31" s="91"/>
      <c r="N31" s="91"/>
      <c r="O31" s="91">
        <v>30</v>
      </c>
    </row>
    <row r="32" spans="1:15" x14ac:dyDescent="0.2">
      <c r="J32" s="93"/>
      <c r="K32" s="111"/>
      <c r="L32" s="91" t="s">
        <v>4564</v>
      </c>
      <c r="N32" s="91"/>
      <c r="O32" s="91">
        <v>50</v>
      </c>
    </row>
    <row r="33" spans="1:15" x14ac:dyDescent="0.2">
      <c r="A33" s="93"/>
      <c r="B33" s="111"/>
      <c r="C33" s="111"/>
      <c r="J33" s="91"/>
      <c r="K33" s="91"/>
      <c r="L33" s="91" t="s">
        <v>2316</v>
      </c>
      <c r="M33" s="91"/>
      <c r="N33" s="91"/>
      <c r="O33" s="91">
        <v>30</v>
      </c>
    </row>
    <row r="34" spans="1:15" x14ac:dyDescent="0.2">
      <c r="A34" s="93"/>
      <c r="B34" s="111"/>
      <c r="C34" s="111"/>
      <c r="J34" s="91"/>
      <c r="K34" s="91"/>
      <c r="L34" s="91"/>
      <c r="M34" s="91"/>
      <c r="N34" s="91"/>
      <c r="O34" s="91"/>
    </row>
    <row r="35" spans="1:15" ht="13.5" thickBot="1" x14ac:dyDescent="0.25">
      <c r="H35" s="95">
        <f>SUM(H18:H34)</f>
        <v>1500</v>
      </c>
    </row>
    <row r="36" spans="1:15" ht="13.5" thickTop="1" x14ac:dyDescent="0.2"/>
    <row r="37" spans="1:15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Five Hundred and NO/100 -----------</v>
      </c>
      <c r="C37" s="185"/>
      <c r="D37" s="97"/>
      <c r="E37" s="97"/>
      <c r="F37" s="97"/>
      <c r="G37" s="97"/>
      <c r="H37" s="97"/>
    </row>
    <row r="38" spans="1:15" x14ac:dyDescent="0.2">
      <c r="A38" s="94" t="s">
        <v>11</v>
      </c>
    </row>
    <row r="39" spans="1:15" ht="25.5" x14ac:dyDescent="0.2">
      <c r="A39" s="91" t="s">
        <v>10</v>
      </c>
      <c r="F39" s="218" t="s">
        <v>3975</v>
      </c>
      <c r="G39" s="219"/>
      <c r="H39" s="220"/>
    </row>
    <row r="42" spans="1:15" x14ac:dyDescent="0.2">
      <c r="F42" s="227"/>
      <c r="G42" s="227"/>
      <c r="H42" s="227"/>
    </row>
    <row r="43" spans="1:15" x14ac:dyDescent="0.2">
      <c r="A43" s="101"/>
      <c r="B43" s="101"/>
      <c r="C43" s="386"/>
      <c r="F43" s="228"/>
      <c r="G43" s="229"/>
      <c r="H43" s="229"/>
    </row>
    <row r="44" spans="1:15" x14ac:dyDescent="0.2">
      <c r="A44" s="1"/>
      <c r="F44" s="98" t="s">
        <v>7</v>
      </c>
      <c r="H44" s="102"/>
    </row>
    <row r="45" spans="1:15" x14ac:dyDescent="0.2">
      <c r="A45" s="98" t="s">
        <v>8</v>
      </c>
      <c r="D45" s="98" t="s">
        <v>8</v>
      </c>
      <c r="F45" s="98"/>
      <c r="H45" s="102"/>
    </row>
    <row r="49" spans="1:8" x14ac:dyDescent="0.2">
      <c r="A49" s="101" t="s">
        <v>120</v>
      </c>
      <c r="B49" s="101"/>
      <c r="C49" s="386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4586-E2C3-4E5E-9F3D-B2E39812F0B0}">
  <sheetPr codeName="Sheet736"/>
  <dimension ref="A1:P55"/>
  <sheetViews>
    <sheetView topLeftCell="A7" zoomScaleNormal="100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0.28515625" style="91" customWidth="1"/>
    <col min="5" max="5" width="1" style="91" customWidth="1"/>
    <col min="6" max="6" width="16.42578125" style="91" customWidth="1"/>
    <col min="7" max="7" width="8.7109375" style="91" customWidth="1"/>
    <col min="8" max="8" width="12" style="91" customWidth="1"/>
    <col min="9" max="15" width="9.140625" style="1"/>
    <col min="16" max="16" width="10.42578125" style="1" bestFit="1" customWidth="1"/>
    <col min="17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1334</v>
      </c>
      <c r="G9" s="91" t="s">
        <v>7763</v>
      </c>
      <c r="I9" s="61"/>
    </row>
    <row r="10" spans="1:16" x14ac:dyDescent="0.2">
      <c r="A10" s="91" t="s">
        <v>7583</v>
      </c>
      <c r="F10" s="92" t="s">
        <v>1335</v>
      </c>
      <c r="G10" s="92" t="s">
        <v>7750</v>
      </c>
      <c r="I10" s="113"/>
    </row>
    <row r="11" spans="1:16" x14ac:dyDescent="0.2">
      <c r="A11" s="91" t="s">
        <v>7584</v>
      </c>
      <c r="F11" s="92" t="s">
        <v>1333</v>
      </c>
      <c r="G11" s="92" t="s">
        <v>1220</v>
      </c>
      <c r="I11" s="113"/>
    </row>
    <row r="12" spans="1:16" x14ac:dyDescent="0.2">
      <c r="A12" s="91" t="s">
        <v>7585</v>
      </c>
      <c r="F12" s="92" t="s">
        <v>1331</v>
      </c>
      <c r="G12" s="92" t="s">
        <v>7764</v>
      </c>
      <c r="I12" s="113"/>
      <c r="L12" s="91" t="s">
        <v>7249</v>
      </c>
      <c r="M12" s="91"/>
      <c r="N12" s="91"/>
      <c r="O12" s="91"/>
      <c r="P12" s="91">
        <v>15375</v>
      </c>
    </row>
    <row r="13" spans="1:16" x14ac:dyDescent="0.2">
      <c r="A13" s="91" t="s">
        <v>1508</v>
      </c>
      <c r="G13" s="91" t="s">
        <v>7762</v>
      </c>
      <c r="L13" s="91" t="s">
        <v>7250</v>
      </c>
      <c r="M13" s="91"/>
      <c r="N13" s="91"/>
      <c r="O13" s="91"/>
      <c r="P13" s="91"/>
    </row>
    <row r="14" spans="1:16" x14ac:dyDescent="0.2">
      <c r="L14" s="91"/>
      <c r="M14" s="91"/>
      <c r="N14" s="91"/>
      <c r="O14" s="91"/>
      <c r="P14" s="91"/>
    </row>
    <row r="15" spans="1:16" x14ac:dyDescent="0.2">
      <c r="L15" s="91"/>
      <c r="M15" s="91"/>
      <c r="N15" s="91"/>
      <c r="O15" s="91"/>
      <c r="P15" s="91"/>
    </row>
    <row r="16" spans="1:16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7586</v>
      </c>
    </row>
    <row r="19" spans="1:8" x14ac:dyDescent="0.2">
      <c r="A19" s="93"/>
      <c r="B19" s="415"/>
    </row>
    <row r="20" spans="1:8" x14ac:dyDescent="0.2">
      <c r="A20" s="93" t="s">
        <v>7742</v>
      </c>
      <c r="B20" s="93" t="s">
        <v>7765</v>
      </c>
      <c r="C20" s="93"/>
      <c r="D20" s="91" t="s">
        <v>7766</v>
      </c>
      <c r="H20" s="91">
        <v>6600</v>
      </c>
    </row>
    <row r="21" spans="1:8" x14ac:dyDescent="0.2">
      <c r="A21" s="93"/>
      <c r="B21" s="93"/>
      <c r="C21" s="93"/>
      <c r="D21" s="91" t="s">
        <v>7767</v>
      </c>
      <c r="H21" s="91">
        <f>340*2</f>
        <v>680</v>
      </c>
    </row>
    <row r="22" spans="1:8" x14ac:dyDescent="0.2">
      <c r="A22" s="93"/>
      <c r="B22" s="93"/>
      <c r="D22" s="91" t="s">
        <v>7768</v>
      </c>
      <c r="H22" s="91">
        <v>2000</v>
      </c>
    </row>
    <row r="23" spans="1:8" x14ac:dyDescent="0.2">
      <c r="A23" s="93"/>
      <c r="B23" s="415"/>
    </row>
    <row r="24" spans="1:8" x14ac:dyDescent="0.2">
      <c r="A24" s="93"/>
      <c r="B24" s="415"/>
    </row>
    <row r="25" spans="1:8" x14ac:dyDescent="0.2">
      <c r="D25" s="2"/>
    </row>
    <row r="26" spans="1:8" x14ac:dyDescent="0.2">
      <c r="A26" s="111"/>
      <c r="B26" s="93"/>
      <c r="C26" s="93"/>
      <c r="D26" s="2"/>
      <c r="H26" s="110"/>
    </row>
    <row r="27" spans="1:8" x14ac:dyDescent="0.2">
      <c r="A27" s="111"/>
      <c r="B27" s="93"/>
      <c r="C27" s="93"/>
      <c r="D27" s="2"/>
      <c r="H27" s="110"/>
    </row>
    <row r="28" spans="1:8" x14ac:dyDescent="0.2">
      <c r="A28" s="111"/>
      <c r="B28" s="93"/>
      <c r="C28" s="93"/>
      <c r="H28" s="110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11"/>
      <c r="B32" s="93"/>
      <c r="C32" s="93"/>
      <c r="H32" s="110"/>
    </row>
    <row r="33" spans="1:8" x14ac:dyDescent="0.2">
      <c r="A33" s="111"/>
      <c r="B33" s="93"/>
      <c r="C33" s="93"/>
      <c r="H33" s="110"/>
    </row>
    <row r="34" spans="1:8" x14ac:dyDescent="0.2">
      <c r="A34" s="109"/>
      <c r="B34" s="415"/>
      <c r="C34" s="415"/>
    </row>
    <row r="36" spans="1:8" ht="13.5" thickBot="1" x14ac:dyDescent="0.25">
      <c r="H36" s="107">
        <f>SUM(H18:H34)</f>
        <v>9280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Nine Thousand Two Hundred Eighty and NO/100 -----------</v>
      </c>
      <c r="C38" s="185"/>
      <c r="D38" s="97"/>
      <c r="E38" s="97"/>
      <c r="F38" s="97"/>
      <c r="G38" s="97"/>
      <c r="H38" s="97"/>
    </row>
    <row r="39" spans="1:8" ht="20.100000000000001" customHeight="1" x14ac:dyDescent="0.2">
      <c r="A39" s="113"/>
      <c r="B39" s="103"/>
      <c r="C39" s="103"/>
      <c r="D39" s="61"/>
      <c r="E39" s="61"/>
      <c r="F39" s="61"/>
      <c r="G39" s="61"/>
      <c r="H39" s="61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415"/>
      <c r="E42" s="415"/>
    </row>
    <row r="43" spans="1:8" x14ac:dyDescent="0.2">
      <c r="A43" s="91" t="s">
        <v>121</v>
      </c>
      <c r="D43" s="415"/>
      <c r="E43" s="415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74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2922</v>
      </c>
      <c r="D9" s="92" t="s">
        <v>1317</v>
      </c>
      <c r="E9" s="91" t="s">
        <v>3247</v>
      </c>
    </row>
    <row r="10" spans="1:6" x14ac:dyDescent="0.2">
      <c r="A10" s="91" t="s">
        <v>2923</v>
      </c>
      <c r="D10" s="92" t="s">
        <v>1329</v>
      </c>
      <c r="E10" s="92" t="s">
        <v>3179</v>
      </c>
    </row>
    <row r="11" spans="1:6" x14ac:dyDescent="0.2">
      <c r="A11" s="91" t="s">
        <v>2924</v>
      </c>
      <c r="D11" s="92" t="s">
        <v>1330</v>
      </c>
      <c r="E11" s="92" t="s">
        <v>1220</v>
      </c>
    </row>
    <row r="12" spans="1:6" x14ac:dyDescent="0.2">
      <c r="A12" s="91" t="s">
        <v>2925</v>
      </c>
      <c r="D12" s="92" t="s">
        <v>1331</v>
      </c>
      <c r="E12" s="92" t="s">
        <v>770</v>
      </c>
    </row>
    <row r="13" spans="1:6" x14ac:dyDescent="0.2">
      <c r="A13" s="91" t="s">
        <v>2926</v>
      </c>
    </row>
    <row r="14" spans="1:6" x14ac:dyDescent="0.2">
      <c r="A14" s="91" t="s">
        <v>2927</v>
      </c>
    </row>
    <row r="15" spans="1:6" x14ac:dyDescent="0.2">
      <c r="A15" s="91" t="s">
        <v>2928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3248</v>
      </c>
    </row>
    <row r="19" spans="1:6" x14ac:dyDescent="0.2">
      <c r="A19" s="106"/>
      <c r="C19" s="2"/>
    </row>
    <row r="20" spans="1:6" x14ac:dyDescent="0.2">
      <c r="A20" s="93" t="s">
        <v>3249</v>
      </c>
      <c r="B20" s="93" t="s">
        <v>3250</v>
      </c>
      <c r="C20" s="91" t="s">
        <v>3251</v>
      </c>
      <c r="F20" s="91">
        <f>2.5935*16000</f>
        <v>41496</v>
      </c>
    </row>
    <row r="21" spans="1:6" x14ac:dyDescent="0.2">
      <c r="A21" s="93"/>
      <c r="B21" s="94"/>
      <c r="C21" s="91" t="s">
        <v>3252</v>
      </c>
    </row>
    <row r="22" spans="1:6" x14ac:dyDescent="0.2">
      <c r="A22" s="93"/>
      <c r="B22" s="99"/>
    </row>
    <row r="23" spans="1:6" x14ac:dyDescent="0.2">
      <c r="C23" s="91" t="s">
        <v>3253</v>
      </c>
    </row>
    <row r="25" spans="1:6" x14ac:dyDescent="0.2">
      <c r="A25" s="137"/>
      <c r="B25" s="99"/>
      <c r="C25" s="91" t="s">
        <v>52</v>
      </c>
      <c r="F25" s="91">
        <v>10</v>
      </c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41506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Forty-One Thousand Five Hundred Six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30EC-570C-47A6-898D-9CE014880C41}">
  <sheetPr codeName="Sheet685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6978</v>
      </c>
    </row>
    <row r="10" spans="1:6" s="91" customFormat="1" x14ac:dyDescent="0.2">
      <c r="A10" s="91" t="s">
        <v>6980</v>
      </c>
      <c r="D10" s="92" t="s">
        <v>1706</v>
      </c>
      <c r="E10" s="98" t="s">
        <v>6951</v>
      </c>
    </row>
    <row r="11" spans="1:6" s="91" customFormat="1" x14ac:dyDescent="0.2">
      <c r="A11" s="378" t="s">
        <v>6981</v>
      </c>
      <c r="D11" s="92" t="s">
        <v>1707</v>
      </c>
      <c r="E11" s="92" t="s">
        <v>1220</v>
      </c>
    </row>
    <row r="12" spans="1:6" s="91" customFormat="1" x14ac:dyDescent="0.2">
      <c r="D12" s="92" t="s">
        <v>1355</v>
      </c>
      <c r="E12" s="92" t="s">
        <v>6979</v>
      </c>
    </row>
    <row r="13" spans="1:6" s="91" customFormat="1" x14ac:dyDescent="0.2"/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6982</v>
      </c>
    </row>
    <row r="19" spans="1:6" s="91" customFormat="1" x14ac:dyDescent="0.2">
      <c r="C19" s="2" t="s">
        <v>6983</v>
      </c>
    </row>
    <row r="20" spans="1:6" s="91" customFormat="1" x14ac:dyDescent="0.2">
      <c r="A20" s="93"/>
      <c r="B20" s="93"/>
    </row>
    <row r="21" spans="1:6" s="91" customFormat="1" x14ac:dyDescent="0.2">
      <c r="A21" s="93" t="s">
        <v>6984</v>
      </c>
      <c r="B21" s="93" t="s">
        <v>6985</v>
      </c>
      <c r="C21" s="91" t="s">
        <v>6986</v>
      </c>
      <c r="F21" s="91">
        <v>2000</v>
      </c>
    </row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2000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mergeCells count="4">
    <mergeCell ref="A1:F1"/>
    <mergeCell ref="A2:F2"/>
    <mergeCell ref="A3:F3"/>
    <mergeCell ref="A4:F4"/>
  </mergeCells>
  <hyperlinks>
    <hyperlink ref="A11" r:id="rId1" xr:uid="{B1A68673-F89F-4976-A8A0-94940014FA5E}"/>
  </hyperlink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5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53B8-6F83-47CF-A9A7-94DE62530696}">
  <sheetPr codeName="Sheet717"/>
  <dimension ref="A1:F53"/>
  <sheetViews>
    <sheetView topLeftCell="A4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155" t="s">
        <v>7261</v>
      </c>
    </row>
    <row r="10" spans="1:6" x14ac:dyDescent="0.2">
      <c r="A10" s="91" t="s">
        <v>7263</v>
      </c>
      <c r="D10" s="92" t="s">
        <v>1329</v>
      </c>
      <c r="E10" s="155" t="s">
        <v>7260</v>
      </c>
    </row>
    <row r="11" spans="1:6" x14ac:dyDescent="0.2">
      <c r="A11" s="91" t="s">
        <v>7264</v>
      </c>
      <c r="D11" s="92" t="s">
        <v>1330</v>
      </c>
      <c r="E11" s="155" t="s">
        <v>1220</v>
      </c>
    </row>
    <row r="12" spans="1:6" x14ac:dyDescent="0.2">
      <c r="D12" s="92" t="s">
        <v>1331</v>
      </c>
      <c r="E12" s="91" t="s">
        <v>7262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4305</v>
      </c>
    </row>
    <row r="19" spans="1:6" x14ac:dyDescent="0.2">
      <c r="A19" s="106"/>
      <c r="C19" s="2"/>
    </row>
    <row r="20" spans="1:6" x14ac:dyDescent="0.2">
      <c r="A20" s="92" t="s">
        <v>4249</v>
      </c>
      <c r="B20" s="99"/>
      <c r="C20" s="2" t="s">
        <v>7266</v>
      </c>
    </row>
    <row r="21" spans="1:6" x14ac:dyDescent="0.2">
      <c r="A21" s="91" t="s">
        <v>7265</v>
      </c>
      <c r="B21" s="94"/>
    </row>
    <row r="22" spans="1:6" x14ac:dyDescent="0.2">
      <c r="B22" s="99"/>
      <c r="C22" s="91" t="s">
        <v>4732</v>
      </c>
      <c r="F22" s="91">
        <f>681+102.15</f>
        <v>783.15</v>
      </c>
    </row>
    <row r="23" spans="1:6" x14ac:dyDescent="0.2">
      <c r="C23" s="91" t="s">
        <v>127</v>
      </c>
      <c r="F23" s="91">
        <v>13</v>
      </c>
    </row>
    <row r="24" spans="1:6" x14ac:dyDescent="0.2">
      <c r="C24" s="91" t="s">
        <v>7267</v>
      </c>
      <c r="F24" s="91">
        <v>128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924.15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Nine Hundred Twenty-Four and 15/100 -----------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4D9E-A1FF-4592-A807-0000E583FBD2}">
  <sheetPr codeName="Sheet672"/>
  <dimension ref="A1:I56"/>
  <sheetViews>
    <sheetView workbookViewId="0">
      <selection activeCell="G9" sqref="G9:G13"/>
    </sheetView>
  </sheetViews>
  <sheetFormatPr defaultRowHeight="12.75" x14ac:dyDescent="0.2"/>
  <cols>
    <col min="1" max="1" width="16.140625" style="1" customWidth="1"/>
    <col min="2" max="2" width="11.5703125" style="1" customWidth="1"/>
    <col min="3" max="3" width="0.5703125" style="1" customWidth="1"/>
    <col min="4" max="4" width="23" style="1" customWidth="1"/>
    <col min="5" max="5" width="0.57031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155" t="s">
        <v>8175</v>
      </c>
      <c r="H9" s="91"/>
    </row>
    <row r="10" spans="1:8" x14ac:dyDescent="0.2">
      <c r="A10" s="91" t="s">
        <v>6623</v>
      </c>
      <c r="B10" s="91"/>
      <c r="C10" s="91"/>
      <c r="D10" s="91"/>
      <c r="E10" s="91"/>
      <c r="F10" s="92" t="s">
        <v>1357</v>
      </c>
      <c r="G10" s="155" t="s">
        <v>8118</v>
      </c>
      <c r="H10" s="91"/>
    </row>
    <row r="11" spans="1:8" x14ac:dyDescent="0.2">
      <c r="A11" s="91" t="s">
        <v>6624</v>
      </c>
      <c r="B11" s="91"/>
      <c r="C11" s="91"/>
      <c r="D11" s="91"/>
      <c r="E11" s="91"/>
      <c r="F11" s="92" t="s">
        <v>1330</v>
      </c>
      <c r="G11" s="155" t="s">
        <v>1220</v>
      </c>
      <c r="H11" s="91"/>
    </row>
    <row r="12" spans="1:8" x14ac:dyDescent="0.2">
      <c r="A12" s="91" t="s">
        <v>6625</v>
      </c>
      <c r="B12" s="91"/>
      <c r="C12" s="91"/>
      <c r="D12" s="91"/>
      <c r="E12" s="91"/>
      <c r="F12" s="92" t="s">
        <v>1377</v>
      </c>
      <c r="G12" s="91" t="s">
        <v>8176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78"/>
      <c r="D16" s="18" t="s">
        <v>19</v>
      </c>
      <c r="E16" s="18"/>
      <c r="F16" s="17"/>
      <c r="G16" s="16"/>
      <c r="H16" s="15" t="s">
        <v>18</v>
      </c>
    </row>
    <row r="17" spans="1:9" x14ac:dyDescent="0.2">
      <c r="A17" s="91"/>
      <c r="B17" s="91"/>
      <c r="C17" s="91"/>
      <c r="D17" s="91"/>
      <c r="E17" s="91"/>
      <c r="F17" s="91"/>
      <c r="G17" s="91"/>
      <c r="H17" s="91"/>
    </row>
    <row r="18" spans="1:9" x14ac:dyDescent="0.2">
      <c r="D18" s="2" t="s">
        <v>3803</v>
      </c>
      <c r="E18" s="2"/>
      <c r="F18" s="91"/>
      <c r="G18" s="91"/>
      <c r="H18" s="91"/>
    </row>
    <row r="19" spans="1:9" x14ac:dyDescent="0.2">
      <c r="I19" s="91"/>
    </row>
    <row r="20" spans="1:9" x14ac:dyDescent="0.2">
      <c r="A20" s="93" t="s">
        <v>8163</v>
      </c>
      <c r="B20" s="99"/>
      <c r="C20" s="479"/>
      <c r="D20" s="91" t="s">
        <v>8177</v>
      </c>
      <c r="E20" s="91"/>
      <c r="F20" s="91"/>
      <c r="G20" s="91"/>
      <c r="H20" s="91">
        <v>1500</v>
      </c>
      <c r="I20" s="91"/>
    </row>
    <row r="21" spans="1:9" x14ac:dyDescent="0.2">
      <c r="A21" s="93"/>
      <c r="B21" s="93"/>
      <c r="C21" s="93"/>
      <c r="D21" s="91" t="s">
        <v>8178</v>
      </c>
      <c r="E21" s="91"/>
      <c r="F21" s="91"/>
      <c r="G21" s="91"/>
      <c r="H21" s="91">
        <v>1500</v>
      </c>
      <c r="I21" s="91"/>
    </row>
    <row r="22" spans="1:9" x14ac:dyDescent="0.2">
      <c r="A22" s="93"/>
      <c r="B22" s="94"/>
      <c r="C22" s="94"/>
      <c r="D22" s="91" t="s">
        <v>8179</v>
      </c>
      <c r="E22" s="91"/>
      <c r="F22" s="91"/>
      <c r="G22" s="91"/>
      <c r="H22" s="91">
        <v>1500</v>
      </c>
      <c r="I22" s="91"/>
    </row>
    <row r="23" spans="1:9" x14ac:dyDescent="0.2">
      <c r="A23" s="93"/>
      <c r="B23" s="94"/>
      <c r="C23" s="94"/>
      <c r="D23" s="91" t="s">
        <v>8180</v>
      </c>
      <c r="E23" s="91"/>
      <c r="F23" s="91"/>
      <c r="G23" s="91"/>
      <c r="H23" s="91">
        <v>1500</v>
      </c>
      <c r="I23" s="91"/>
    </row>
    <row r="24" spans="1:9" x14ac:dyDescent="0.2">
      <c r="A24" s="93"/>
      <c r="B24" s="93"/>
      <c r="C24" s="93"/>
      <c r="D24" s="91"/>
      <c r="E24" s="91"/>
      <c r="F24" s="91"/>
      <c r="G24" s="91"/>
      <c r="H24" s="91"/>
      <c r="I24" s="91"/>
    </row>
    <row r="25" spans="1:9" x14ac:dyDescent="0.2">
      <c r="A25" s="93"/>
      <c r="B25" s="94"/>
      <c r="C25" s="94"/>
      <c r="D25" s="91"/>
      <c r="E25" s="91"/>
      <c r="F25" s="91"/>
      <c r="G25" s="91"/>
      <c r="H25" s="91"/>
      <c r="I25" s="91"/>
    </row>
    <row r="26" spans="1:9" x14ac:dyDescent="0.2">
      <c r="A26" s="93"/>
      <c r="B26" s="94"/>
      <c r="C26" s="94"/>
      <c r="F26" s="91"/>
      <c r="G26" s="91"/>
      <c r="H26" s="91"/>
      <c r="I26" s="91"/>
    </row>
    <row r="27" spans="1:9" x14ac:dyDescent="0.2">
      <c r="A27" s="93"/>
      <c r="B27" s="94"/>
      <c r="C27" s="94"/>
      <c r="D27" s="91"/>
      <c r="E27" s="91"/>
      <c r="F27" s="91"/>
      <c r="G27" s="91"/>
      <c r="H27" s="91"/>
      <c r="I27" s="91"/>
    </row>
    <row r="28" spans="1:9" x14ac:dyDescent="0.2">
      <c r="A28" s="93"/>
      <c r="B28" s="94"/>
      <c r="C28" s="94"/>
      <c r="D28" s="91"/>
      <c r="E28" s="91"/>
      <c r="F28" s="91"/>
      <c r="G28" s="91"/>
      <c r="H28" s="91"/>
      <c r="I28" s="91"/>
    </row>
    <row r="29" spans="1:9" x14ac:dyDescent="0.2">
      <c r="A29" s="93"/>
      <c r="B29" s="94"/>
      <c r="C29" s="94"/>
      <c r="I29" s="91"/>
    </row>
    <row r="30" spans="1:9" x14ac:dyDescent="0.2">
      <c r="A30" s="93"/>
      <c r="B30" s="94"/>
      <c r="C30" s="94"/>
      <c r="I30" s="91"/>
    </row>
    <row r="31" spans="1:9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9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ht="13.5" thickBot="1" x14ac:dyDescent="0.25">
      <c r="A34" s="91"/>
      <c r="B34" s="91"/>
      <c r="C34" s="91"/>
      <c r="D34" s="91"/>
      <c r="E34" s="91"/>
      <c r="F34" s="91"/>
      <c r="G34" s="91"/>
      <c r="H34" s="107">
        <f>SUM(H20:H33)</f>
        <v>6000</v>
      </c>
      <c r="I34" s="91"/>
    </row>
    <row r="35" spans="1:9" ht="13.5" thickTop="1" x14ac:dyDescent="0.2">
      <c r="A35" s="91"/>
      <c r="B35" s="91"/>
      <c r="C35" s="91"/>
      <c r="D35" s="91"/>
      <c r="E35" s="91"/>
      <c r="F35" s="91"/>
      <c r="G35" s="91"/>
      <c r="I35" s="91"/>
    </row>
    <row r="36" spans="1:9" x14ac:dyDescent="0.2">
      <c r="A36" s="91"/>
      <c r="B36" s="91"/>
      <c r="C36" s="91"/>
      <c r="D36" s="91"/>
      <c r="E36" s="91"/>
    </row>
    <row r="37" spans="1:9" ht="20.100000000000001" customHeight="1" x14ac:dyDescent="0.2">
      <c r="A37" s="96" t="s">
        <v>122</v>
      </c>
      <c r="B37" s="185" t="str">
        <f>IF(OR(H34&gt;1000000,H34&lt;=0),"",IF(H34&lt;1000,"",IF(MOD(H34,1000000)&gt;=100000,INDEX(numbers,TRUNC(MOD(H34,1000000)/100000,0)+1)&amp;" Hundred","")&amp;IF(MOD(H34,100000)&gt;=20000," "&amp;INDEX(teb,TRUNC(MOD(H34,100000)/10000,0)+1)&amp;IF(MOD(MOD(H34,100000),10000)&gt;=1000,"-"&amp;INDEX(numbers,TRUNC(MOD(MOD(H34,100000),10000)/1000,0)+1),""),IF(MOD(H34,100000)&gt;=1000,"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"&amp;INDEX(teb,TRUNC(MOD(H34,100)/10,0)+1)&amp;IF(MOD(MOD(H34,100),10)&gt;=1,"-"&amp;INDEX(numbers,TRUNC(MOD(MOD(H34,100),10),0)+1),""),IF(MOD(H34,100)&gt;=1,"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Thousand and NO/100 -----------</v>
      </c>
      <c r="C37" s="185"/>
      <c r="D37" s="97"/>
      <c r="E37" s="97"/>
      <c r="F37" s="97"/>
      <c r="G37" s="97"/>
      <c r="H37" s="97"/>
      <c r="I37" s="91"/>
    </row>
    <row r="38" spans="1:9" ht="20.100000000000001" customHeight="1" x14ac:dyDescent="0.2">
      <c r="A38" s="113"/>
      <c r="B38" s="103"/>
      <c r="C38" s="103"/>
      <c r="D38" s="61"/>
      <c r="E38" s="61"/>
      <c r="F38" s="388"/>
      <c r="G38" s="388"/>
      <c r="H38" s="388"/>
      <c r="I38" s="91"/>
    </row>
    <row r="39" spans="1:9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  <c r="I39" s="91"/>
    </row>
    <row r="40" spans="1:9" x14ac:dyDescent="0.2">
      <c r="A40" s="91"/>
      <c r="B40" s="91"/>
      <c r="C40" s="91"/>
      <c r="D40" s="91"/>
      <c r="E40" s="91"/>
      <c r="F40" s="228"/>
      <c r="G40" s="229"/>
      <c r="H40" s="229"/>
    </row>
    <row r="41" spans="1:9" x14ac:dyDescent="0.2">
      <c r="B41" s="91"/>
      <c r="C41" s="91"/>
      <c r="D41" s="99"/>
      <c r="E41" s="479"/>
      <c r="F41" s="91"/>
      <c r="G41" s="91"/>
      <c r="H41" s="91"/>
    </row>
    <row r="42" spans="1:9" x14ac:dyDescent="0.2">
      <c r="A42" s="91"/>
      <c r="B42" s="91"/>
      <c r="C42" s="91"/>
      <c r="D42" s="99"/>
      <c r="E42" s="479"/>
      <c r="F42" s="91"/>
      <c r="G42" s="91"/>
      <c r="H42" s="91"/>
    </row>
    <row r="43" spans="1:9" x14ac:dyDescent="0.2">
      <c r="A43" s="101"/>
      <c r="B43" s="101"/>
      <c r="C43" s="386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209" t="s">
        <v>4066</v>
      </c>
      <c r="B50" s="104"/>
      <c r="C50" s="104"/>
      <c r="D50" s="209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5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7190-6B8D-4A0D-9C10-534058B5780A}">
  <sheetPr codeName="Sheet678">
    <pageSetUpPr fitToPage="1"/>
  </sheetPr>
  <dimension ref="A1:N55"/>
  <sheetViews>
    <sheetView topLeftCell="A19"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.7109375" style="91" customWidth="1"/>
    <col min="4" max="4" width="21" style="91" customWidth="1"/>
    <col min="5" max="5" width="2" style="91" customWidth="1"/>
    <col min="6" max="6" width="16.42578125" style="91" customWidth="1"/>
    <col min="7" max="7" width="11.28515625" style="91" customWidth="1"/>
    <col min="8" max="8" width="13.28515625" style="91" customWidth="1"/>
    <col min="9" max="11" width="9.140625" style="91"/>
    <col min="12" max="12" width="9.7109375" style="91" bestFit="1" customWidth="1"/>
    <col min="13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1358</v>
      </c>
      <c r="G9" s="155" t="s">
        <v>6900</v>
      </c>
    </row>
    <row r="10" spans="1:13" x14ac:dyDescent="0.2">
      <c r="A10" s="91" t="s">
        <v>6834</v>
      </c>
      <c r="F10" s="92" t="s">
        <v>1357</v>
      </c>
      <c r="G10" s="155" t="s">
        <v>6898</v>
      </c>
    </row>
    <row r="11" spans="1:13" x14ac:dyDescent="0.2">
      <c r="A11" s="91" t="s">
        <v>6835</v>
      </c>
      <c r="F11" s="92" t="s">
        <v>1330</v>
      </c>
      <c r="G11" s="155" t="s">
        <v>1220</v>
      </c>
      <c r="K11" s="108"/>
      <c r="L11" s="108"/>
      <c r="M11" s="377"/>
    </row>
    <row r="12" spans="1:13" x14ac:dyDescent="0.2">
      <c r="A12" s="91" t="s">
        <v>6836</v>
      </c>
      <c r="F12" s="92" t="s">
        <v>1224</v>
      </c>
      <c r="G12" s="94" t="s">
        <v>6899</v>
      </c>
    </row>
    <row r="13" spans="1:13" x14ac:dyDescent="0.2">
      <c r="A13" s="91" t="s">
        <v>6837</v>
      </c>
    </row>
    <row r="16" spans="1:13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14" x14ac:dyDescent="0.2">
      <c r="D18" s="2" t="s">
        <v>6838</v>
      </c>
      <c r="E18" s="2"/>
    </row>
    <row r="20" spans="1:14" x14ac:dyDescent="0.2">
      <c r="A20" s="93" t="s">
        <v>6839</v>
      </c>
      <c r="B20" s="93" t="s">
        <v>6840</v>
      </c>
      <c r="C20" s="93"/>
      <c r="D20" s="91" t="s">
        <v>6841</v>
      </c>
      <c r="H20" s="91">
        <f>125*80</f>
        <v>10000</v>
      </c>
    </row>
    <row r="21" spans="1:14" x14ac:dyDescent="0.2">
      <c r="D21" s="91" t="s">
        <v>6842</v>
      </c>
      <c r="H21" s="91">
        <f>50*80</f>
        <v>4000</v>
      </c>
    </row>
    <row r="22" spans="1:14" x14ac:dyDescent="0.2">
      <c r="A22" s="93"/>
      <c r="B22" s="93"/>
      <c r="C22" s="93"/>
    </row>
    <row r="23" spans="1:14" x14ac:dyDescent="0.2">
      <c r="A23" s="93"/>
      <c r="B23" s="93"/>
      <c r="C23" s="93"/>
      <c r="D23" s="2"/>
      <c r="E23" s="2"/>
    </row>
    <row r="24" spans="1:14" x14ac:dyDescent="0.2">
      <c r="A24" s="93"/>
      <c r="B24" s="93"/>
      <c r="C24" s="93"/>
      <c r="D24" s="143" t="s">
        <v>6901</v>
      </c>
    </row>
    <row r="25" spans="1:14" x14ac:dyDescent="0.2">
      <c r="A25" s="93"/>
      <c r="B25" s="93"/>
      <c r="C25" s="93"/>
      <c r="N25" s="91">
        <v>1404</v>
      </c>
    </row>
    <row r="26" spans="1:14" x14ac:dyDescent="0.2">
      <c r="A26" s="93"/>
      <c r="B26" s="93"/>
      <c r="C26" s="93"/>
      <c r="N26" s="91">
        <v>210.6</v>
      </c>
    </row>
    <row r="27" spans="1:14" x14ac:dyDescent="0.2">
      <c r="A27" s="93"/>
      <c r="B27" s="99"/>
      <c r="C27" s="99"/>
    </row>
    <row r="28" spans="1:14" x14ac:dyDescent="0.2">
      <c r="A28" s="93"/>
      <c r="B28" s="93"/>
      <c r="C28" s="93"/>
      <c r="D28" s="2"/>
      <c r="E28" s="2"/>
      <c r="N28" s="91">
        <v>166.6</v>
      </c>
    </row>
    <row r="29" spans="1:14" x14ac:dyDescent="0.2">
      <c r="N29" s="91">
        <v>78.760000000000005</v>
      </c>
    </row>
    <row r="30" spans="1:14" x14ac:dyDescent="0.2">
      <c r="A30" s="93"/>
      <c r="B30" s="93"/>
      <c r="C30" s="93"/>
      <c r="N30" s="91">
        <f>SUM(N25:N29)</f>
        <v>1859.9599999999998</v>
      </c>
    </row>
    <row r="31" spans="1:14" x14ac:dyDescent="0.2">
      <c r="A31" s="93"/>
      <c r="B31" s="99"/>
      <c r="C31" s="99"/>
    </row>
    <row r="32" spans="1:14" x14ac:dyDescent="0.2">
      <c r="D32" s="2"/>
      <c r="E32" s="2"/>
    </row>
    <row r="34" spans="1:8" x14ac:dyDescent="0.2">
      <c r="A34" s="93"/>
      <c r="B34" s="99"/>
      <c r="C34" s="99"/>
    </row>
    <row r="36" spans="1:8" ht="13.5" thickBot="1" x14ac:dyDescent="0.25">
      <c r="H36" s="95">
        <f>SUM(H18:H35)</f>
        <v>14000</v>
      </c>
    </row>
    <row r="37" spans="1:8" ht="13.5" thickTop="1" x14ac:dyDescent="0.2"/>
    <row r="38" spans="1:8" ht="20.100000000000001" customHeight="1" x14ac:dyDescent="0.2">
      <c r="A38" s="96" t="s">
        <v>1075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Fourteen Thousand and NO/100 -----------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235" t="s">
        <v>3973</v>
      </c>
      <c r="F40" s="218" t="s">
        <v>3975</v>
      </c>
      <c r="G40" s="219"/>
      <c r="H40" s="220"/>
    </row>
    <row r="41" spans="1:8" x14ac:dyDescent="0.2">
      <c r="A41" s="98"/>
      <c r="F41" s="228"/>
      <c r="G41" s="229"/>
      <c r="H41" s="229"/>
    </row>
    <row r="42" spans="1:8" x14ac:dyDescent="0.2">
      <c r="D42" s="99"/>
      <c r="E42" s="99"/>
    </row>
    <row r="43" spans="1:8" x14ac:dyDescent="0.2">
      <c r="A43" s="98"/>
      <c r="D43" s="99"/>
      <c r="E43" s="99"/>
    </row>
    <row r="44" spans="1:8" x14ac:dyDescent="0.2">
      <c r="A44" s="100"/>
      <c r="B44" s="101"/>
    </row>
    <row r="45" spans="1:8" x14ac:dyDescent="0.2">
      <c r="A45" s="98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D50" s="100"/>
      <c r="F50" s="101"/>
      <c r="G50" s="101"/>
      <c r="H50" s="101"/>
    </row>
    <row r="51" spans="1:8" s="61" customFormat="1" ht="17.100000000000001" customHeight="1" x14ac:dyDescent="0.2">
      <c r="A51" s="98" t="s">
        <v>4047</v>
      </c>
      <c r="B51" s="104"/>
      <c r="C51" s="104"/>
      <c r="D51" s="98" t="s">
        <v>50</v>
      </c>
      <c r="F51" s="61" t="s">
        <v>3</v>
      </c>
    </row>
    <row r="52" spans="1:8" x14ac:dyDescent="0.2">
      <c r="A52" s="98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CFC0-405F-4D31-BEB7-51FC5905B726}">
  <sheetPr codeName="Sheet662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6783</v>
      </c>
      <c r="G9" s="61"/>
    </row>
    <row r="10" spans="1:7" x14ac:dyDescent="0.2">
      <c r="A10" s="91" t="s">
        <v>6551</v>
      </c>
      <c r="D10" s="92" t="s">
        <v>1335</v>
      </c>
      <c r="E10" s="98" t="s">
        <v>6761</v>
      </c>
      <c r="G10" s="113"/>
    </row>
    <row r="11" spans="1:7" x14ac:dyDescent="0.2">
      <c r="A11" s="91" t="s">
        <v>6552</v>
      </c>
      <c r="D11" s="92" t="s">
        <v>1333</v>
      </c>
      <c r="E11" s="92" t="s">
        <v>1220</v>
      </c>
      <c r="G11" s="113"/>
    </row>
    <row r="12" spans="1:7" x14ac:dyDescent="0.2">
      <c r="A12" s="91" t="s">
        <v>6553</v>
      </c>
      <c r="D12" s="92" t="s">
        <v>1331</v>
      </c>
      <c r="E12" s="92" t="s">
        <v>6784</v>
      </c>
      <c r="G12" s="113"/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6785</v>
      </c>
    </row>
    <row r="19" spans="1:6" x14ac:dyDescent="0.2">
      <c r="A19" s="93"/>
      <c r="B19" s="111"/>
      <c r="C19" s="2"/>
    </row>
    <row r="20" spans="1:6" x14ac:dyDescent="0.2">
      <c r="A20" s="93" t="s">
        <v>6756</v>
      </c>
      <c r="B20" s="93" t="s">
        <v>6786</v>
      </c>
      <c r="C20" s="91" t="s">
        <v>6787</v>
      </c>
      <c r="F20" s="91">
        <v>4750</v>
      </c>
    </row>
    <row r="21" spans="1:6" x14ac:dyDescent="0.2">
      <c r="A21" s="93"/>
      <c r="B21" s="111"/>
    </row>
    <row r="22" spans="1:6" x14ac:dyDescent="0.2">
      <c r="A22" s="93"/>
      <c r="B22" s="111"/>
    </row>
    <row r="24" spans="1:6" x14ac:dyDescent="0.2">
      <c r="C24" s="2"/>
    </row>
    <row r="26" spans="1:6" x14ac:dyDescent="0.2">
      <c r="A26" s="93"/>
      <c r="B26" s="109"/>
      <c r="F26" s="151"/>
    </row>
    <row r="27" spans="1:6" x14ac:dyDescent="0.2">
      <c r="A27" s="93"/>
      <c r="B27" s="99"/>
    </row>
    <row r="28" spans="1:6" x14ac:dyDescent="0.2">
      <c r="A28" s="111"/>
      <c r="B28" s="93"/>
    </row>
    <row r="29" spans="1:6" x14ac:dyDescent="0.2">
      <c r="A29" s="111"/>
      <c r="B29" s="99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09"/>
      <c r="B32" s="99"/>
    </row>
    <row r="34" spans="1:6" x14ac:dyDescent="0.2">
      <c r="F34" s="23"/>
    </row>
    <row r="35" spans="1:6" ht="13.5" thickBot="1" x14ac:dyDescent="0.25">
      <c r="F35" s="95">
        <f>SUM(F18:F33)</f>
        <v>4750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Seven Hundred Fifty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4047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5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1-000000000000}">
  <sheetPr codeName="Sheet594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2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7815</v>
      </c>
    </row>
    <row r="10" spans="1:8" x14ac:dyDescent="0.2">
      <c r="A10" s="91" t="s">
        <v>5873</v>
      </c>
      <c r="F10" s="92" t="s">
        <v>1329</v>
      </c>
      <c r="G10" s="92" t="s">
        <v>7817</v>
      </c>
    </row>
    <row r="11" spans="1:8" x14ac:dyDescent="0.2">
      <c r="A11" s="91" t="s">
        <v>5874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7816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7818</v>
      </c>
      <c r="H18" s="91">
        <v>250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250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Fifty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A2FA-96EB-4BDE-A624-99D09DC77009}">
  <sheetPr codeName="Sheet663"/>
  <dimension ref="A1:H55"/>
  <sheetViews>
    <sheetView zoomScaleNormal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2.42578125" style="91" customWidth="1"/>
    <col min="3" max="3" width="1.42578125" style="91" customWidth="1"/>
    <col min="4" max="4" width="21" style="91" customWidth="1"/>
    <col min="5" max="5" width="1.42578125" style="91" customWidth="1"/>
    <col min="6" max="6" width="14.28515625" style="91" customWidth="1"/>
    <col min="7" max="7" width="9.710937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6536</v>
      </c>
      <c r="F9" s="92" t="s">
        <v>1317</v>
      </c>
      <c r="G9" s="91" t="s">
        <v>7624</v>
      </c>
    </row>
    <row r="10" spans="1:8" x14ac:dyDescent="0.2">
      <c r="A10" s="91" t="s">
        <v>6537</v>
      </c>
      <c r="F10" s="92" t="s">
        <v>1329</v>
      </c>
      <c r="G10" s="92" t="s">
        <v>7615</v>
      </c>
    </row>
    <row r="11" spans="1:8" x14ac:dyDescent="0.2">
      <c r="F11" s="92" t="s">
        <v>1330</v>
      </c>
      <c r="G11" s="92" t="s">
        <v>1220</v>
      </c>
    </row>
    <row r="12" spans="1:8" x14ac:dyDescent="0.2">
      <c r="A12" s="94"/>
      <c r="F12" s="92" t="s">
        <v>1331</v>
      </c>
      <c r="G12" s="92" t="s">
        <v>7625</v>
      </c>
    </row>
    <row r="13" spans="1:8" x14ac:dyDescent="0.2">
      <c r="G13" s="91" t="s">
        <v>6823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A18" s="93"/>
      <c r="B18" s="93"/>
      <c r="C18" s="93"/>
      <c r="D18" s="2" t="s">
        <v>7626</v>
      </c>
      <c r="E18" s="2"/>
    </row>
    <row r="20" spans="1:8" x14ac:dyDescent="0.2">
      <c r="A20" s="93" t="s">
        <v>7628</v>
      </c>
      <c r="B20" s="93"/>
      <c r="C20" s="93"/>
      <c r="D20" s="91" t="s">
        <v>7627</v>
      </c>
      <c r="H20" s="91">
        <v>2000</v>
      </c>
    </row>
    <row r="21" spans="1:8" x14ac:dyDescent="0.2">
      <c r="A21" s="93"/>
      <c r="B21" s="93"/>
      <c r="C21" s="93"/>
      <c r="D21" s="91" t="s">
        <v>1987</v>
      </c>
      <c r="H21" s="91">
        <v>300</v>
      </c>
    </row>
    <row r="22" spans="1:8" x14ac:dyDescent="0.2">
      <c r="A22" s="93"/>
      <c r="B22" s="93"/>
      <c r="C22" s="93"/>
    </row>
    <row r="23" spans="1:8" x14ac:dyDescent="0.2">
      <c r="A23" s="93"/>
      <c r="B23" s="93"/>
      <c r="C23" s="93"/>
    </row>
    <row r="24" spans="1:8" x14ac:dyDescent="0.2">
      <c r="A24" s="93"/>
      <c r="B24" s="93"/>
      <c r="C24" s="93"/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</row>
    <row r="27" spans="1:8" x14ac:dyDescent="0.2">
      <c r="A27" s="93"/>
      <c r="B27" s="93"/>
      <c r="C27" s="93"/>
    </row>
    <row r="28" spans="1:8" x14ac:dyDescent="0.2">
      <c r="B28" s="99"/>
      <c r="C28" s="99"/>
    </row>
    <row r="33" spans="1:8" x14ac:dyDescent="0.2">
      <c r="A33" s="1"/>
      <c r="B33" s="1"/>
      <c r="C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06"/>
      <c r="H35" s="1"/>
    </row>
    <row r="36" spans="1:8" ht="13.5" thickBot="1" x14ac:dyDescent="0.25">
      <c r="A36" s="106"/>
      <c r="H36" s="107">
        <f>SUM(H18:H34)</f>
        <v>2300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Thousand Three Hundred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2" spans="1:8" x14ac:dyDescent="0.2">
      <c r="F42" s="227"/>
      <c r="G42" s="227"/>
      <c r="H42" s="227"/>
    </row>
    <row r="43" spans="1:8" x14ac:dyDescent="0.2">
      <c r="A43" s="91" t="s">
        <v>120</v>
      </c>
      <c r="E43" s="99"/>
      <c r="F43" s="228"/>
      <c r="G43" s="229"/>
      <c r="H43" s="229"/>
    </row>
    <row r="44" spans="1:8" x14ac:dyDescent="0.2">
      <c r="A44" s="23"/>
      <c r="B44" s="101"/>
    </row>
    <row r="45" spans="1:8" x14ac:dyDescent="0.2">
      <c r="A45" s="1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209" t="s">
        <v>4047</v>
      </c>
      <c r="B51" s="104"/>
      <c r="C51" s="104"/>
      <c r="D51" s="209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1-000000000000}">
  <sheetPr codeName="Sheet625">
    <pageSetUpPr fitToPage="1"/>
  </sheetPr>
  <dimension ref="A1:F55"/>
  <sheetViews>
    <sheetView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6668</v>
      </c>
    </row>
    <row r="10" spans="1:6" x14ac:dyDescent="0.2">
      <c r="A10" s="91" t="s">
        <v>6109</v>
      </c>
      <c r="D10" s="92" t="s">
        <v>1357</v>
      </c>
      <c r="E10" s="98" t="s">
        <v>6661</v>
      </c>
    </row>
    <row r="11" spans="1:6" x14ac:dyDescent="0.2">
      <c r="A11" s="91" t="s">
        <v>6110</v>
      </c>
      <c r="D11" s="92" t="s">
        <v>1330</v>
      </c>
      <c r="E11" s="92" t="s">
        <v>1220</v>
      </c>
    </row>
    <row r="12" spans="1:6" x14ac:dyDescent="0.2">
      <c r="A12" s="91" t="s">
        <v>6111</v>
      </c>
      <c r="D12" s="92" t="s">
        <v>1224</v>
      </c>
      <c r="E12" s="92" t="s">
        <v>6669</v>
      </c>
    </row>
    <row r="13" spans="1:6" x14ac:dyDescent="0.2">
      <c r="A13" s="91" t="s">
        <v>6112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5338</v>
      </c>
    </row>
    <row r="20" spans="1:6" x14ac:dyDescent="0.2">
      <c r="A20" s="93" t="s">
        <v>6670</v>
      </c>
      <c r="B20" s="93" t="s">
        <v>6626</v>
      </c>
      <c r="C20" s="91" t="s">
        <v>6671</v>
      </c>
      <c r="F20" s="91">
        <v>90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  <c r="B26" s="93"/>
    </row>
    <row r="28" spans="1:6" x14ac:dyDescent="0.2">
      <c r="A28" s="93"/>
      <c r="B28" s="93"/>
    </row>
    <row r="29" spans="1:6" x14ac:dyDescent="0.2">
      <c r="A29" s="93"/>
      <c r="B29" s="99"/>
    </row>
    <row r="30" spans="1:6" x14ac:dyDescent="0.2">
      <c r="A30" s="93"/>
      <c r="B30" s="93"/>
    </row>
    <row r="31" spans="1:6" x14ac:dyDescent="0.2">
      <c r="A31" s="93"/>
      <c r="B31" s="99"/>
    </row>
    <row r="32" spans="1:6" x14ac:dyDescent="0.2">
      <c r="C32" s="2"/>
    </row>
    <row r="34" spans="1:6" x14ac:dyDescent="0.2">
      <c r="A34" s="93"/>
      <c r="B34" s="99"/>
    </row>
    <row r="36" spans="1:6" ht="13.5" thickBot="1" x14ac:dyDescent="0.25">
      <c r="F36" s="95">
        <f>SUM(F18:F35)</f>
        <v>90</v>
      </c>
    </row>
    <row r="37" spans="1:6" ht="13.5" thickTop="1" x14ac:dyDescent="0.2"/>
    <row r="38" spans="1:6" ht="20.100000000000001" customHeight="1" x14ac:dyDescent="0.2">
      <c r="A38" s="96" t="s">
        <v>1075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Ninety and NO/100 -----------</v>
      </c>
      <c r="C38" s="97"/>
      <c r="D38" s="222"/>
      <c r="E38" s="222"/>
      <c r="F38" s="222"/>
    </row>
    <row r="39" spans="1:6" ht="20.100000000000001" customHeight="1" x14ac:dyDescent="0.2">
      <c r="A39" s="113"/>
      <c r="B39" s="103"/>
      <c r="C39" s="61"/>
      <c r="D39" s="222"/>
      <c r="E39" s="222"/>
      <c r="F39" s="222"/>
    </row>
    <row r="40" spans="1:6" ht="25.5" x14ac:dyDescent="0.2">
      <c r="A40" s="235" t="s">
        <v>3973</v>
      </c>
      <c r="D40" s="218" t="s">
        <v>3975</v>
      </c>
      <c r="E40" s="219"/>
      <c r="F40" s="220"/>
    </row>
    <row r="41" spans="1:6" x14ac:dyDescent="0.2">
      <c r="A41" s="98"/>
      <c r="D41" s="228"/>
      <c r="E41" s="229"/>
      <c r="F41" s="229"/>
    </row>
    <row r="42" spans="1:6" x14ac:dyDescent="0.2">
      <c r="C42" s="99"/>
    </row>
    <row r="43" spans="1:6" x14ac:dyDescent="0.2">
      <c r="A43" s="98"/>
      <c r="C43" s="99"/>
    </row>
    <row r="44" spans="1:6" x14ac:dyDescent="0.2">
      <c r="A44" s="100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/>
    </row>
    <row r="48" spans="1:6" x14ac:dyDescent="0.2">
      <c r="A48" s="98"/>
    </row>
    <row r="49" spans="1:6" x14ac:dyDescent="0.2">
      <c r="A49" s="98"/>
    </row>
    <row r="50" spans="1:6" x14ac:dyDescent="0.2">
      <c r="A50" s="100"/>
      <c r="B50" s="101"/>
      <c r="D50" s="101"/>
      <c r="E50" s="101"/>
      <c r="F50" s="101"/>
    </row>
    <row r="51" spans="1:6" s="61" customFormat="1" ht="17.100000000000001" customHeight="1" x14ac:dyDescent="0.2">
      <c r="A51" s="98" t="s">
        <v>4047</v>
      </c>
      <c r="B51" s="104"/>
      <c r="D51" s="61" t="s">
        <v>3</v>
      </c>
    </row>
    <row r="52" spans="1:6" x14ac:dyDescent="0.2">
      <c r="A52" s="98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1-000000000000}">
  <sheetPr codeName="Sheet595">
    <pageSetUpPr fitToPage="1"/>
  </sheetPr>
  <dimension ref="A1:H54"/>
  <sheetViews>
    <sheetView workbookViewId="0">
      <selection activeCell="G9" sqref="G9:H1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7821</v>
      </c>
    </row>
    <row r="10" spans="1:8" x14ac:dyDescent="0.2">
      <c r="A10" s="91" t="s">
        <v>5877</v>
      </c>
      <c r="F10" s="92" t="s">
        <v>1329</v>
      </c>
      <c r="G10" s="92" t="s">
        <v>7817</v>
      </c>
    </row>
    <row r="11" spans="1:8" x14ac:dyDescent="0.2">
      <c r="A11" s="91" t="s">
        <v>5878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7822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200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200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24F4-E020-4193-B6E8-E6D00E1108F6}">
  <sheetPr codeName="Sheet752">
    <pageSetUpPr fitToPage="1"/>
  </sheetPr>
  <dimension ref="A1:H54"/>
  <sheetViews>
    <sheetView workbookViewId="0">
      <selection activeCell="G9" sqref="G9:G14"/>
    </sheetView>
  </sheetViews>
  <sheetFormatPr defaultRowHeight="12.75" x14ac:dyDescent="0.2"/>
  <cols>
    <col min="1" max="1" width="16" style="91" customWidth="1"/>
    <col min="2" max="2" width="12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7819</v>
      </c>
    </row>
    <row r="10" spans="1:8" x14ac:dyDescent="0.2">
      <c r="A10" s="91" t="s">
        <v>7829</v>
      </c>
      <c r="F10" s="92" t="s">
        <v>1329</v>
      </c>
      <c r="G10" s="92" t="s">
        <v>7817</v>
      </c>
    </row>
    <row r="11" spans="1:8" x14ac:dyDescent="0.2">
      <c r="A11" s="91" t="s">
        <v>7828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7820</v>
      </c>
    </row>
    <row r="16" spans="1:8" s="14" customFormat="1" ht="20.100000000000001" customHeight="1" x14ac:dyDescent="0.2">
      <c r="A16" s="17" t="s">
        <v>1247</v>
      </c>
      <c r="B16" s="450" t="s">
        <v>128</v>
      </c>
      <c r="C16" s="450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7818</v>
      </c>
      <c r="H18" s="91">
        <v>500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500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451"/>
      <c r="E41" s="451"/>
    </row>
    <row r="42" spans="1:8" x14ac:dyDescent="0.2">
      <c r="A42" s="91" t="s">
        <v>120</v>
      </c>
      <c r="D42" s="451"/>
      <c r="E42" s="451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64"/>
  <dimension ref="A1:L55"/>
  <sheetViews>
    <sheetView topLeftCell="A28"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5.855468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</row>
    <row r="2" spans="1:12" x14ac:dyDescent="0.2">
      <c r="A2" s="522" t="s">
        <v>33</v>
      </c>
      <c r="B2" s="522"/>
      <c r="C2" s="522"/>
      <c r="D2" s="522"/>
      <c r="E2" s="522"/>
      <c r="F2" s="522"/>
    </row>
    <row r="3" spans="1:12" x14ac:dyDescent="0.2">
      <c r="A3" s="522" t="s">
        <v>1829</v>
      </c>
      <c r="B3" s="522"/>
      <c r="C3" s="522"/>
      <c r="D3" s="522"/>
      <c r="E3" s="522"/>
      <c r="F3" s="522"/>
    </row>
    <row r="4" spans="1:12" x14ac:dyDescent="0.2">
      <c r="A4" s="522" t="s">
        <v>1828</v>
      </c>
      <c r="B4" s="522"/>
      <c r="C4" s="522"/>
      <c r="D4" s="522"/>
      <c r="E4" s="522"/>
      <c r="F4" s="522"/>
    </row>
    <row r="8" spans="1:12" x14ac:dyDescent="0.2">
      <c r="A8" s="91" t="s">
        <v>32</v>
      </c>
      <c r="D8" s="22" t="s">
        <v>31</v>
      </c>
    </row>
    <row r="9" spans="1:12" x14ac:dyDescent="0.2">
      <c r="D9" s="92" t="s">
        <v>1317</v>
      </c>
      <c r="E9" s="91" t="s">
        <v>3827</v>
      </c>
    </row>
    <row r="10" spans="1:12" x14ac:dyDescent="0.2">
      <c r="A10" s="91" t="s">
        <v>3828</v>
      </c>
      <c r="D10" s="92" t="s">
        <v>1329</v>
      </c>
      <c r="E10" s="92" t="s">
        <v>3806</v>
      </c>
    </row>
    <row r="11" spans="1:12" x14ac:dyDescent="0.2">
      <c r="A11" s="91" t="s">
        <v>3829</v>
      </c>
      <c r="D11" s="92" t="s">
        <v>1330</v>
      </c>
      <c r="E11" s="92" t="s">
        <v>1220</v>
      </c>
    </row>
    <row r="12" spans="1:12" x14ac:dyDescent="0.2">
      <c r="A12" s="91" t="s">
        <v>3830</v>
      </c>
      <c r="D12" s="92" t="s">
        <v>1331</v>
      </c>
      <c r="E12" s="92" t="s">
        <v>770</v>
      </c>
    </row>
    <row r="13" spans="1:12" x14ac:dyDescent="0.2">
      <c r="A13" s="91" t="s">
        <v>3831</v>
      </c>
    </row>
    <row r="15" spans="1:12" x14ac:dyDescent="0.2">
      <c r="L15" s="80" t="s">
        <v>658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3835</v>
      </c>
    </row>
    <row r="19" spans="1:6" x14ac:dyDescent="0.2">
      <c r="A19" s="106"/>
      <c r="C19" s="2"/>
    </row>
    <row r="20" spans="1:6" x14ac:dyDescent="0.2">
      <c r="A20" s="93" t="s">
        <v>3832</v>
      </c>
      <c r="B20" s="93" t="s">
        <v>3833</v>
      </c>
      <c r="C20" s="91" t="s">
        <v>3834</v>
      </c>
      <c r="F20" s="91">
        <f>6000/2.350728</f>
        <v>2552.4007881813632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3836</v>
      </c>
      <c r="F22" s="91">
        <f>500/2.350728</f>
        <v>212.70006568178027</v>
      </c>
    </row>
    <row r="24" spans="1:6" x14ac:dyDescent="0.2">
      <c r="C24" s="91" t="s">
        <v>3837</v>
      </c>
      <c r="F24" s="91">
        <f>800/2.350728</f>
        <v>340.32010509084841</v>
      </c>
    </row>
    <row r="25" spans="1:6" x14ac:dyDescent="0.2">
      <c r="A25" s="137"/>
      <c r="B25" s="99"/>
    </row>
    <row r="26" spans="1:6" x14ac:dyDescent="0.2">
      <c r="C26" s="91" t="s">
        <v>3838</v>
      </c>
      <c r="F26" s="91">
        <f>3000/2.350728</f>
        <v>1276.2003940906816</v>
      </c>
    </row>
    <row r="27" spans="1:6" x14ac:dyDescent="0.2">
      <c r="C27" s="2"/>
    </row>
    <row r="28" spans="1:6" x14ac:dyDescent="0.2">
      <c r="C28" s="91" t="s">
        <v>52</v>
      </c>
      <c r="F28" s="91">
        <v>30</v>
      </c>
    </row>
    <row r="29" spans="1:6" x14ac:dyDescent="0.2">
      <c r="A29" s="93"/>
      <c r="B29" s="99"/>
    </row>
    <row r="30" spans="1:6" x14ac:dyDescent="0.2">
      <c r="A30" s="93"/>
      <c r="B30" s="99"/>
      <c r="C30" s="212" t="s">
        <v>3839</v>
      </c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137"/>
      <c r="B33" s="94"/>
    </row>
    <row r="34" spans="1:6" x14ac:dyDescent="0.2">
      <c r="A34" s="137"/>
      <c r="B34" s="94"/>
    </row>
    <row r="35" spans="1:6" x14ac:dyDescent="0.2">
      <c r="A35" s="7"/>
      <c r="B35" s="1"/>
      <c r="C35" s="1"/>
      <c r="D35" s="1"/>
      <c r="E35" s="1"/>
      <c r="F35" s="1"/>
    </row>
    <row r="36" spans="1:6" ht="25.5" x14ac:dyDescent="0.2">
      <c r="A36" s="106"/>
      <c r="D36" s="218" t="s">
        <v>3975</v>
      </c>
      <c r="E36" s="219"/>
      <c r="F36" s="220"/>
    </row>
    <row r="37" spans="1:6" x14ac:dyDescent="0.2">
      <c r="A37" s="106"/>
    </row>
    <row r="38" spans="1:6" x14ac:dyDescent="0.2">
      <c r="A38" s="106"/>
    </row>
    <row r="39" spans="1:6" x14ac:dyDescent="0.2">
      <c r="A39" s="96" t="s">
        <v>1248</v>
      </c>
      <c r="B39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/>
      </c>
      <c r="C39" s="97"/>
      <c r="D39" s="227"/>
      <c r="E39" s="227"/>
      <c r="F39" s="227"/>
    </row>
    <row r="40" spans="1:6" x14ac:dyDescent="0.2">
      <c r="A40" s="91" t="s">
        <v>10</v>
      </c>
      <c r="D40" s="228"/>
      <c r="E40" s="229"/>
      <c r="F40" s="229"/>
    </row>
    <row r="41" spans="1:6" x14ac:dyDescent="0.2">
      <c r="A41" s="1"/>
    </row>
    <row r="43" spans="1:6" x14ac:dyDescent="0.2">
      <c r="A43" s="91" t="s">
        <v>120</v>
      </c>
      <c r="C43" s="99"/>
    </row>
    <row r="44" spans="1:6" x14ac:dyDescent="0.2">
      <c r="A44" s="101"/>
      <c r="B44" s="101"/>
    </row>
    <row r="46" spans="1:6" x14ac:dyDescent="0.2">
      <c r="A46" s="91" t="s">
        <v>8</v>
      </c>
      <c r="D46" s="98" t="s">
        <v>7</v>
      </c>
      <c r="F46" s="102"/>
    </row>
    <row r="47" spans="1:6" x14ac:dyDescent="0.2">
      <c r="A47" s="91" t="s">
        <v>3972</v>
      </c>
    </row>
    <row r="49" spans="1:6" x14ac:dyDescent="0.2">
      <c r="A49" s="91" t="s">
        <v>4066</v>
      </c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61" t="s">
        <v>35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5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1389-047C-4167-9A9E-BD4D0DAFE2D9}">
  <sheetPr codeName="Sheet704"/>
  <dimension ref="A1:L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" style="153" customWidth="1"/>
    <col min="2" max="2" width="13.42578125" style="153" customWidth="1"/>
    <col min="3" max="3" width="21" style="153" customWidth="1"/>
    <col min="4" max="4" width="16.42578125" style="153" customWidth="1"/>
    <col min="5" max="5" width="8.7109375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91" t="s">
        <v>7089</v>
      </c>
    </row>
    <row r="10" spans="1:6" x14ac:dyDescent="0.2">
      <c r="A10" s="153" t="s">
        <v>7091</v>
      </c>
      <c r="D10" s="155" t="s">
        <v>1329</v>
      </c>
      <c r="E10" s="92" t="s">
        <v>6412</v>
      </c>
    </row>
    <row r="11" spans="1:6" x14ac:dyDescent="0.2">
      <c r="A11" s="153" t="s">
        <v>7092</v>
      </c>
      <c r="D11" s="155" t="s">
        <v>1330</v>
      </c>
      <c r="E11" s="92" t="s">
        <v>1220</v>
      </c>
    </row>
    <row r="12" spans="1:6" x14ac:dyDescent="0.2">
      <c r="D12" s="155" t="s">
        <v>1331</v>
      </c>
      <c r="E12" s="92" t="s">
        <v>7090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12" x14ac:dyDescent="0.2">
      <c r="A17" s="164"/>
    </row>
    <row r="18" spans="1:12" x14ac:dyDescent="0.2">
      <c r="C18" s="169" t="s">
        <v>7088</v>
      </c>
      <c r="F18" s="153">
        <v>400</v>
      </c>
      <c r="I18" s="153" t="s">
        <v>4305</v>
      </c>
      <c r="J18" s="153"/>
      <c r="K18" s="153"/>
      <c r="L18" s="153"/>
    </row>
    <row r="19" spans="1:12" x14ac:dyDescent="0.2">
      <c r="C19" s="163"/>
      <c r="I19" s="153"/>
      <c r="J19" s="153"/>
      <c r="K19" s="153"/>
      <c r="L19" s="153"/>
    </row>
    <row r="20" spans="1:12" x14ac:dyDescent="0.2">
      <c r="A20" s="155"/>
      <c r="B20" s="168"/>
      <c r="I20" s="153" t="s">
        <v>5559</v>
      </c>
      <c r="J20" s="153"/>
      <c r="K20" s="153"/>
      <c r="L20" s="153"/>
    </row>
    <row r="21" spans="1:12" x14ac:dyDescent="0.2">
      <c r="A21" s="175"/>
      <c r="I21" s="153" t="s">
        <v>5555</v>
      </c>
      <c r="J21" s="153"/>
      <c r="K21" s="153"/>
      <c r="L21" s="153"/>
    </row>
    <row r="22" spans="1:12" x14ac:dyDescent="0.2">
      <c r="A22" s="168"/>
      <c r="B22" s="168"/>
      <c r="I22" s="153" t="s">
        <v>5556</v>
      </c>
      <c r="J22" s="153"/>
      <c r="K22" s="153"/>
      <c r="L22" s="153"/>
    </row>
    <row r="23" spans="1:12" x14ac:dyDescent="0.2">
      <c r="A23" s="164"/>
      <c r="C23" s="163"/>
      <c r="I23" s="153" t="s">
        <v>5557</v>
      </c>
      <c r="J23" s="153"/>
      <c r="K23" s="153"/>
      <c r="L23" s="153"/>
    </row>
    <row r="24" spans="1:12" x14ac:dyDescent="0.2">
      <c r="C24" s="163"/>
      <c r="I24" s="153" t="s">
        <v>5558</v>
      </c>
      <c r="J24" s="153"/>
      <c r="K24" s="153"/>
      <c r="L24" s="153"/>
    </row>
    <row r="25" spans="1:12" x14ac:dyDescent="0.2">
      <c r="I25" s="153" t="s">
        <v>5560</v>
      </c>
      <c r="J25" s="153"/>
      <c r="K25" s="153"/>
      <c r="L25" s="153">
        <v>293.44</v>
      </c>
    </row>
    <row r="26" spans="1:12" x14ac:dyDescent="0.2">
      <c r="I26" s="153" t="s">
        <v>5561</v>
      </c>
      <c r="J26" s="153"/>
      <c r="K26" s="153"/>
      <c r="L26" s="153">
        <v>207.2</v>
      </c>
    </row>
    <row r="27" spans="1:12" x14ac:dyDescent="0.2">
      <c r="I27" s="153" t="s">
        <v>5562</v>
      </c>
      <c r="J27" s="153"/>
      <c r="K27" s="153"/>
      <c r="L27" s="153">
        <v>230.06</v>
      </c>
    </row>
    <row r="28" spans="1:12" x14ac:dyDescent="0.2">
      <c r="I28" s="153" t="s">
        <v>5566</v>
      </c>
      <c r="J28" s="153"/>
      <c r="K28" s="153"/>
      <c r="L28" s="153">
        <v>207.2</v>
      </c>
    </row>
    <row r="29" spans="1:12" x14ac:dyDescent="0.2">
      <c r="I29" s="153" t="s">
        <v>5564</v>
      </c>
      <c r="J29" s="153"/>
      <c r="K29" s="153"/>
      <c r="L29" s="153">
        <v>234.4</v>
      </c>
    </row>
    <row r="30" spans="1:12" x14ac:dyDescent="0.2">
      <c r="I30" s="153" t="s">
        <v>5565</v>
      </c>
      <c r="J30" s="153"/>
      <c r="K30" s="153"/>
      <c r="L30" s="153">
        <v>293.2</v>
      </c>
    </row>
    <row r="31" spans="1:12" x14ac:dyDescent="0.2">
      <c r="I31" s="153" t="s">
        <v>5567</v>
      </c>
      <c r="J31" s="153"/>
      <c r="K31" s="153"/>
      <c r="L31" s="153">
        <v>270.12</v>
      </c>
    </row>
    <row r="32" spans="1:12" x14ac:dyDescent="0.2">
      <c r="I32" s="153" t="s">
        <v>5563</v>
      </c>
      <c r="J32" s="153"/>
      <c r="K32" s="153"/>
      <c r="L32" s="153">
        <v>242.2</v>
      </c>
    </row>
    <row r="33" spans="1:12" x14ac:dyDescent="0.2">
      <c r="I33" s="153" t="s">
        <v>5568</v>
      </c>
      <c r="J33" s="153"/>
      <c r="K33" s="153"/>
      <c r="L33" s="153">
        <v>256.60000000000002</v>
      </c>
    </row>
    <row r="34" spans="1:12" x14ac:dyDescent="0.2">
      <c r="I34" s="153" t="s">
        <v>5569</v>
      </c>
      <c r="J34" s="153"/>
      <c r="K34" s="153"/>
      <c r="L34" s="153">
        <v>252.2</v>
      </c>
    </row>
    <row r="35" spans="1:12" x14ac:dyDescent="0.2">
      <c r="A35" s="164"/>
      <c r="F35" s="152"/>
    </row>
    <row r="36" spans="1:12" ht="13.5" thickBot="1" x14ac:dyDescent="0.25">
      <c r="A36" s="164"/>
      <c r="F36" s="170">
        <f>SUM(F18:F34)</f>
        <v>400</v>
      </c>
    </row>
    <row r="37" spans="1:12" ht="13.5" thickTop="1" x14ac:dyDescent="0.2">
      <c r="A37" s="164"/>
    </row>
    <row r="38" spans="1:12" ht="20.100000000000001" customHeight="1" x14ac:dyDescent="0.2">
      <c r="A38" s="171" t="s">
        <v>1248</v>
      </c>
      <c r="B38" s="213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Four Hundred and NO/100 -----------</v>
      </c>
      <c r="C38" s="172"/>
      <c r="D38" s="249"/>
      <c r="E38" s="249"/>
      <c r="F38" s="249"/>
    </row>
    <row r="39" spans="1:12" x14ac:dyDescent="0.2">
      <c r="A39" s="169"/>
    </row>
    <row r="40" spans="1:12" ht="25.5" x14ac:dyDescent="0.2">
      <c r="A40" s="169"/>
      <c r="D40" s="218" t="s">
        <v>3975</v>
      </c>
      <c r="E40" s="219"/>
      <c r="F40" s="220"/>
    </row>
    <row r="41" spans="1:12" x14ac:dyDescent="0.2">
      <c r="A41" s="153" t="s">
        <v>10</v>
      </c>
      <c r="D41" s="227"/>
      <c r="E41" s="227"/>
      <c r="F41" s="227"/>
    </row>
    <row r="42" spans="1:12" x14ac:dyDescent="0.2">
      <c r="D42" s="228"/>
      <c r="E42" s="229"/>
      <c r="F42" s="229"/>
    </row>
    <row r="43" spans="1:12" x14ac:dyDescent="0.2">
      <c r="A43" s="152"/>
    </row>
    <row r="44" spans="1:12" x14ac:dyDescent="0.2">
      <c r="A44" s="174"/>
      <c r="B44" s="174"/>
    </row>
    <row r="45" spans="1:12" x14ac:dyDescent="0.2">
      <c r="D45" s="175" t="s">
        <v>7</v>
      </c>
    </row>
    <row r="46" spans="1:12" x14ac:dyDescent="0.2">
      <c r="A46" s="153" t="s">
        <v>8</v>
      </c>
      <c r="F46" s="176"/>
    </row>
    <row r="50" spans="1:6" x14ac:dyDescent="0.2">
      <c r="A50" s="174" t="s">
        <v>120</v>
      </c>
      <c r="B50" s="174"/>
      <c r="D50" s="174"/>
      <c r="E50" s="174"/>
      <c r="F50" s="174"/>
    </row>
    <row r="51" spans="1:6" s="178" customFormat="1" ht="17.100000000000001" customHeight="1" x14ac:dyDescent="0.2">
      <c r="A51" s="156" t="s">
        <v>4066</v>
      </c>
      <c r="B51" s="177"/>
      <c r="C51" s="156"/>
      <c r="D51" s="156" t="s">
        <v>3</v>
      </c>
      <c r="E51" s="156"/>
      <c r="F51" s="156"/>
    </row>
    <row r="52" spans="1:6" x14ac:dyDescent="0.2">
      <c r="D52" s="153" t="s">
        <v>2</v>
      </c>
    </row>
    <row r="54" spans="1:6" x14ac:dyDescent="0.2">
      <c r="D54" s="163" t="s">
        <v>1</v>
      </c>
    </row>
    <row r="55" spans="1:6" x14ac:dyDescent="0.2">
      <c r="D55" s="163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1-000000000000}">
  <sheetPr codeName="Sheet596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7824</v>
      </c>
    </row>
    <row r="10" spans="1:8" x14ac:dyDescent="0.2">
      <c r="A10" s="91" t="s">
        <v>5879</v>
      </c>
      <c r="F10" s="92" t="s">
        <v>1329</v>
      </c>
      <c r="G10" s="92" t="s">
        <v>7817</v>
      </c>
    </row>
    <row r="11" spans="1:8" x14ac:dyDescent="0.2">
      <c r="A11" s="91" t="s">
        <v>5880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7825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200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200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1-000000000000}">
  <sheetPr codeName="Sheet597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7826</v>
      </c>
    </row>
    <row r="10" spans="1:8" x14ac:dyDescent="0.2">
      <c r="A10" s="91" t="s">
        <v>5881</v>
      </c>
      <c r="F10" s="92" t="s">
        <v>1329</v>
      </c>
      <c r="G10" s="92" t="s">
        <v>7817</v>
      </c>
    </row>
    <row r="11" spans="1:8" x14ac:dyDescent="0.2">
      <c r="A11" s="91" t="s">
        <v>5882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7827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600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600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1-000000000000}">
  <sheetPr codeName="Sheet598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7834</v>
      </c>
    </row>
    <row r="10" spans="1:8" x14ac:dyDescent="0.2">
      <c r="A10" s="91" t="s">
        <v>5883</v>
      </c>
      <c r="F10" s="92" t="s">
        <v>1329</v>
      </c>
      <c r="G10" s="92" t="s">
        <v>7817</v>
      </c>
    </row>
    <row r="11" spans="1:8" x14ac:dyDescent="0.2">
      <c r="A11" s="91" t="s">
        <v>5884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7835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400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400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1-000000000000}">
  <sheetPr codeName="Sheet602">
    <pageSetUpPr fitToPage="1"/>
  </sheetPr>
  <dimension ref="A1:H54"/>
  <sheetViews>
    <sheetView topLeftCell="A13"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7830</v>
      </c>
    </row>
    <row r="10" spans="1:8" x14ac:dyDescent="0.2">
      <c r="A10" s="91" t="s">
        <v>5885</v>
      </c>
      <c r="F10" s="92" t="s">
        <v>1329</v>
      </c>
      <c r="G10" s="92" t="s">
        <v>7817</v>
      </c>
    </row>
    <row r="11" spans="1:8" x14ac:dyDescent="0.2">
      <c r="A11" s="91" t="s">
        <v>5886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7831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600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600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1-000000000000}">
  <sheetPr codeName="Sheet603">
    <pageSetUpPr fitToPage="1"/>
  </sheetPr>
  <dimension ref="A1:H54"/>
  <sheetViews>
    <sheetView workbookViewId="0">
      <selection activeCell="I35" sqref="I35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7832</v>
      </c>
    </row>
    <row r="10" spans="1:8" x14ac:dyDescent="0.2">
      <c r="A10" s="91" t="s">
        <v>5887</v>
      </c>
      <c r="F10" s="92" t="s">
        <v>1329</v>
      </c>
      <c r="G10" s="92" t="s">
        <v>7817</v>
      </c>
    </row>
    <row r="11" spans="1:8" x14ac:dyDescent="0.2">
      <c r="A11" s="91" t="s">
        <v>5888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7833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400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400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Hundred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1-000000000000}">
  <sheetPr codeName="Sheet604">
    <pageSetUpPr fitToPage="1"/>
  </sheetPr>
  <dimension ref="A1:H54"/>
  <sheetViews>
    <sheetView topLeftCell="A37" workbookViewId="0">
      <selection activeCell="C36" sqref="C36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5889</v>
      </c>
    </row>
    <row r="10" spans="1:8" x14ac:dyDescent="0.2">
      <c r="A10" s="91" t="s">
        <v>5891</v>
      </c>
      <c r="F10" s="92" t="s">
        <v>1329</v>
      </c>
      <c r="G10" s="92" t="s">
        <v>5876</v>
      </c>
    </row>
    <row r="11" spans="1:8" x14ac:dyDescent="0.2">
      <c r="A11" s="91" t="s">
        <v>5892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5890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5875</v>
      </c>
      <c r="H18" s="91">
        <v>1000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1000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388"/>
      <c r="G38" s="388"/>
      <c r="H38" s="388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F45" s="98" t="s">
        <v>7</v>
      </c>
      <c r="H45" s="102"/>
    </row>
    <row r="49" spans="1:8" x14ac:dyDescent="0.2">
      <c r="A49" s="101"/>
      <c r="B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5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43A0-21A2-4ED9-BE48-CEF64520327E}">
  <sheetPr codeName="Sheet780"/>
  <dimension ref="A1:O53"/>
  <sheetViews>
    <sheetView view="pageBreakPreview" zoomScaleNormal="100" zoomScaleSheetLayoutView="100" workbookViewId="0">
      <selection activeCell="A27" sqref="A27:XFD28"/>
    </sheetView>
  </sheetViews>
  <sheetFormatPr defaultRowHeight="12.75" x14ac:dyDescent="0.2"/>
  <cols>
    <col min="1" max="1" width="16" style="153" customWidth="1"/>
    <col min="2" max="2" width="13.42578125" style="153" customWidth="1"/>
    <col min="3" max="3" width="0.85546875" style="153" customWidth="1"/>
    <col min="4" max="4" width="21" style="153" customWidth="1"/>
    <col min="5" max="5" width="0.85546875" style="153" customWidth="1"/>
    <col min="6" max="6" width="12.42578125" style="153" customWidth="1"/>
    <col min="7" max="7" width="8.7109375" style="153" customWidth="1"/>
    <col min="8" max="8" width="13.28515625" style="153" customWidth="1"/>
    <col min="9" max="16384" width="9.140625" style="152"/>
  </cols>
  <sheetData>
    <row r="1" spans="1:14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4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4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4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4" x14ac:dyDescent="0.2">
      <c r="A8" s="153" t="s">
        <v>32</v>
      </c>
      <c r="F8" s="154" t="s">
        <v>31</v>
      </c>
    </row>
    <row r="9" spans="1:14" x14ac:dyDescent="0.2">
      <c r="F9" s="155" t="s">
        <v>1317</v>
      </c>
      <c r="G9" s="91" t="s">
        <v>8708</v>
      </c>
    </row>
    <row r="10" spans="1:14" x14ac:dyDescent="0.2">
      <c r="A10" s="153" t="s">
        <v>8710</v>
      </c>
      <c r="F10" s="155" t="s">
        <v>1329</v>
      </c>
      <c r="G10" s="92" t="s">
        <v>8688</v>
      </c>
    </row>
    <row r="11" spans="1:14" x14ac:dyDescent="0.2">
      <c r="A11" s="153" t="s">
        <v>8711</v>
      </c>
      <c r="F11" s="155" t="s">
        <v>1330</v>
      </c>
      <c r="G11" s="92" t="s">
        <v>1220</v>
      </c>
    </row>
    <row r="12" spans="1:14" x14ac:dyDescent="0.2">
      <c r="A12" s="153" t="s">
        <v>8712</v>
      </c>
      <c r="F12" s="155" t="s">
        <v>1331</v>
      </c>
      <c r="G12" s="92" t="s">
        <v>8709</v>
      </c>
    </row>
    <row r="13" spans="1:14" x14ac:dyDescent="0.2">
      <c r="A13" s="153" t="s">
        <v>8713</v>
      </c>
      <c r="G13" s="91"/>
    </row>
    <row r="14" spans="1:14" x14ac:dyDescent="0.2">
      <c r="A14" s="153" t="s">
        <v>2244</v>
      </c>
      <c r="G14" s="91"/>
    </row>
    <row r="15" spans="1:14" x14ac:dyDescent="0.2">
      <c r="K15" s="2" t="s">
        <v>8707</v>
      </c>
      <c r="L15" s="91"/>
      <c r="M15" s="91"/>
      <c r="N15" s="91"/>
    </row>
    <row r="16" spans="1:14" s="162" customFormat="1" ht="20.100000000000001" customHeight="1" x14ac:dyDescent="0.2">
      <c r="A16" s="157" t="s">
        <v>1247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K16" s="2"/>
      <c r="L16" s="91"/>
      <c r="M16" s="91"/>
      <c r="N16" s="91"/>
    </row>
    <row r="17" spans="1:15" x14ac:dyDescent="0.2">
      <c r="A17" s="91"/>
      <c r="B17" s="91"/>
      <c r="C17" s="91"/>
      <c r="D17" s="91"/>
      <c r="E17" s="91"/>
      <c r="F17" s="91"/>
      <c r="G17" s="91"/>
      <c r="H17" s="91"/>
      <c r="K17" s="91" t="s">
        <v>3859</v>
      </c>
      <c r="L17" s="91"/>
      <c r="M17" s="91"/>
      <c r="N17" s="91">
        <v>1350</v>
      </c>
    </row>
    <row r="18" spans="1:15" x14ac:dyDescent="0.2">
      <c r="A18" s="93"/>
      <c r="B18" s="195"/>
      <c r="C18" s="195"/>
      <c r="D18" s="2" t="s">
        <v>8716</v>
      </c>
      <c r="E18" s="2"/>
      <c r="F18" s="91"/>
      <c r="G18" s="91"/>
      <c r="H18" s="91"/>
      <c r="K18" s="91" t="s">
        <v>127</v>
      </c>
      <c r="L18" s="91"/>
      <c r="M18" s="91"/>
      <c r="N18" s="91">
        <v>600</v>
      </c>
    </row>
    <row r="19" spans="1:15" x14ac:dyDescent="0.2">
      <c r="A19" s="93"/>
      <c r="B19" s="195"/>
      <c r="C19" s="195"/>
      <c r="D19" s="2"/>
      <c r="E19" s="2"/>
      <c r="F19" s="91"/>
      <c r="G19" s="91"/>
      <c r="H19" s="91"/>
      <c r="I19" s="91"/>
      <c r="K19" s="91" t="s">
        <v>3864</v>
      </c>
      <c r="L19" s="91"/>
      <c r="M19" s="91"/>
      <c r="N19" s="91">
        <v>150</v>
      </c>
    </row>
    <row r="20" spans="1:15" x14ac:dyDescent="0.2">
      <c r="A20" s="93" t="s">
        <v>8691</v>
      </c>
      <c r="B20" s="278" t="s">
        <v>8714</v>
      </c>
      <c r="C20" s="195"/>
      <c r="D20" s="91" t="s">
        <v>8715</v>
      </c>
      <c r="E20" s="91"/>
      <c r="F20" s="91"/>
      <c r="G20" s="91"/>
      <c r="H20" s="91">
        <v>84688</v>
      </c>
      <c r="I20" s="91"/>
      <c r="K20" s="91"/>
      <c r="L20" s="91"/>
      <c r="M20" s="91"/>
      <c r="N20" s="91"/>
    </row>
    <row r="21" spans="1:15" x14ac:dyDescent="0.2">
      <c r="A21" s="175"/>
      <c r="B21" s="195"/>
      <c r="C21" s="195"/>
      <c r="D21" s="91" t="s">
        <v>8717</v>
      </c>
      <c r="E21" s="91"/>
      <c r="F21" s="91"/>
      <c r="G21" s="91"/>
      <c r="H21" s="91"/>
      <c r="I21" s="91"/>
      <c r="K21" s="91"/>
      <c r="L21" s="91"/>
      <c r="M21" s="91"/>
      <c r="N21" s="91"/>
    </row>
    <row r="22" spans="1:15" x14ac:dyDescent="0.2">
      <c r="B22" s="191"/>
      <c r="C22" s="191"/>
      <c r="D22" s="91" t="s">
        <v>8718</v>
      </c>
      <c r="E22" s="91"/>
      <c r="F22" s="91"/>
      <c r="G22" s="91"/>
      <c r="H22" s="91"/>
      <c r="I22" s="91"/>
    </row>
    <row r="23" spans="1:15" x14ac:dyDescent="0.2">
      <c r="A23" s="152"/>
      <c r="B23" s="91"/>
      <c r="C23" s="91"/>
      <c r="D23" s="91" t="s">
        <v>8719</v>
      </c>
      <c r="E23" s="163"/>
      <c r="I23" s="91"/>
      <c r="K23" s="91" t="s">
        <v>3859</v>
      </c>
      <c r="L23" s="91"/>
      <c r="M23" s="91"/>
      <c r="N23" s="91">
        <v>810</v>
      </c>
      <c r="O23" s="91"/>
    </row>
    <row r="24" spans="1:15" x14ac:dyDescent="0.2">
      <c r="A24" s="152"/>
      <c r="B24" s="91"/>
      <c r="C24" s="91"/>
      <c r="D24" s="91"/>
      <c r="E24" s="91"/>
      <c r="F24" s="91"/>
      <c r="G24" s="91"/>
      <c r="H24" s="91"/>
      <c r="I24" s="91"/>
      <c r="K24" s="91" t="s">
        <v>127</v>
      </c>
      <c r="L24" s="91"/>
      <c r="M24" s="91"/>
      <c r="N24" s="91">
        <v>300</v>
      </c>
      <c r="O24" s="91"/>
    </row>
    <row r="25" spans="1:15" x14ac:dyDescent="0.2">
      <c r="A25" s="92"/>
      <c r="B25" s="94"/>
      <c r="C25" s="94"/>
      <c r="D25" s="91"/>
      <c r="E25" s="91"/>
      <c r="F25" s="91"/>
      <c r="G25" s="91"/>
      <c r="H25" s="91"/>
      <c r="I25" s="91"/>
      <c r="K25" s="91" t="s">
        <v>3864</v>
      </c>
      <c r="L25" s="91"/>
      <c r="M25" s="91"/>
      <c r="N25" s="91">
        <v>100</v>
      </c>
      <c r="O25" s="91"/>
    </row>
    <row r="26" spans="1:15" x14ac:dyDescent="0.2">
      <c r="A26" s="175"/>
      <c r="B26" s="91"/>
      <c r="C26" s="91"/>
      <c r="D26" s="91"/>
      <c r="E26" s="91"/>
      <c r="F26" s="91"/>
      <c r="G26" s="91"/>
      <c r="H26" s="91"/>
      <c r="I26" s="91"/>
      <c r="K26" s="91"/>
      <c r="L26" s="91"/>
      <c r="M26" s="91"/>
      <c r="N26" s="91"/>
      <c r="O26" s="91"/>
    </row>
    <row r="27" spans="1:15" x14ac:dyDescent="0.2">
      <c r="A27" s="91"/>
      <c r="D27" s="91"/>
      <c r="E27" s="91"/>
      <c r="K27" s="91"/>
      <c r="L27" s="91"/>
      <c r="M27" s="91"/>
      <c r="N27" s="91"/>
      <c r="O27" s="91"/>
    </row>
    <row r="28" spans="1:15" x14ac:dyDescent="0.2">
      <c r="A28" s="175"/>
      <c r="D28" s="91"/>
      <c r="E28" s="2"/>
    </row>
    <row r="29" spans="1:15" x14ac:dyDescent="0.2">
      <c r="A29" s="92"/>
      <c r="D29" s="2"/>
      <c r="E29" s="2"/>
    </row>
    <row r="30" spans="1:15" x14ac:dyDescent="0.2">
      <c r="A30" s="92"/>
      <c r="D30" s="91"/>
      <c r="E30" s="91"/>
    </row>
    <row r="31" spans="1:15" x14ac:dyDescent="0.2">
      <c r="A31" s="175"/>
      <c r="D31" s="91"/>
      <c r="E31" s="91"/>
    </row>
    <row r="32" spans="1:15" x14ac:dyDescent="0.2">
      <c r="A32" s="94"/>
      <c r="D32" s="91"/>
      <c r="E32" s="91"/>
    </row>
    <row r="33" spans="1:8" x14ac:dyDescent="0.2">
      <c r="A33" s="164"/>
      <c r="H33" s="152"/>
    </row>
    <row r="34" spans="1:8" ht="13.5" thickBot="1" x14ac:dyDescent="0.25">
      <c r="A34" s="164"/>
      <c r="H34" s="170">
        <f>SUM(H20:H32)</f>
        <v>84688</v>
      </c>
    </row>
    <row r="35" spans="1:8" ht="13.5" thickTop="1" x14ac:dyDescent="0.2">
      <c r="A35" s="164"/>
    </row>
    <row r="36" spans="1:8" ht="21.75" customHeight="1" x14ac:dyDescent="0.2">
      <c r="A36" s="171" t="s">
        <v>1248</v>
      </c>
      <c r="B36" s="213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Eighty-Four Thousand Six Hundred Eighty-Eight and NO/100 -----------</v>
      </c>
      <c r="C36" s="213"/>
      <c r="D36" s="172"/>
      <c r="E36" s="172"/>
      <c r="F36" s="172"/>
      <c r="G36" s="172"/>
      <c r="H36" s="172"/>
    </row>
    <row r="37" spans="1:8" x14ac:dyDescent="0.2">
      <c r="A37" s="169"/>
    </row>
    <row r="38" spans="1:8" ht="25.5" x14ac:dyDescent="0.2">
      <c r="A38" s="153" t="s">
        <v>10</v>
      </c>
      <c r="F38" s="218" t="s">
        <v>3975</v>
      </c>
      <c r="G38" s="219"/>
      <c r="H38" s="220"/>
    </row>
    <row r="39" spans="1:8" x14ac:dyDescent="0.2">
      <c r="A39" s="156"/>
    </row>
    <row r="40" spans="1:8" s="178" customFormat="1" ht="17.100000000000001" customHeight="1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153" t="s">
        <v>120</v>
      </c>
      <c r="D41" s="173"/>
      <c r="E41" s="173"/>
    </row>
    <row r="42" spans="1:8" x14ac:dyDescent="0.2">
      <c r="A42" s="174"/>
      <c r="B42" s="174"/>
    </row>
    <row r="43" spans="1:8" x14ac:dyDescent="0.2">
      <c r="F43" s="175" t="s">
        <v>7</v>
      </c>
    </row>
    <row r="44" spans="1:8" x14ac:dyDescent="0.2">
      <c r="A44" s="153" t="s">
        <v>8</v>
      </c>
      <c r="D44" s="153" t="s">
        <v>8</v>
      </c>
      <c r="H44" s="176"/>
    </row>
    <row r="48" spans="1:8" x14ac:dyDescent="0.2">
      <c r="A48" s="174" t="s">
        <v>120</v>
      </c>
      <c r="B48" s="174"/>
      <c r="D48" s="174" t="s">
        <v>120</v>
      </c>
      <c r="F48" s="174"/>
      <c r="G48" s="174"/>
      <c r="H48" s="174"/>
    </row>
    <row r="49" spans="1:8" x14ac:dyDescent="0.2">
      <c r="A49" s="225" t="s">
        <v>4066</v>
      </c>
      <c r="B49" s="177"/>
      <c r="C49" s="177"/>
      <c r="D49" s="225" t="s">
        <v>50</v>
      </c>
      <c r="E49" s="156"/>
      <c r="F49" s="156" t="s">
        <v>3</v>
      </c>
      <c r="G49" s="156"/>
      <c r="H49" s="156"/>
    </row>
    <row r="50" spans="1:8" x14ac:dyDescent="0.2">
      <c r="A50" s="225"/>
      <c r="D50" s="225"/>
      <c r="F50" s="153" t="s">
        <v>2</v>
      </c>
    </row>
    <row r="52" spans="1:8" x14ac:dyDescent="0.2">
      <c r="F52" s="163" t="s">
        <v>1</v>
      </c>
    </row>
    <row r="53" spans="1:8" x14ac:dyDescent="0.2">
      <c r="F5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5861-053A-4E3B-9117-4904F001C57E}">
  <sheetPr codeName="Sheet781">
    <pageSetUpPr fitToPage="1"/>
  </sheetPr>
  <dimension ref="A1:N54"/>
  <sheetViews>
    <sheetView view="pageBreakPreview" zoomScaleNormal="100" zoomScaleSheetLayoutView="100" workbookViewId="0">
      <selection activeCell="G9" sqref="G9:G14"/>
    </sheetView>
  </sheetViews>
  <sheetFormatPr defaultRowHeight="12.75" x14ac:dyDescent="0.2"/>
  <cols>
    <col min="1" max="1" width="15.5703125" style="91" customWidth="1"/>
    <col min="2" max="2" width="14.140625" style="91" customWidth="1"/>
    <col min="3" max="3" width="1.85546875" style="91" customWidth="1"/>
    <col min="4" max="4" width="22.140625" style="91" customWidth="1"/>
    <col min="5" max="5" width="1.140625" style="91" customWidth="1"/>
    <col min="6" max="6" width="12" style="91" customWidth="1"/>
    <col min="7" max="7" width="11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1393</v>
      </c>
      <c r="G9" s="153" t="s">
        <v>8845</v>
      </c>
    </row>
    <row r="10" spans="1:8" x14ac:dyDescent="0.2">
      <c r="A10" s="91" t="s">
        <v>8703</v>
      </c>
      <c r="F10" s="92" t="s">
        <v>1356</v>
      </c>
      <c r="G10" s="155" t="s">
        <v>8808</v>
      </c>
    </row>
    <row r="11" spans="1:8" x14ac:dyDescent="0.2">
      <c r="A11" s="91" t="s">
        <v>8704</v>
      </c>
      <c r="F11" s="92" t="s">
        <v>1364</v>
      </c>
      <c r="G11" s="155" t="s">
        <v>1220</v>
      </c>
    </row>
    <row r="12" spans="1:8" x14ac:dyDescent="0.2">
      <c r="A12" s="91" t="s">
        <v>8705</v>
      </c>
      <c r="F12" s="92" t="s">
        <v>1394</v>
      </c>
      <c r="G12" s="155" t="s">
        <v>8846</v>
      </c>
    </row>
    <row r="13" spans="1:8" x14ac:dyDescent="0.2">
      <c r="A13" s="91" t="s">
        <v>1471</v>
      </c>
      <c r="F13" s="92"/>
      <c r="G13" s="153" t="s">
        <v>7931</v>
      </c>
    </row>
    <row r="16" spans="1:8" s="14" customFormat="1" ht="20.100000000000001" customHeight="1" x14ac:dyDescent="0.2">
      <c r="A16" s="17" t="s">
        <v>1247</v>
      </c>
      <c r="B16" s="506" t="s">
        <v>128</v>
      </c>
      <c r="C16" s="506"/>
      <c r="D16" s="18" t="s">
        <v>19</v>
      </c>
      <c r="E16" s="18"/>
      <c r="F16" s="17"/>
      <c r="G16" s="15"/>
      <c r="H16" s="205" t="s">
        <v>18</v>
      </c>
    </row>
    <row r="18" spans="1:14" x14ac:dyDescent="0.2">
      <c r="A18" s="93"/>
      <c r="B18" s="93"/>
      <c r="C18" s="93"/>
      <c r="D18" s="2" t="s">
        <v>8706</v>
      </c>
      <c r="E18" s="2"/>
    </row>
    <row r="19" spans="1:14" x14ac:dyDescent="0.2">
      <c r="A19" s="94"/>
      <c r="D19" s="2"/>
      <c r="E19" s="2"/>
    </row>
    <row r="20" spans="1:14" x14ac:dyDescent="0.2">
      <c r="A20" s="93" t="s">
        <v>8847</v>
      </c>
      <c r="B20" s="278" t="s">
        <v>8848</v>
      </c>
      <c r="C20" s="93"/>
      <c r="D20" s="91" t="s">
        <v>8849</v>
      </c>
      <c r="E20" s="2"/>
      <c r="H20" s="91">
        <v>300</v>
      </c>
    </row>
    <row r="21" spans="1:14" x14ac:dyDescent="0.2">
      <c r="A21" s="93"/>
      <c r="B21" s="93"/>
      <c r="J21" s="91" t="s">
        <v>8589</v>
      </c>
      <c r="N21" s="91">
        <f>400+1800+1800+400</f>
        <v>4400</v>
      </c>
    </row>
    <row r="22" spans="1:14" x14ac:dyDescent="0.2">
      <c r="A22" s="92"/>
      <c r="B22" s="93"/>
      <c r="C22" s="93"/>
      <c r="J22" s="91" t="s">
        <v>8590</v>
      </c>
      <c r="N22" s="91">
        <v>500</v>
      </c>
    </row>
    <row r="23" spans="1:14" x14ac:dyDescent="0.2">
      <c r="A23" s="93"/>
      <c r="B23" s="93"/>
      <c r="C23" s="93"/>
      <c r="J23" s="91" t="s">
        <v>8591</v>
      </c>
      <c r="N23" s="91">
        <f>374+371+371</f>
        <v>1116</v>
      </c>
    </row>
    <row r="24" spans="1:14" x14ac:dyDescent="0.2">
      <c r="A24" s="93"/>
      <c r="B24" s="507"/>
      <c r="C24" s="507"/>
      <c r="J24" s="91" t="s">
        <v>8592</v>
      </c>
      <c r="N24" s="91">
        <v>750</v>
      </c>
    </row>
    <row r="26" spans="1:14" x14ac:dyDescent="0.2">
      <c r="A26" s="93"/>
      <c r="B26" s="507"/>
      <c r="C26" s="507"/>
    </row>
    <row r="27" spans="1:14" x14ac:dyDescent="0.2">
      <c r="B27" s="94"/>
      <c r="C27" s="94"/>
    </row>
    <row r="28" spans="1:14" x14ac:dyDescent="0.2">
      <c r="B28" s="94"/>
      <c r="C28" s="94"/>
    </row>
    <row r="29" spans="1:14" x14ac:dyDescent="0.2">
      <c r="B29" s="94"/>
      <c r="C29" s="94"/>
    </row>
    <row r="30" spans="1:14" x14ac:dyDescent="0.2">
      <c r="B30" s="94"/>
      <c r="C30" s="94"/>
    </row>
    <row r="31" spans="1:14" x14ac:dyDescent="0.2">
      <c r="A31" s="93"/>
      <c r="B31" s="507"/>
      <c r="C31" s="507"/>
    </row>
    <row r="32" spans="1:14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5" spans="1:8" ht="13.5" thickBot="1" x14ac:dyDescent="0.25">
      <c r="H35" s="107">
        <f>SUM(H18:H33)</f>
        <v>300</v>
      </c>
    </row>
    <row r="36" spans="1:8" ht="13.5" thickTop="1" x14ac:dyDescent="0.2"/>
    <row r="37" spans="1:8" ht="20.100000000000001" customHeight="1" x14ac:dyDescent="0.2">
      <c r="A37" s="96" t="s">
        <v>1465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and NO/100 -----------</v>
      </c>
      <c r="C37" s="185"/>
      <c r="D37" s="97"/>
      <c r="E37" s="97"/>
      <c r="F37" s="97"/>
      <c r="G37" s="97"/>
      <c r="H37" s="206"/>
    </row>
    <row r="38" spans="1:8" x14ac:dyDescent="0.2">
      <c r="A38" s="94" t="s">
        <v>11</v>
      </c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D42" s="507"/>
      <c r="E42" s="507"/>
      <c r="F42" s="228"/>
      <c r="G42" s="229"/>
      <c r="H42" s="22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G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91" t="s">
        <v>4066</v>
      </c>
      <c r="B50" s="104"/>
      <c r="C50" s="104"/>
      <c r="D50" s="91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5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FBD9-774C-4BAC-B569-E361CDD70DF2}">
  <sheetPr codeName="Sheet753"/>
  <dimension ref="A1:P57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" style="91" customWidth="1"/>
    <col min="4" max="4" width="21" style="91" customWidth="1"/>
    <col min="5" max="5" width="0.855468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  <c r="J8" s="91" t="s">
        <v>7174</v>
      </c>
      <c r="K8" s="91">
        <v>43462</v>
      </c>
      <c r="M8" s="91" t="s">
        <v>7166</v>
      </c>
    </row>
    <row r="9" spans="1:15" x14ac:dyDescent="0.2">
      <c r="F9" s="92" t="s">
        <v>1358</v>
      </c>
      <c r="G9" s="91" t="s">
        <v>8000</v>
      </c>
    </row>
    <row r="10" spans="1:15" x14ac:dyDescent="0.2">
      <c r="A10" s="91" t="s">
        <v>8002</v>
      </c>
      <c r="F10" s="92" t="s">
        <v>1357</v>
      </c>
      <c r="G10" s="91" t="s">
        <v>7982</v>
      </c>
    </row>
    <row r="11" spans="1:15" x14ac:dyDescent="0.2">
      <c r="A11" s="91" t="s">
        <v>8003</v>
      </c>
      <c r="F11" s="92" t="s">
        <v>1330</v>
      </c>
      <c r="G11" s="91" t="s">
        <v>1220</v>
      </c>
    </row>
    <row r="12" spans="1:15" x14ac:dyDescent="0.2">
      <c r="A12" s="91" t="s">
        <v>8004</v>
      </c>
      <c r="F12" s="92" t="s">
        <v>1224</v>
      </c>
      <c r="G12" s="91" t="s">
        <v>8001</v>
      </c>
    </row>
    <row r="13" spans="1:15" x14ac:dyDescent="0.2">
      <c r="A13" s="91" t="s">
        <v>4075</v>
      </c>
      <c r="G13" s="153" t="s">
        <v>7762</v>
      </c>
    </row>
    <row r="14" spans="1:15" x14ac:dyDescent="0.2">
      <c r="A14" s="91" t="s">
        <v>123</v>
      </c>
      <c r="L14" s="2" t="s">
        <v>5338</v>
      </c>
    </row>
    <row r="16" spans="1:15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J16" s="93"/>
      <c r="K16" s="93" t="s">
        <v>7060</v>
      </c>
      <c r="L16" s="91" t="s">
        <v>7061</v>
      </c>
      <c r="M16" s="91"/>
      <c r="N16" s="91"/>
      <c r="O16" s="91">
        <v>90</v>
      </c>
    </row>
    <row r="17" spans="1:16" x14ac:dyDescent="0.2">
      <c r="L17" s="91" t="s">
        <v>7062</v>
      </c>
      <c r="O17" s="91">
        <v>90</v>
      </c>
    </row>
    <row r="18" spans="1:16" x14ac:dyDescent="0.2">
      <c r="D18" s="2" t="s">
        <v>7999</v>
      </c>
      <c r="E18" s="2"/>
      <c r="J18" s="93"/>
      <c r="K18" s="93"/>
      <c r="L18" s="91" t="s">
        <v>7063</v>
      </c>
      <c r="O18" s="91">
        <v>90</v>
      </c>
    </row>
    <row r="20" spans="1:16" x14ac:dyDescent="0.2">
      <c r="A20" s="93" t="s">
        <v>7958</v>
      </c>
      <c r="B20" s="278" t="s">
        <v>8005</v>
      </c>
      <c r="C20" s="93"/>
      <c r="D20" s="91" t="s">
        <v>8006</v>
      </c>
      <c r="E20" s="94"/>
      <c r="H20" s="91">
        <v>760</v>
      </c>
    </row>
    <row r="21" spans="1:16" x14ac:dyDescent="0.2">
      <c r="E21" s="94"/>
      <c r="L21" s="94" t="s">
        <v>7867</v>
      </c>
      <c r="M21" s="94"/>
      <c r="P21" s="91">
        <v>90</v>
      </c>
    </row>
    <row r="22" spans="1:16" x14ac:dyDescent="0.2">
      <c r="A22" s="93"/>
      <c r="B22" s="93"/>
      <c r="C22" s="93"/>
      <c r="E22" s="94"/>
      <c r="L22" s="94" t="s">
        <v>7868</v>
      </c>
      <c r="M22" s="94"/>
      <c r="P22" s="91">
        <v>90</v>
      </c>
    </row>
    <row r="23" spans="1:16" x14ac:dyDescent="0.2">
      <c r="A23" s="93"/>
      <c r="B23" s="93"/>
      <c r="C23" s="93"/>
      <c r="D23" s="94"/>
      <c r="E23" s="94"/>
      <c r="L23" s="94"/>
      <c r="M23" s="94"/>
    </row>
    <row r="24" spans="1:16" x14ac:dyDescent="0.2">
      <c r="A24" s="93"/>
      <c r="B24" s="93"/>
      <c r="C24" s="93"/>
      <c r="D24" s="94"/>
      <c r="E24" s="94"/>
      <c r="L24" s="94" t="s">
        <v>7870</v>
      </c>
      <c r="M24" s="94"/>
      <c r="P24" s="91">
        <v>90</v>
      </c>
    </row>
    <row r="25" spans="1:16" x14ac:dyDescent="0.2">
      <c r="D25" s="94"/>
      <c r="L25" s="94"/>
    </row>
    <row r="26" spans="1:16" x14ac:dyDescent="0.2">
      <c r="A26" s="93"/>
      <c r="B26" s="93"/>
      <c r="C26" s="93"/>
      <c r="D26" s="94"/>
      <c r="E26" s="94"/>
      <c r="L26" s="94"/>
      <c r="M26" s="94"/>
    </row>
    <row r="27" spans="1:16" x14ac:dyDescent="0.2">
      <c r="A27" s="93"/>
      <c r="B27" s="93"/>
      <c r="C27" s="93"/>
      <c r="D27" s="94"/>
      <c r="E27" s="94"/>
      <c r="L27" s="94"/>
      <c r="M27" s="94"/>
    </row>
    <row r="28" spans="1:16" x14ac:dyDescent="0.2">
      <c r="A28" s="93"/>
      <c r="B28" s="93"/>
      <c r="C28" s="93"/>
      <c r="D28" s="94"/>
      <c r="E28" s="94"/>
    </row>
    <row r="29" spans="1:16" x14ac:dyDescent="0.2">
      <c r="A29" s="93"/>
      <c r="B29" s="93"/>
      <c r="C29" s="93"/>
      <c r="D29" s="2"/>
      <c r="E29" s="2"/>
    </row>
    <row r="30" spans="1:16" x14ac:dyDescent="0.2">
      <c r="A30" s="93"/>
      <c r="B30" s="93"/>
      <c r="C30" s="93"/>
      <c r="D30" s="2"/>
      <c r="E30" s="2"/>
    </row>
    <row r="31" spans="1:16" x14ac:dyDescent="0.2">
      <c r="A31" s="93"/>
      <c r="B31" s="93"/>
      <c r="C31" s="93"/>
    </row>
    <row r="32" spans="1:16" x14ac:dyDescent="0.2">
      <c r="A32" s="93"/>
      <c r="B32" s="93"/>
      <c r="C32" s="93"/>
      <c r="D32" s="94"/>
      <c r="E32" s="94"/>
    </row>
    <row r="36" spans="1:8" x14ac:dyDescent="0.2">
      <c r="A36" s="93"/>
      <c r="B36" s="464"/>
      <c r="C36" s="464"/>
    </row>
    <row r="38" spans="1:8" ht="13.5" thickBot="1" x14ac:dyDescent="0.25">
      <c r="H38" s="95">
        <f>SUM(H19:H37)</f>
        <v>760</v>
      </c>
    </row>
    <row r="39" spans="1:8" ht="13.5" thickTop="1" x14ac:dyDescent="0.2"/>
    <row r="40" spans="1:8" ht="20.100000000000001" customHeight="1" x14ac:dyDescent="0.2">
      <c r="A40" s="96" t="s">
        <v>1075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Seven Hundred Sixty and NO/100 -----------</v>
      </c>
      <c r="C40" s="185"/>
      <c r="D40" s="97"/>
      <c r="E40" s="97"/>
      <c r="F40" s="97"/>
      <c r="G40" s="97"/>
      <c r="H40" s="97"/>
    </row>
    <row r="41" spans="1:8" ht="20.100000000000001" customHeight="1" x14ac:dyDescent="0.2">
      <c r="A41" s="113"/>
      <c r="B41" s="103"/>
      <c r="C41" s="103"/>
      <c r="D41" s="61"/>
      <c r="E41" s="61"/>
      <c r="F41" s="388"/>
      <c r="G41" s="388"/>
      <c r="H41" s="388"/>
    </row>
    <row r="42" spans="1:8" ht="25.5" x14ac:dyDescent="0.2">
      <c r="A42" s="235" t="s">
        <v>3973</v>
      </c>
      <c r="F42" s="218" t="s">
        <v>3975</v>
      </c>
      <c r="G42" s="219"/>
      <c r="H42" s="220"/>
    </row>
    <row r="43" spans="1:8" x14ac:dyDescent="0.2">
      <c r="A43" s="98"/>
      <c r="F43" s="228"/>
      <c r="G43" s="229"/>
      <c r="H43" s="229"/>
    </row>
    <row r="44" spans="1:8" x14ac:dyDescent="0.2">
      <c r="D44" s="464"/>
      <c r="E44" s="464"/>
    </row>
    <row r="45" spans="1:8" x14ac:dyDescent="0.2">
      <c r="A45" s="98"/>
      <c r="D45" s="464"/>
      <c r="E45" s="464"/>
    </row>
    <row r="46" spans="1:8" x14ac:dyDescent="0.2">
      <c r="A46" s="100"/>
      <c r="B46" s="101"/>
      <c r="C46" s="386"/>
    </row>
    <row r="47" spans="1:8" x14ac:dyDescent="0.2">
      <c r="A47" s="98"/>
    </row>
    <row r="48" spans="1:8" x14ac:dyDescent="0.2">
      <c r="A48" s="98" t="s">
        <v>8</v>
      </c>
      <c r="D48" s="98" t="s">
        <v>8</v>
      </c>
      <c r="F48" s="98" t="s">
        <v>7</v>
      </c>
      <c r="H48" s="102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98"/>
      <c r="D51" s="98"/>
    </row>
    <row r="52" spans="1:8" x14ac:dyDescent="0.2">
      <c r="A52" s="100"/>
      <c r="B52" s="101"/>
      <c r="C52" s="386"/>
      <c r="D52" s="100"/>
      <c r="F52" s="101"/>
      <c r="G52" s="101"/>
      <c r="H52" s="101"/>
    </row>
    <row r="53" spans="1:8" s="61" customFormat="1" ht="17.100000000000001" customHeight="1" x14ac:dyDescent="0.2">
      <c r="A53" s="98" t="s">
        <v>4047</v>
      </c>
      <c r="B53" s="104"/>
      <c r="C53" s="104"/>
      <c r="D53" s="98" t="s">
        <v>50</v>
      </c>
      <c r="F53" s="61" t="s">
        <v>3</v>
      </c>
    </row>
    <row r="54" spans="1:8" x14ac:dyDescent="0.2">
      <c r="A54" s="98"/>
      <c r="F54" s="91" t="s">
        <v>2</v>
      </c>
    </row>
    <row r="55" spans="1:8" x14ac:dyDescent="0.2">
      <c r="A55" s="98"/>
    </row>
    <row r="56" spans="1:8" x14ac:dyDescent="0.2">
      <c r="F56" s="2" t="s">
        <v>1</v>
      </c>
    </row>
    <row r="57" spans="1:8" x14ac:dyDescent="0.2">
      <c r="F57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98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3191</v>
      </c>
      <c r="D9" s="92" t="s">
        <v>1317</v>
      </c>
      <c r="E9" s="91" t="s">
        <v>3229</v>
      </c>
    </row>
    <row r="10" spans="1:6" x14ac:dyDescent="0.2">
      <c r="A10" s="91" t="s">
        <v>3192</v>
      </c>
      <c r="D10" s="92" t="s">
        <v>1329</v>
      </c>
      <c r="E10" s="91" t="s">
        <v>3228</v>
      </c>
    </row>
    <row r="11" spans="1:6" x14ac:dyDescent="0.2">
      <c r="A11" s="91" t="s">
        <v>3193</v>
      </c>
      <c r="D11" s="92" t="s">
        <v>1330</v>
      </c>
      <c r="E11" s="91" t="s">
        <v>1220</v>
      </c>
    </row>
    <row r="12" spans="1:6" x14ac:dyDescent="0.2">
      <c r="A12" s="91" t="s">
        <v>3194</v>
      </c>
      <c r="D12" s="92" t="s">
        <v>1331</v>
      </c>
      <c r="E12" s="94" t="s">
        <v>3230</v>
      </c>
    </row>
    <row r="13" spans="1:6" x14ac:dyDescent="0.2">
      <c r="A13" s="91" t="s">
        <v>2925</v>
      </c>
    </row>
    <row r="14" spans="1:6" x14ac:dyDescent="0.2">
      <c r="A14" s="91" t="s">
        <v>3196</v>
      </c>
    </row>
    <row r="15" spans="1:6" x14ac:dyDescent="0.2">
      <c r="A15" s="91" t="s">
        <v>3195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3197</v>
      </c>
    </row>
    <row r="19" spans="1:6" x14ac:dyDescent="0.2">
      <c r="A19" s="106"/>
      <c r="C19" s="2"/>
    </row>
    <row r="20" spans="1:6" x14ac:dyDescent="0.2">
      <c r="A20" s="99" t="s">
        <v>3142</v>
      </c>
      <c r="B20" s="99" t="s">
        <v>3198</v>
      </c>
      <c r="C20" s="91" t="s">
        <v>3199</v>
      </c>
      <c r="F20" s="91">
        <v>14000</v>
      </c>
    </row>
    <row r="21" spans="1:6" x14ac:dyDescent="0.2">
      <c r="A21" s="93"/>
      <c r="B21" s="94"/>
      <c r="C21" s="91" t="s">
        <v>3200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14000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Fourteen Thousand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16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5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37D6-12BE-4227-BD27-B0BDC3113A87}">
  <sheetPr codeName="Sheet718">
    <tabColor rgb="FFFFFF00"/>
    <pageSetUpPr fitToPage="1"/>
  </sheetPr>
  <dimension ref="A1:H56"/>
  <sheetViews>
    <sheetView topLeftCell="A13" workbookViewId="0">
      <selection activeCell="H35" sqref="H35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5703125" style="1" customWidth="1"/>
    <col min="4" max="4" width="23" style="1" customWidth="1"/>
    <col min="5" max="5" width="0.425781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155" t="s">
        <v>8978</v>
      </c>
      <c r="H9" s="91"/>
    </row>
    <row r="10" spans="1:8" x14ac:dyDescent="0.2">
      <c r="A10" s="91" t="s">
        <v>6452</v>
      </c>
      <c r="B10" s="91"/>
      <c r="C10" s="91"/>
      <c r="D10" s="91"/>
      <c r="E10" s="91"/>
      <c r="F10" s="92" t="s">
        <v>1357</v>
      </c>
      <c r="G10" s="155" t="s">
        <v>8945</v>
      </c>
      <c r="H10" s="91"/>
    </row>
    <row r="11" spans="1:8" x14ac:dyDescent="0.2">
      <c r="A11" s="91" t="s">
        <v>7268</v>
      </c>
      <c r="B11" s="91"/>
      <c r="C11" s="91"/>
      <c r="D11" s="91"/>
      <c r="E11" s="91"/>
      <c r="F11" s="92" t="s">
        <v>1330</v>
      </c>
      <c r="G11" s="155" t="s">
        <v>1220</v>
      </c>
      <c r="H11" s="91"/>
    </row>
    <row r="12" spans="1:8" x14ac:dyDescent="0.2">
      <c r="A12" s="91"/>
      <c r="B12" s="91"/>
      <c r="C12" s="91"/>
      <c r="D12" s="91"/>
      <c r="E12" s="91"/>
      <c r="F12" s="92" t="s">
        <v>1224</v>
      </c>
      <c r="G12" s="91" t="s">
        <v>8979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24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8966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/>
      <c r="E19" s="2"/>
      <c r="F19" s="91"/>
      <c r="G19" s="91"/>
      <c r="H19" s="91"/>
    </row>
    <row r="20" spans="1:8" x14ac:dyDescent="0.2">
      <c r="A20" s="144" t="s">
        <v>4249</v>
      </c>
      <c r="B20" s="91"/>
      <c r="C20" s="91"/>
      <c r="D20" s="91" t="s">
        <v>4732</v>
      </c>
      <c r="E20" s="91"/>
      <c r="F20" s="91"/>
      <c r="G20" s="91"/>
      <c r="H20" s="91">
        <v>90</v>
      </c>
    </row>
    <row r="21" spans="1:8" x14ac:dyDescent="0.2">
      <c r="A21" s="105" t="s">
        <v>8965</v>
      </c>
      <c r="B21" s="91"/>
      <c r="C21" s="91"/>
      <c r="D21" s="91" t="s">
        <v>8980</v>
      </c>
      <c r="E21" s="91"/>
      <c r="F21" s="91"/>
      <c r="G21" s="91"/>
      <c r="H21" s="91">
        <v>14</v>
      </c>
    </row>
    <row r="22" spans="1:8" x14ac:dyDescent="0.2">
      <c r="A22" s="137"/>
      <c r="B22" s="91"/>
      <c r="C22" s="91"/>
      <c r="D22" s="91"/>
      <c r="E22" s="91"/>
      <c r="F22" s="91"/>
      <c r="G22" s="91"/>
      <c r="H22" s="91"/>
    </row>
    <row r="23" spans="1:8" x14ac:dyDescent="0.2">
      <c r="A23" s="106"/>
      <c r="B23" s="91"/>
      <c r="C23" s="91"/>
      <c r="D23" s="91"/>
      <c r="E23" s="91"/>
      <c r="F23" s="91"/>
      <c r="G23" s="91"/>
      <c r="H23" s="91"/>
    </row>
    <row r="24" spans="1:8" x14ac:dyDescent="0.2">
      <c r="A24" s="462"/>
      <c r="B24" s="462"/>
      <c r="C24" s="462"/>
      <c r="D24" s="91"/>
      <c r="E24" s="91"/>
      <c r="F24" s="462"/>
      <c r="G24" s="462"/>
      <c r="H24" s="462"/>
    </row>
    <row r="25" spans="1:8" x14ac:dyDescent="0.2">
      <c r="A25" s="137"/>
      <c r="B25" s="91"/>
      <c r="C25" s="91"/>
      <c r="D25" s="91"/>
      <c r="E25" s="91"/>
      <c r="F25" s="91"/>
      <c r="G25" s="91"/>
      <c r="H25" s="91"/>
    </row>
    <row r="26" spans="1:8" x14ac:dyDescent="0.2">
      <c r="A26" s="106"/>
      <c r="B26" s="91"/>
      <c r="C26" s="91"/>
      <c r="D26" s="91"/>
      <c r="E26" s="143"/>
      <c r="F26" s="91"/>
      <c r="G26" s="91"/>
      <c r="H26" s="91"/>
    </row>
    <row r="27" spans="1:8" x14ac:dyDescent="0.2">
      <c r="A27" s="91"/>
      <c r="B27" s="91"/>
      <c r="C27" s="91"/>
      <c r="D27" s="91"/>
      <c r="E27" s="91"/>
      <c r="F27" s="91"/>
      <c r="G27" s="91"/>
      <c r="H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104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Four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99"/>
      <c r="E42" s="425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5AEB-75F3-4B99-AF1F-318D7B11C5A6}">
  <sheetPr codeName="Sheet767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7109375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1300</v>
      </c>
      <c r="G9" s="91" t="s">
        <v>8371</v>
      </c>
    </row>
    <row r="10" spans="1:8" x14ac:dyDescent="0.2">
      <c r="A10" s="91" t="s">
        <v>8373</v>
      </c>
      <c r="F10" s="92" t="s">
        <v>1356</v>
      </c>
      <c r="G10" s="98" t="s">
        <v>8332</v>
      </c>
    </row>
    <row r="11" spans="1:8" x14ac:dyDescent="0.2">
      <c r="A11" s="91" t="s">
        <v>8374</v>
      </c>
      <c r="F11" s="92" t="s">
        <v>1364</v>
      </c>
      <c r="G11" s="92" t="s">
        <v>1220</v>
      </c>
    </row>
    <row r="12" spans="1:8" x14ac:dyDescent="0.2">
      <c r="A12" s="91" t="s">
        <v>8375</v>
      </c>
      <c r="F12" s="92" t="s">
        <v>1224</v>
      </c>
      <c r="G12" s="92" t="s">
        <v>8372</v>
      </c>
    </row>
    <row r="13" spans="1:8" x14ac:dyDescent="0.2">
      <c r="A13" s="91" t="s">
        <v>1314</v>
      </c>
      <c r="G13" s="91" t="s">
        <v>8348</v>
      </c>
    </row>
    <row r="16" spans="1:8" s="14" customFormat="1" ht="20.100000000000001" customHeight="1" x14ac:dyDescent="0.2">
      <c r="A16" s="17" t="s">
        <v>1247</v>
      </c>
      <c r="B16" s="487" t="s">
        <v>128</v>
      </c>
      <c r="C16" s="487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4243</v>
      </c>
      <c r="E18" s="2"/>
    </row>
    <row r="19" spans="1:8" x14ac:dyDescent="0.2">
      <c r="A19" s="106"/>
      <c r="D19" s="2"/>
      <c r="E19" s="2"/>
    </row>
    <row r="20" spans="1:8" x14ac:dyDescent="0.2">
      <c r="A20" s="137" t="s">
        <v>8376</v>
      </c>
      <c r="B20" s="93" t="s">
        <v>8377</v>
      </c>
      <c r="C20" s="94"/>
      <c r="D20" s="91" t="s">
        <v>8378</v>
      </c>
      <c r="H20" s="91">
        <v>600</v>
      </c>
    </row>
    <row r="21" spans="1:8" x14ac:dyDescent="0.2">
      <c r="A21" s="106"/>
    </row>
    <row r="22" spans="1:8" x14ac:dyDescent="0.2">
      <c r="A22" s="106"/>
    </row>
    <row r="23" spans="1:8" x14ac:dyDescent="0.2">
      <c r="A23" s="137"/>
    </row>
    <row r="24" spans="1:8" x14ac:dyDescent="0.2">
      <c r="A24" s="137"/>
    </row>
    <row r="25" spans="1:8" x14ac:dyDescent="0.2">
      <c r="A25" s="106"/>
      <c r="D25" s="143"/>
      <c r="E25" s="143"/>
    </row>
    <row r="26" spans="1:8" x14ac:dyDescent="0.2">
      <c r="A26" s="106"/>
      <c r="D26" s="143"/>
      <c r="E26" s="143"/>
    </row>
    <row r="27" spans="1:8" x14ac:dyDescent="0.2">
      <c r="A27" s="106"/>
      <c r="D27" s="143"/>
      <c r="E27" s="143"/>
    </row>
    <row r="28" spans="1:8" x14ac:dyDescent="0.2">
      <c r="A28" s="106"/>
    </row>
    <row r="30" spans="1:8" x14ac:dyDescent="0.2">
      <c r="A30" s="106"/>
    </row>
    <row r="31" spans="1:8" x14ac:dyDescent="0.2">
      <c r="A31" s="106"/>
    </row>
    <row r="33" spans="1:8" x14ac:dyDescent="0.2">
      <c r="A33" s="106"/>
    </row>
    <row r="34" spans="1:8" x14ac:dyDescent="0.2">
      <c r="A34" s="106"/>
    </row>
    <row r="35" spans="1:8" ht="13.5" thickBot="1" x14ac:dyDescent="0.25">
      <c r="A35" s="106"/>
      <c r="H35" s="107">
        <f>SUM(H19:H33)</f>
        <v>600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A42" s="91" t="s">
        <v>120</v>
      </c>
      <c r="D42" s="488"/>
      <c r="E42" s="488"/>
      <c r="F42" s="228"/>
      <c r="G42" s="229"/>
      <c r="H42" s="229"/>
    </row>
    <row r="43" spans="1:8" x14ac:dyDescent="0.2">
      <c r="A43" s="101"/>
      <c r="B43" s="101"/>
      <c r="C43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C49" s="386"/>
      <c r="D49" s="101"/>
      <c r="F49" s="101"/>
      <c r="G49" s="101"/>
      <c r="H49" s="101"/>
    </row>
    <row r="50" spans="1:8" s="61" customFormat="1" ht="17.100000000000001" customHeight="1" x14ac:dyDescent="0.2">
      <c r="A50" s="61" t="s">
        <v>4066</v>
      </c>
      <c r="B50" s="104"/>
      <c r="C50" s="104"/>
      <c r="D50" s="61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1FFB-2369-4500-82F3-5DB875D8E6A9}">
  <sheetPr codeName="Sheet768">
    <tabColor rgb="FFFFFF00"/>
  </sheetPr>
  <dimension ref="A1:R63"/>
  <sheetViews>
    <sheetView view="pageBreakPreview" topLeftCell="A7" zoomScaleNormal="100" zoomScaleSheetLayoutView="100" workbookViewId="0">
      <selection activeCell="F42" sqref="F42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  <c r="K3" s="91" t="s">
        <v>7912</v>
      </c>
      <c r="L3" s="91"/>
      <c r="M3" s="91"/>
      <c r="N3" s="91"/>
      <c r="O3" s="91">
        <f>9300*3.0631</f>
        <v>28486.829999999998</v>
      </c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  <c r="K4" s="91" t="s">
        <v>7913</v>
      </c>
      <c r="O4" s="91"/>
    </row>
    <row r="5" spans="1:15" x14ac:dyDescent="0.2">
      <c r="K5" s="143" t="s">
        <v>7433</v>
      </c>
      <c r="O5" s="91"/>
    </row>
    <row r="7" spans="1:15" x14ac:dyDescent="0.2">
      <c r="K7" s="91" t="s">
        <v>52</v>
      </c>
      <c r="O7" s="91">
        <v>10</v>
      </c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  <c r="K8" s="91"/>
      <c r="L8" s="91"/>
      <c r="M8" s="91"/>
      <c r="N8" s="91"/>
      <c r="O8" s="91"/>
    </row>
    <row r="9" spans="1:15" x14ac:dyDescent="0.2">
      <c r="A9" s="91"/>
      <c r="B9" s="91"/>
      <c r="C9" s="91"/>
      <c r="D9" s="91"/>
      <c r="E9" s="91"/>
      <c r="F9" s="92" t="s">
        <v>30</v>
      </c>
      <c r="G9" s="153" t="s">
        <v>8993</v>
      </c>
      <c r="H9" s="91"/>
      <c r="K9" s="91"/>
      <c r="L9" s="91"/>
      <c r="M9" s="91"/>
      <c r="N9" s="91"/>
      <c r="O9" s="91"/>
    </row>
    <row r="10" spans="1:15" x14ac:dyDescent="0.2">
      <c r="A10" s="91" t="s">
        <v>8270</v>
      </c>
      <c r="B10" s="91"/>
      <c r="C10" s="91"/>
      <c r="D10" s="91"/>
      <c r="E10" s="91"/>
      <c r="F10" s="92" t="s">
        <v>27</v>
      </c>
      <c r="G10" s="153" t="s">
        <v>8852</v>
      </c>
      <c r="H10" s="91"/>
      <c r="J10" s="20"/>
      <c r="K10" s="91" t="s">
        <v>7028</v>
      </c>
      <c r="L10" s="91"/>
      <c r="M10" s="91"/>
    </row>
    <row r="11" spans="1:15" x14ac:dyDescent="0.2">
      <c r="A11" s="91" t="s">
        <v>8271</v>
      </c>
      <c r="B11" s="91"/>
      <c r="C11" s="91"/>
      <c r="D11" s="91"/>
      <c r="E11" s="91"/>
      <c r="F11" s="92" t="s">
        <v>24</v>
      </c>
      <c r="G11" s="153" t="s">
        <v>1220</v>
      </c>
      <c r="H11" s="91"/>
      <c r="J11" s="19"/>
      <c r="K11" s="91" t="s">
        <v>7029</v>
      </c>
    </row>
    <row r="12" spans="1:15" x14ac:dyDescent="0.2">
      <c r="A12" s="91" t="s">
        <v>8272</v>
      </c>
      <c r="B12" s="91"/>
      <c r="C12" s="91"/>
      <c r="D12" s="91"/>
      <c r="E12" s="91"/>
      <c r="F12" s="92" t="s">
        <v>22</v>
      </c>
      <c r="G12" s="153" t="s">
        <v>770</v>
      </c>
      <c r="H12" s="91"/>
      <c r="K12" s="91"/>
    </row>
    <row r="13" spans="1:15" x14ac:dyDescent="0.2">
      <c r="A13" s="91" t="s">
        <v>8273</v>
      </c>
      <c r="B13" s="91"/>
      <c r="C13" s="91"/>
      <c r="D13" s="91"/>
      <c r="E13" s="91"/>
      <c r="F13" s="91"/>
      <c r="G13" s="153"/>
      <c r="H13" s="91"/>
      <c r="K13" s="91" t="s">
        <v>52</v>
      </c>
    </row>
    <row r="14" spans="1:15" x14ac:dyDescent="0.2">
      <c r="A14" s="91"/>
      <c r="B14" s="91"/>
      <c r="C14" s="91"/>
      <c r="D14" s="91"/>
      <c r="E14" s="91"/>
      <c r="F14" s="91"/>
      <c r="G14" s="153"/>
      <c r="H14" s="91"/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 t="s">
        <v>6646</v>
      </c>
      <c r="L15" s="91"/>
      <c r="M15" s="91"/>
      <c r="N15" s="91"/>
      <c r="O15" s="91">
        <f>4050*2.9926996</f>
        <v>12120.43338</v>
      </c>
    </row>
    <row r="16" spans="1:15" s="14" customFormat="1" ht="20.100000000000001" customHeight="1" x14ac:dyDescent="0.2">
      <c r="A16" s="17" t="s">
        <v>1247</v>
      </c>
      <c r="B16" s="483" t="s">
        <v>128</v>
      </c>
      <c r="C16" s="483"/>
      <c r="D16" s="18" t="s">
        <v>19</v>
      </c>
      <c r="E16" s="18"/>
      <c r="F16" s="17"/>
      <c r="G16" s="16"/>
      <c r="H16" s="15" t="s">
        <v>18</v>
      </c>
      <c r="K16" s="91"/>
      <c r="L16" s="1"/>
      <c r="M16" s="1"/>
      <c r="N16" s="1"/>
      <c r="O16" s="91"/>
    </row>
    <row r="17" spans="1:18" x14ac:dyDescent="0.2">
      <c r="A17" s="91"/>
      <c r="B17" s="91"/>
      <c r="C17" s="91"/>
      <c r="D17" s="91"/>
      <c r="E17" s="91"/>
      <c r="F17" s="91"/>
      <c r="G17" s="91"/>
      <c r="H17" s="91"/>
      <c r="K17" s="91" t="s">
        <v>6644</v>
      </c>
      <c r="O17" s="91"/>
    </row>
    <row r="18" spans="1:18" x14ac:dyDescent="0.2">
      <c r="A18" s="91"/>
      <c r="B18" s="91"/>
      <c r="C18" s="91"/>
      <c r="D18" s="2" t="s">
        <v>4311</v>
      </c>
      <c r="E18" s="2"/>
      <c r="F18" s="91"/>
      <c r="G18" s="91"/>
      <c r="H18" s="91"/>
    </row>
    <row r="19" spans="1:18" x14ac:dyDescent="0.2">
      <c r="A19" s="91"/>
      <c r="B19" s="91"/>
      <c r="C19" s="91"/>
      <c r="D19" s="2"/>
      <c r="E19" s="2"/>
      <c r="F19" s="91"/>
      <c r="G19" s="91"/>
      <c r="H19" s="91"/>
      <c r="K19" s="91" t="s">
        <v>6643</v>
      </c>
      <c r="L19" s="91"/>
      <c r="M19" s="91"/>
      <c r="N19" s="91"/>
      <c r="O19" s="91">
        <f>9300*2.9926996</f>
        <v>27832.10628</v>
      </c>
    </row>
    <row r="20" spans="1:18" x14ac:dyDescent="0.2">
      <c r="A20" s="93" t="s">
        <v>8722</v>
      </c>
      <c r="B20" s="93" t="s">
        <v>8994</v>
      </c>
      <c r="C20" s="93"/>
      <c r="D20" s="91" t="s">
        <v>8995</v>
      </c>
      <c r="E20" s="91"/>
      <c r="F20" s="91"/>
      <c r="G20" s="91"/>
      <c r="H20" s="91">
        <f>9187*4.4087</f>
        <v>40502.726899999994</v>
      </c>
      <c r="K20" s="91"/>
      <c r="L20" s="91"/>
      <c r="M20" s="91"/>
      <c r="N20" s="91"/>
      <c r="O20" s="91"/>
    </row>
    <row r="21" spans="1:18" x14ac:dyDescent="0.2">
      <c r="A21" s="91"/>
      <c r="B21" s="94"/>
      <c r="C21" s="94"/>
      <c r="D21" s="91"/>
      <c r="H21" s="91"/>
      <c r="K21" s="91" t="s">
        <v>6645</v>
      </c>
      <c r="L21" s="91"/>
      <c r="O21" s="91"/>
    </row>
    <row r="22" spans="1:18" x14ac:dyDescent="0.2">
      <c r="A22" s="93"/>
      <c r="B22" s="93"/>
      <c r="C22" s="93"/>
      <c r="D22" s="91" t="s">
        <v>8996</v>
      </c>
      <c r="H22" s="91"/>
    </row>
    <row r="23" spans="1:18" x14ac:dyDescent="0.2">
      <c r="D23" s="91"/>
      <c r="E23" s="91"/>
      <c r="F23" s="91"/>
      <c r="G23" s="91"/>
      <c r="H23" s="91"/>
      <c r="K23" s="91" t="s">
        <v>3965</v>
      </c>
      <c r="O23" s="91">
        <v>10</v>
      </c>
    </row>
    <row r="24" spans="1:18" x14ac:dyDescent="0.2">
      <c r="A24" s="93"/>
      <c r="B24" s="93"/>
      <c r="C24" s="94"/>
      <c r="D24" s="91" t="s">
        <v>52</v>
      </c>
      <c r="H24" s="91">
        <v>30</v>
      </c>
      <c r="K24" s="91"/>
      <c r="L24" s="91"/>
    </row>
    <row r="25" spans="1:18" x14ac:dyDescent="0.2">
      <c r="A25" s="93"/>
      <c r="B25" s="93"/>
      <c r="C25" s="93"/>
      <c r="D25" s="91"/>
      <c r="E25" s="91"/>
      <c r="F25" s="91"/>
      <c r="G25" s="91"/>
      <c r="H25" s="91"/>
      <c r="K25" s="91" t="s">
        <v>6932</v>
      </c>
      <c r="L25" s="91"/>
      <c r="M25" s="91"/>
      <c r="N25" s="91"/>
      <c r="O25" s="91">
        <f>9300*3.0413</f>
        <v>28284.09</v>
      </c>
    </row>
    <row r="26" spans="1:18" x14ac:dyDescent="0.2">
      <c r="A26" s="91"/>
      <c r="B26" s="91"/>
      <c r="C26" s="91"/>
      <c r="D26" s="91"/>
      <c r="E26" s="91"/>
      <c r="F26" s="91"/>
      <c r="G26" s="91"/>
      <c r="H26" s="91"/>
      <c r="K26" s="91" t="s">
        <v>6933</v>
      </c>
      <c r="O26" s="91"/>
    </row>
    <row r="27" spans="1:18" x14ac:dyDescent="0.2">
      <c r="A27" s="93"/>
      <c r="B27" s="93"/>
      <c r="C27" s="94"/>
      <c r="D27" s="91"/>
      <c r="E27" s="91"/>
      <c r="H27" s="91"/>
      <c r="K27" s="91"/>
      <c r="O27" s="91"/>
    </row>
    <row r="28" spans="1:18" x14ac:dyDescent="0.2">
      <c r="A28" s="91"/>
      <c r="B28" s="91"/>
      <c r="C28" s="91"/>
      <c r="D28" s="389">
        <v>4.4087003374333298</v>
      </c>
      <c r="K28" s="91" t="s">
        <v>6934</v>
      </c>
      <c r="O28" s="91">
        <f>4050*3.0413</f>
        <v>12317.265000000001</v>
      </c>
    </row>
    <row r="29" spans="1:18" x14ac:dyDescent="0.2">
      <c r="A29" s="91"/>
      <c r="B29" s="91"/>
      <c r="C29" s="91"/>
      <c r="D29" s="91"/>
      <c r="H29" s="91"/>
      <c r="K29" s="91" t="s">
        <v>6935</v>
      </c>
      <c r="L29" s="91"/>
      <c r="M29" s="91"/>
      <c r="N29" s="91"/>
      <c r="O29" s="91"/>
    </row>
    <row r="30" spans="1:18" x14ac:dyDescent="0.2">
      <c r="A30" s="91"/>
      <c r="B30" s="91"/>
      <c r="C30" s="91"/>
      <c r="K30" s="93" t="s">
        <v>7628</v>
      </c>
      <c r="L30" s="93" t="s">
        <v>7696</v>
      </c>
      <c r="M30" s="94"/>
      <c r="N30" s="91" t="s">
        <v>7693</v>
      </c>
      <c r="R30" s="91">
        <f>18200*3.0647</f>
        <v>55777.54</v>
      </c>
    </row>
    <row r="31" spans="1:18" x14ac:dyDescent="0.2">
      <c r="A31" s="91"/>
      <c r="B31" s="91"/>
      <c r="C31" s="91"/>
      <c r="K31" s="93"/>
      <c r="L31" s="93"/>
      <c r="M31" s="93"/>
      <c r="N31" s="91" t="s">
        <v>7692</v>
      </c>
      <c r="O31" s="91"/>
      <c r="P31" s="91"/>
      <c r="Q31" s="91"/>
      <c r="R31" s="91"/>
    </row>
    <row r="32" spans="1:18" x14ac:dyDescent="0.2">
      <c r="A32" s="91"/>
      <c r="B32" s="91"/>
      <c r="C32" s="91"/>
      <c r="K32" s="93" t="s">
        <v>7628</v>
      </c>
      <c r="L32" s="93" t="s">
        <v>7695</v>
      </c>
      <c r="M32" s="94"/>
      <c r="N32" s="91" t="s">
        <v>7694</v>
      </c>
      <c r="O32" s="91"/>
      <c r="R32" s="91">
        <f>3000*3.0647</f>
        <v>9194.1</v>
      </c>
    </row>
    <row r="33" spans="1:15" x14ac:dyDescent="0.2">
      <c r="A33" s="91"/>
      <c r="B33" s="91"/>
      <c r="C33" s="91"/>
      <c r="D33" s="91"/>
      <c r="E33" s="91"/>
      <c r="F33" s="91"/>
      <c r="G33" s="91"/>
      <c r="H33" s="91"/>
    </row>
    <row r="34" spans="1:15" ht="13.5" thickBot="1" x14ac:dyDescent="0.25">
      <c r="A34" s="91"/>
      <c r="B34" s="91"/>
      <c r="C34" s="91"/>
      <c r="D34" s="91"/>
      <c r="E34" s="91"/>
      <c r="F34" s="91"/>
      <c r="G34" s="91"/>
      <c r="H34" s="107">
        <f>SUM(H18:H33)</f>
        <v>40532.726899999994</v>
      </c>
    </row>
    <row r="35" spans="1:15" ht="13.5" thickTop="1" x14ac:dyDescent="0.2">
      <c r="A35" s="91"/>
      <c r="B35" s="91"/>
      <c r="C35" s="91"/>
      <c r="D35" s="91"/>
      <c r="E35" s="91"/>
    </row>
    <row r="36" spans="1:15" ht="20.100000000000001" customHeight="1" x14ac:dyDescent="0.2">
      <c r="A36" s="96" t="s">
        <v>336</v>
      </c>
      <c r="B36" s="213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Forty Thousand Five Hundred Thirty-Two and 73/100 -----------</v>
      </c>
      <c r="C36" s="213"/>
      <c r="D36" s="97"/>
      <c r="E36" s="97"/>
      <c r="F36" s="97"/>
      <c r="G36" s="97"/>
      <c r="H36" s="97"/>
      <c r="K36" s="91" t="s">
        <v>7974</v>
      </c>
      <c r="L36" s="91"/>
      <c r="M36" s="91"/>
      <c r="N36" s="91"/>
      <c r="O36" s="91">
        <f>18200*3.0812</f>
        <v>56077.84</v>
      </c>
    </row>
    <row r="37" spans="1:15" ht="20.100000000000001" customHeight="1" x14ac:dyDescent="0.2">
      <c r="A37" s="113"/>
      <c r="B37" s="225"/>
      <c r="C37" s="225"/>
      <c r="D37" s="61"/>
      <c r="E37" s="61"/>
      <c r="F37" s="61"/>
      <c r="G37" s="61"/>
      <c r="H37" s="61"/>
      <c r="K37" s="91" t="s">
        <v>7975</v>
      </c>
      <c r="O37" s="91"/>
    </row>
    <row r="38" spans="1:15" ht="25.5" x14ac:dyDescent="0.2">
      <c r="A38" s="94" t="s">
        <v>3973</v>
      </c>
      <c r="B38" s="91"/>
      <c r="C38" s="91"/>
      <c r="D38" s="91"/>
      <c r="E38" s="91"/>
      <c r="F38" s="218" t="s">
        <v>3975</v>
      </c>
      <c r="G38" s="219"/>
      <c r="H38" s="220"/>
      <c r="K38" s="143"/>
      <c r="O38" s="91"/>
    </row>
    <row r="39" spans="1:15" x14ac:dyDescent="0.2">
      <c r="A39" s="91"/>
      <c r="B39" s="91"/>
      <c r="C39" s="91"/>
      <c r="D39" s="91"/>
      <c r="E39" s="91"/>
      <c r="F39" s="228"/>
      <c r="G39" s="229"/>
      <c r="H39" s="229"/>
      <c r="K39" s="91" t="s">
        <v>7976</v>
      </c>
      <c r="O39" s="91">
        <f>3000*3.0812</f>
        <v>9243.6</v>
      </c>
    </row>
    <row r="40" spans="1:15" x14ac:dyDescent="0.2">
      <c r="B40" s="91"/>
      <c r="C40" s="91"/>
      <c r="D40" s="91"/>
      <c r="E40" s="91"/>
      <c r="F40" s="91"/>
      <c r="G40" s="91"/>
      <c r="H40" s="91"/>
      <c r="K40" s="91" t="s">
        <v>7977</v>
      </c>
      <c r="O40" s="91"/>
    </row>
    <row r="41" spans="1:15" x14ac:dyDescent="0.2">
      <c r="A41" s="91"/>
      <c r="B41" s="91"/>
      <c r="C41" s="91"/>
      <c r="D41" s="91"/>
      <c r="E41" s="91"/>
      <c r="F41" s="91"/>
      <c r="G41" s="91"/>
      <c r="H41" s="91"/>
      <c r="K41" s="91"/>
      <c r="L41" s="91"/>
      <c r="M41" s="91"/>
      <c r="N41" s="91"/>
      <c r="O41" s="91"/>
    </row>
    <row r="42" spans="1:15" x14ac:dyDescent="0.2">
      <c r="A42" s="101"/>
      <c r="B42" s="101"/>
      <c r="C42" s="91"/>
      <c r="D42" s="91"/>
      <c r="E42" s="91"/>
      <c r="F42" s="91"/>
      <c r="G42" s="91"/>
      <c r="H42" s="91"/>
    </row>
    <row r="43" spans="1:15" x14ac:dyDescent="0.2">
      <c r="A43" s="91"/>
      <c r="B43" s="91"/>
      <c r="C43" s="91"/>
      <c r="D43" s="91"/>
      <c r="E43" s="91"/>
      <c r="F43" s="91"/>
      <c r="G43" s="91"/>
      <c r="H43" s="91"/>
    </row>
    <row r="44" spans="1:15" x14ac:dyDescent="0.2">
      <c r="A44" s="98" t="s">
        <v>8</v>
      </c>
      <c r="B44" s="91"/>
      <c r="C44" s="91"/>
      <c r="D44" s="98" t="s">
        <v>8</v>
      </c>
      <c r="E44" s="91"/>
      <c r="F44" s="98" t="s">
        <v>7</v>
      </c>
      <c r="G44" s="91"/>
      <c r="H44" s="102"/>
    </row>
    <row r="45" spans="1:15" x14ac:dyDescent="0.2">
      <c r="A45" s="91"/>
      <c r="B45" s="91"/>
      <c r="C45" s="91"/>
      <c r="D45" s="91"/>
      <c r="E45" s="91"/>
      <c r="F45" s="91"/>
      <c r="G45" s="91"/>
      <c r="H45" s="91"/>
    </row>
    <row r="46" spans="1:15" x14ac:dyDescent="0.2">
      <c r="A46" s="91"/>
      <c r="B46" s="91"/>
      <c r="C46" s="91"/>
      <c r="D46" s="91"/>
      <c r="E46" s="91"/>
      <c r="F46" s="91"/>
      <c r="G46" s="91"/>
      <c r="H46" s="91"/>
    </row>
    <row r="47" spans="1:15" x14ac:dyDescent="0.2">
      <c r="A47" s="91"/>
      <c r="B47" s="91"/>
      <c r="C47" s="91"/>
      <c r="D47" s="91"/>
      <c r="E47" s="91"/>
      <c r="F47" s="91"/>
      <c r="G47" s="91"/>
      <c r="H47" s="91"/>
    </row>
    <row r="48" spans="1:15" x14ac:dyDescent="0.2">
      <c r="A48" s="101"/>
      <c r="B48" s="101"/>
      <c r="C48" s="91"/>
      <c r="D48" s="101"/>
      <c r="E48" s="91"/>
      <c r="F48" s="101"/>
      <c r="G48" s="101"/>
      <c r="H48" s="101"/>
    </row>
    <row r="49" spans="1:8" s="3" customFormat="1" ht="17.100000000000001" customHeight="1" x14ac:dyDescent="0.2">
      <c r="A49" s="103" t="s">
        <v>4066</v>
      </c>
      <c r="B49" s="104"/>
      <c r="C49" s="104"/>
      <c r="D49" s="103" t="s">
        <v>50</v>
      </c>
      <c r="E49" s="61"/>
      <c r="F49" s="61" t="s">
        <v>3</v>
      </c>
      <c r="G49" s="61"/>
      <c r="H49" s="61"/>
    </row>
    <row r="50" spans="1:8" x14ac:dyDescent="0.2">
      <c r="A50" s="91"/>
      <c r="B50" s="91"/>
      <c r="C50" s="91"/>
      <c r="D50" s="91"/>
      <c r="E50" s="91"/>
      <c r="F50" s="91" t="s">
        <v>2</v>
      </c>
      <c r="G50" s="91"/>
      <c r="H50" s="91"/>
    </row>
    <row r="51" spans="1:8" x14ac:dyDescent="0.2">
      <c r="A51" s="91"/>
      <c r="B51" s="91"/>
      <c r="C51" s="91"/>
      <c r="D51" s="91"/>
      <c r="E51" s="91"/>
      <c r="F51" s="91"/>
      <c r="G51" s="91"/>
      <c r="H51" s="91"/>
    </row>
    <row r="52" spans="1:8" x14ac:dyDescent="0.2">
      <c r="A52" s="91"/>
      <c r="B52" s="91"/>
      <c r="C52" s="91"/>
      <c r="D52" s="91"/>
      <c r="E52" s="91"/>
      <c r="F52" s="2" t="s">
        <v>1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0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8C3E-2943-48E7-A559-F99CB049B583}">
  <sheetPr codeName="Sheet744"/>
  <dimension ref="A1:H56"/>
  <sheetViews>
    <sheetView view="pageBreakPreview" zoomScaleNormal="100" zoomScaleSheetLayoutView="100" workbookViewId="0">
      <selection activeCell="G9" sqref="G9:G12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53" t="s">
        <v>7701</v>
      </c>
      <c r="H9" s="153"/>
    </row>
    <row r="10" spans="1:8" x14ac:dyDescent="0.2">
      <c r="A10" s="153" t="s">
        <v>7702</v>
      </c>
      <c r="B10" s="153"/>
      <c r="C10" s="153"/>
      <c r="D10" s="153"/>
      <c r="E10" s="153"/>
      <c r="F10" s="155" t="s">
        <v>1357</v>
      </c>
      <c r="G10" s="155" t="s">
        <v>7697</v>
      </c>
      <c r="H10" s="153"/>
    </row>
    <row r="11" spans="1:8" x14ac:dyDescent="0.2">
      <c r="A11" s="153" t="s">
        <v>7703</v>
      </c>
      <c r="B11" s="153"/>
      <c r="C11" s="153"/>
      <c r="D11" s="153"/>
      <c r="E11" s="153"/>
      <c r="F11" s="155" t="s">
        <v>1330</v>
      </c>
      <c r="G11" s="155" t="s">
        <v>2625</v>
      </c>
      <c r="H11" s="153"/>
    </row>
    <row r="12" spans="1:8" x14ac:dyDescent="0.2">
      <c r="A12" s="153" t="s">
        <v>7704</v>
      </c>
      <c r="B12" s="153"/>
      <c r="C12" s="153"/>
      <c r="D12" s="153"/>
      <c r="E12" s="153"/>
      <c r="F12" s="155" t="s">
        <v>1377</v>
      </c>
      <c r="G12" s="155" t="s">
        <v>770</v>
      </c>
      <c r="H12" s="153"/>
    </row>
    <row r="13" spans="1:8" x14ac:dyDescent="0.2">
      <c r="A13" s="153" t="s">
        <v>3914</v>
      </c>
      <c r="B13" s="153"/>
      <c r="C13" s="153"/>
      <c r="D13" s="153"/>
      <c r="E13" s="153"/>
      <c r="F13" s="153"/>
      <c r="G13" s="153"/>
      <c r="H13" s="153"/>
    </row>
    <row r="14" spans="1:8" x14ac:dyDescent="0.2">
      <c r="A14" s="153"/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79"/>
      <c r="B18" s="153"/>
      <c r="C18" s="153"/>
      <c r="D18" s="163" t="s">
        <v>6889</v>
      </c>
      <c r="E18" s="163"/>
      <c r="F18" s="153"/>
      <c r="G18" s="153"/>
      <c r="H18" s="153"/>
    </row>
    <row r="19" spans="1:8" x14ac:dyDescent="0.2">
      <c r="A19" s="153"/>
      <c r="B19" s="153"/>
      <c r="C19" s="153"/>
      <c r="D19" s="163"/>
      <c r="E19" s="163"/>
      <c r="F19" s="153"/>
      <c r="G19" s="153"/>
      <c r="H19" s="153"/>
    </row>
    <row r="20" spans="1:8" x14ac:dyDescent="0.2">
      <c r="A20" s="187" t="s">
        <v>7604</v>
      </c>
      <c r="B20" s="168" t="s">
        <v>7705</v>
      </c>
      <c r="C20" s="153"/>
      <c r="D20" s="169" t="s">
        <v>7706</v>
      </c>
      <c r="E20" s="169"/>
      <c r="F20" s="153"/>
      <c r="G20" s="153"/>
      <c r="H20" s="153">
        <f>850*4.176505</f>
        <v>3550.0292499999996</v>
      </c>
    </row>
    <row r="21" spans="1:8" x14ac:dyDescent="0.2">
      <c r="A21" s="199"/>
      <c r="B21" s="153"/>
      <c r="C21" s="153"/>
      <c r="D21" s="153" t="s">
        <v>52</v>
      </c>
      <c r="E21" s="153"/>
      <c r="H21" s="153">
        <v>30</v>
      </c>
    </row>
    <row r="22" spans="1:8" x14ac:dyDescent="0.2">
      <c r="A22" s="179"/>
      <c r="B22" s="267"/>
      <c r="C22" s="267"/>
      <c r="D22" s="153"/>
      <c r="E22" s="153"/>
      <c r="F22" s="153"/>
      <c r="G22" s="153"/>
      <c r="H22" s="153"/>
    </row>
    <row r="23" spans="1:8" x14ac:dyDescent="0.2">
      <c r="D23" s="153"/>
      <c r="E23" s="153"/>
      <c r="H23" s="153"/>
    </row>
    <row r="24" spans="1:8" x14ac:dyDescent="0.2">
      <c r="A24" s="198"/>
      <c r="B24" s="153"/>
      <c r="C24" s="153"/>
    </row>
    <row r="25" spans="1:8" x14ac:dyDescent="0.2">
      <c r="A25" s="199"/>
      <c r="B25" s="153"/>
      <c r="C25" s="153"/>
      <c r="D25" s="153"/>
      <c r="E25" s="153"/>
      <c r="H25" s="153"/>
    </row>
    <row r="26" spans="1:8" x14ac:dyDescent="0.2">
      <c r="A26" s="179"/>
    </row>
    <row r="27" spans="1:8" x14ac:dyDescent="0.2">
      <c r="B27" s="153"/>
      <c r="C27" s="153"/>
      <c r="D27" s="153"/>
      <c r="E27" s="153"/>
      <c r="H27" s="153"/>
    </row>
    <row r="28" spans="1:8" x14ac:dyDescent="0.2">
      <c r="A28" s="198"/>
      <c r="B28" s="153"/>
      <c r="C28" s="153"/>
      <c r="D28" s="163"/>
      <c r="E28" s="163"/>
      <c r="H28" s="153"/>
    </row>
    <row r="29" spans="1:8" x14ac:dyDescent="0.2">
      <c r="A29" s="199"/>
      <c r="B29" s="153"/>
      <c r="C29" s="153"/>
      <c r="D29" s="153"/>
      <c r="E29" s="153"/>
      <c r="H29" s="153"/>
    </row>
    <row r="30" spans="1:8" x14ac:dyDescent="0.2">
      <c r="A30" s="198"/>
      <c r="B30" s="153"/>
      <c r="C30" s="153"/>
      <c r="D30" s="153"/>
      <c r="E30" s="153"/>
      <c r="H30" s="153"/>
    </row>
    <row r="31" spans="1:8" x14ac:dyDescent="0.2">
      <c r="A31" s="199"/>
      <c r="B31" s="153"/>
      <c r="C31" s="153"/>
      <c r="D31" s="163"/>
      <c r="E31" s="163"/>
      <c r="H31" s="153"/>
    </row>
    <row r="32" spans="1:8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423">
        <f>SUM(H19:H34)</f>
        <v>3580.0292499999996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Five Hundred Eighty and 3/100 -----------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034A-11BE-4FEB-B351-7D79A0DABEB1}">
  <sheetPr codeName="Sheet719">
    <pageSetUpPr fitToPage="1"/>
  </sheetPr>
  <dimension ref="A1:Q53"/>
  <sheetViews>
    <sheetView topLeftCell="A4" zoomScaleNormal="100"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1.85546875" style="91" customWidth="1"/>
    <col min="3" max="3" width="1" style="91" customWidth="1"/>
    <col min="4" max="4" width="21.5703125" style="91" customWidth="1"/>
    <col min="5" max="5" width="0.71093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7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7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7" x14ac:dyDescent="0.2">
      <c r="A8" s="91" t="s">
        <v>32</v>
      </c>
      <c r="F8" s="22" t="s">
        <v>31</v>
      </c>
    </row>
    <row r="9" spans="1:17" x14ac:dyDescent="0.2">
      <c r="F9" s="92" t="s">
        <v>1393</v>
      </c>
      <c r="G9" s="155" t="s">
        <v>7339</v>
      </c>
    </row>
    <row r="10" spans="1:17" x14ac:dyDescent="0.2">
      <c r="A10" s="91" t="s">
        <v>7340</v>
      </c>
      <c r="F10" s="92" t="s">
        <v>1356</v>
      </c>
      <c r="G10" s="155" t="s">
        <v>7290</v>
      </c>
    </row>
    <row r="11" spans="1:17" x14ac:dyDescent="0.2">
      <c r="A11" s="91" t="s">
        <v>7341</v>
      </c>
      <c r="F11" s="92" t="s">
        <v>1364</v>
      </c>
      <c r="G11" s="155" t="s">
        <v>1220</v>
      </c>
    </row>
    <row r="12" spans="1:17" x14ac:dyDescent="0.2">
      <c r="A12" s="91" t="s">
        <v>7342</v>
      </c>
      <c r="F12" s="92" t="s">
        <v>1394</v>
      </c>
      <c r="G12" s="94" t="s">
        <v>770</v>
      </c>
    </row>
    <row r="13" spans="1:17" x14ac:dyDescent="0.2">
      <c r="A13" s="91" t="s">
        <v>7343</v>
      </c>
      <c r="F13" s="92"/>
    </row>
    <row r="15" spans="1:17" x14ac:dyDescent="0.2">
      <c r="L15" s="91" t="s">
        <v>5750</v>
      </c>
      <c r="P15" s="91">
        <v>2184.6</v>
      </c>
    </row>
    <row r="16" spans="1:17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5" t="s">
        <v>18</v>
      </c>
      <c r="H16" s="205"/>
      <c r="L16" s="61" t="s">
        <v>5751</v>
      </c>
      <c r="M16" s="61"/>
      <c r="N16" s="61"/>
      <c r="O16" s="61"/>
      <c r="P16" s="61">
        <v>4637.3999999999996</v>
      </c>
      <c r="Q16" s="61"/>
    </row>
    <row r="17" spans="1:16" x14ac:dyDescent="0.2">
      <c r="L17" s="91" t="s">
        <v>5752</v>
      </c>
      <c r="P17" s="91">
        <v>4019.08</v>
      </c>
    </row>
    <row r="18" spans="1:16" x14ac:dyDescent="0.2">
      <c r="B18" s="93"/>
      <c r="C18" s="93"/>
      <c r="D18" s="2" t="s">
        <v>6477</v>
      </c>
      <c r="E18" s="2"/>
    </row>
    <row r="19" spans="1:16" x14ac:dyDescent="0.2">
      <c r="A19" s="94"/>
      <c r="L19" s="91" t="s">
        <v>5753</v>
      </c>
      <c r="P19" s="91">
        <v>4000</v>
      </c>
    </row>
    <row r="20" spans="1:16" x14ac:dyDescent="0.2">
      <c r="A20" s="93" t="s">
        <v>7270</v>
      </c>
      <c r="B20" s="93" t="s">
        <v>7344</v>
      </c>
      <c r="C20" s="93"/>
      <c r="D20" s="91" t="s">
        <v>7345</v>
      </c>
      <c r="H20" s="91">
        <f>141045.5/7.396285</f>
        <v>19069.776245777441</v>
      </c>
    </row>
    <row r="21" spans="1:16" x14ac:dyDescent="0.2">
      <c r="A21" s="93"/>
      <c r="B21" s="99"/>
      <c r="D21" s="91" t="s">
        <v>4892</v>
      </c>
      <c r="H21" s="91">
        <f>H20*7%</f>
        <v>1334.8843372044209</v>
      </c>
      <c r="L21" s="91" t="s">
        <v>2147</v>
      </c>
      <c r="P21" s="91">
        <v>890.46</v>
      </c>
    </row>
    <row r="22" spans="1:16" x14ac:dyDescent="0.2">
      <c r="A22" s="93"/>
      <c r="B22" s="99"/>
      <c r="C22" s="93"/>
      <c r="E22" s="191"/>
    </row>
    <row r="23" spans="1:16" x14ac:dyDescent="0.2">
      <c r="A23" s="93"/>
      <c r="B23" s="99"/>
      <c r="D23" s="91" t="s">
        <v>7346</v>
      </c>
    </row>
    <row r="24" spans="1:16" x14ac:dyDescent="0.2">
      <c r="A24" s="93"/>
      <c r="B24" s="99"/>
    </row>
    <row r="25" spans="1:16" x14ac:dyDescent="0.2">
      <c r="A25" s="93"/>
      <c r="B25" s="99"/>
      <c r="D25" s="91" t="s">
        <v>52</v>
      </c>
      <c r="H25" s="91">
        <v>30</v>
      </c>
    </row>
    <row r="26" spans="1:16" x14ac:dyDescent="0.2">
      <c r="A26" s="93"/>
      <c r="B26" s="99"/>
    </row>
    <row r="27" spans="1:16" x14ac:dyDescent="0.2">
      <c r="A27" s="93"/>
      <c r="B27" s="99"/>
      <c r="E27" s="191"/>
    </row>
    <row r="28" spans="1:16" x14ac:dyDescent="0.2">
      <c r="A28" s="93"/>
      <c r="B28" s="93"/>
      <c r="C28" s="93"/>
    </row>
    <row r="30" spans="1:16" x14ac:dyDescent="0.2">
      <c r="A30" s="93"/>
      <c r="B30" s="93"/>
      <c r="C30" s="93"/>
    </row>
    <row r="32" spans="1:16" x14ac:dyDescent="0.2">
      <c r="A32" s="93"/>
      <c r="B32" s="99"/>
      <c r="C32" s="99"/>
    </row>
    <row r="33" spans="1:8" x14ac:dyDescent="0.2">
      <c r="A33" s="93"/>
      <c r="B33" s="93"/>
      <c r="C33" s="93"/>
    </row>
    <row r="34" spans="1:8" ht="13.5" thickBot="1" x14ac:dyDescent="0.25">
      <c r="H34" s="107">
        <f>SUM(H18:H32)</f>
        <v>20434.660582981862</v>
      </c>
    </row>
    <row r="35" spans="1:8" ht="13.5" thickTop="1" x14ac:dyDescent="0.2"/>
    <row r="36" spans="1:8" ht="20.100000000000001" customHeight="1" x14ac:dyDescent="0.2">
      <c r="A36" s="96" t="s">
        <v>1465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 Thousand Four Hundred Thirty-Four and 66/100 -----------</v>
      </c>
      <c r="C36" s="185"/>
      <c r="D36" s="97"/>
      <c r="E36" s="97"/>
      <c r="F36" s="97"/>
      <c r="G36" s="97"/>
      <c r="H36" s="206"/>
    </row>
    <row r="37" spans="1:8" x14ac:dyDescent="0.2">
      <c r="A37" s="94" t="s">
        <v>11</v>
      </c>
    </row>
    <row r="38" spans="1:8" ht="25.5" x14ac:dyDescent="0.2">
      <c r="A38" s="91" t="s">
        <v>10</v>
      </c>
      <c r="F38" s="218" t="s">
        <v>3975</v>
      </c>
      <c r="G38" s="219"/>
      <c r="H38" s="220"/>
    </row>
    <row r="40" spans="1:8" x14ac:dyDescent="0.2">
      <c r="F40" s="227"/>
      <c r="G40" s="227"/>
      <c r="H40" s="227"/>
    </row>
    <row r="41" spans="1:8" x14ac:dyDescent="0.2">
      <c r="D41" s="99"/>
      <c r="E41" s="99"/>
      <c r="F41" s="228"/>
      <c r="G41" s="229"/>
      <c r="H41" s="229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G44" s="102"/>
    </row>
    <row r="48" spans="1:8" x14ac:dyDescent="0.2">
      <c r="B48" s="101"/>
      <c r="F48" s="101"/>
      <c r="G48" s="101"/>
      <c r="H48" s="101"/>
    </row>
    <row r="49" spans="1:6" s="61" customFormat="1" ht="17.100000000000001" customHeight="1" x14ac:dyDescent="0.2">
      <c r="A49" s="209" t="s">
        <v>4047</v>
      </c>
      <c r="B49" s="104"/>
      <c r="C49" s="104"/>
      <c r="D49" s="209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5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88E5-A446-410B-8012-53D5116B2160}">
  <sheetPr codeName="Sheet720">
    <pageSetUpPr fitToPage="1"/>
  </sheetPr>
  <dimension ref="A1:R52"/>
  <sheetViews>
    <sheetView topLeftCell="A6"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1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8" x14ac:dyDescent="0.2">
      <c r="A8" s="91" t="s">
        <v>32</v>
      </c>
      <c r="F8" s="22" t="s">
        <v>31</v>
      </c>
    </row>
    <row r="9" spans="1:18" x14ac:dyDescent="0.2">
      <c r="F9" s="92" t="s">
        <v>1317</v>
      </c>
      <c r="G9" s="110" t="s">
        <v>7246</v>
      </c>
    </row>
    <row r="10" spans="1:18" x14ac:dyDescent="0.2">
      <c r="A10" s="91" t="s">
        <v>7317</v>
      </c>
      <c r="F10" s="92" t="s">
        <v>1329</v>
      </c>
      <c r="G10" s="289" t="s">
        <v>7316</v>
      </c>
    </row>
    <row r="11" spans="1:18" x14ac:dyDescent="0.2">
      <c r="A11" s="91" t="s">
        <v>7318</v>
      </c>
      <c r="F11" s="92" t="s">
        <v>1330</v>
      </c>
      <c r="G11" s="370" t="s">
        <v>1220</v>
      </c>
    </row>
    <row r="12" spans="1:18" x14ac:dyDescent="0.2">
      <c r="A12" s="91" t="s">
        <v>7319</v>
      </c>
      <c r="F12" s="92" t="s">
        <v>1377</v>
      </c>
      <c r="G12" s="370" t="s">
        <v>770</v>
      </c>
    </row>
    <row r="16" spans="1:1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106"/>
      <c r="L16" s="91"/>
      <c r="M16" s="91"/>
      <c r="N16" s="91"/>
      <c r="O16" s="91"/>
      <c r="P16" s="91"/>
      <c r="Q16" s="91"/>
      <c r="R16" s="91"/>
    </row>
    <row r="17" spans="1:18" x14ac:dyDescent="0.2">
      <c r="A17" s="106"/>
      <c r="K17" s="142"/>
      <c r="L17" s="142"/>
      <c r="M17" s="142"/>
      <c r="N17" s="94"/>
      <c r="O17" s="94"/>
      <c r="P17" s="91"/>
      <c r="Q17" s="91"/>
      <c r="R17" s="91"/>
    </row>
    <row r="18" spans="1:18" x14ac:dyDescent="0.2">
      <c r="D18" s="2" t="s">
        <v>4298</v>
      </c>
      <c r="E18" s="2"/>
      <c r="K18" s="92"/>
      <c r="L18" s="93"/>
      <c r="M18" s="93"/>
      <c r="N18" s="94"/>
      <c r="O18" s="94"/>
      <c r="P18" s="91"/>
      <c r="Q18" s="91"/>
      <c r="R18" s="91"/>
    </row>
    <row r="19" spans="1:18" x14ac:dyDescent="0.2">
      <c r="A19" s="106"/>
      <c r="K19" s="92"/>
      <c r="L19" s="93"/>
      <c r="M19" s="93"/>
      <c r="N19" s="94"/>
      <c r="O19" s="94"/>
      <c r="P19" s="91"/>
      <c r="Q19" s="91"/>
      <c r="R19" s="91"/>
    </row>
    <row r="20" spans="1:18" x14ac:dyDescent="0.2">
      <c r="A20" s="142" t="s">
        <v>7320</v>
      </c>
      <c r="B20" s="142" t="s">
        <v>7321</v>
      </c>
      <c r="C20" s="142"/>
      <c r="D20" s="94" t="s">
        <v>7322</v>
      </c>
      <c r="E20" s="94"/>
      <c r="H20" s="91">
        <f>2650</f>
        <v>2650</v>
      </c>
      <c r="J20" s="383"/>
      <c r="K20" s="92"/>
      <c r="L20" s="93"/>
      <c r="M20" s="93"/>
      <c r="N20" s="94"/>
      <c r="O20" s="94"/>
      <c r="P20" s="91"/>
      <c r="Q20" s="91"/>
      <c r="R20" s="91"/>
    </row>
    <row r="21" spans="1:18" x14ac:dyDescent="0.2">
      <c r="A21" s="92"/>
      <c r="B21" s="93"/>
      <c r="C21" s="93"/>
      <c r="D21" s="94" t="s">
        <v>7323</v>
      </c>
      <c r="E21" s="94"/>
      <c r="K21" s="137"/>
      <c r="L21" s="93"/>
      <c r="M21" s="91"/>
      <c r="N21" s="91"/>
      <c r="O21" s="91"/>
      <c r="P21" s="91"/>
      <c r="Q21" s="91"/>
      <c r="R21" s="91"/>
    </row>
    <row r="22" spans="1:18" x14ac:dyDescent="0.2">
      <c r="A22" s="92"/>
      <c r="B22" s="93"/>
      <c r="C22" s="93"/>
      <c r="D22" s="94"/>
      <c r="E22" s="94"/>
      <c r="K22" s="106"/>
      <c r="L22" s="91"/>
      <c r="M22" s="91"/>
      <c r="N22" s="91"/>
      <c r="O22" s="91"/>
      <c r="P22" s="91"/>
      <c r="Q22" s="91"/>
      <c r="R22" s="91"/>
    </row>
    <row r="23" spans="1:18" x14ac:dyDescent="0.2">
      <c r="A23" s="92"/>
      <c r="B23" s="93"/>
      <c r="C23" s="93"/>
      <c r="D23" s="94" t="s">
        <v>7324</v>
      </c>
      <c r="E23" s="94"/>
      <c r="H23" s="91">
        <v>2349.9899999999998</v>
      </c>
      <c r="K23" s="106"/>
      <c r="L23" s="91"/>
      <c r="M23" s="91"/>
      <c r="N23" s="91"/>
      <c r="O23" s="91"/>
      <c r="P23" s="91"/>
      <c r="Q23" s="91"/>
      <c r="R23" s="91"/>
    </row>
    <row r="24" spans="1:18" x14ac:dyDescent="0.2">
      <c r="A24" s="137"/>
      <c r="B24" s="93"/>
      <c r="D24" s="94" t="s">
        <v>7323</v>
      </c>
      <c r="K24" s="91"/>
      <c r="L24" s="91"/>
      <c r="M24" s="91"/>
      <c r="N24" s="91"/>
      <c r="O24" s="91"/>
      <c r="P24" s="91"/>
      <c r="Q24" s="91"/>
      <c r="R24" s="91"/>
    </row>
    <row r="25" spans="1:18" x14ac:dyDescent="0.2">
      <c r="A25" s="106"/>
      <c r="K25" s="93"/>
      <c r="L25" s="93"/>
      <c r="M25" s="93"/>
      <c r="N25" s="91"/>
      <c r="O25" s="91"/>
      <c r="P25" s="91"/>
      <c r="Q25" s="91"/>
      <c r="R25" s="91"/>
    </row>
    <row r="26" spans="1:18" x14ac:dyDescent="0.2">
      <c r="A26" s="106"/>
      <c r="D26" s="91" t="s">
        <v>7325</v>
      </c>
      <c r="H26" s="91">
        <v>250</v>
      </c>
      <c r="N26" s="94"/>
      <c r="O26" s="94"/>
      <c r="P26" s="91"/>
      <c r="Q26" s="91"/>
      <c r="R26" s="91"/>
    </row>
    <row r="27" spans="1:18" x14ac:dyDescent="0.2">
      <c r="N27" s="91"/>
      <c r="O27" s="91"/>
      <c r="P27" s="91"/>
      <c r="Q27" s="91"/>
      <c r="R27" s="91"/>
    </row>
    <row r="28" spans="1:18" x14ac:dyDescent="0.2">
      <c r="A28" s="93"/>
      <c r="B28" s="93"/>
      <c r="C28" s="93"/>
      <c r="D28" s="91" t="s">
        <v>52</v>
      </c>
      <c r="H28" s="91">
        <v>30</v>
      </c>
      <c r="N28" s="91"/>
      <c r="O28" s="91"/>
      <c r="P28" s="91"/>
      <c r="Q28" s="91"/>
      <c r="R28" s="91"/>
    </row>
    <row r="29" spans="1:18" x14ac:dyDescent="0.2">
      <c r="A29" s="1"/>
      <c r="B29" s="1"/>
      <c r="C29" s="1"/>
      <c r="K29" s="106"/>
      <c r="L29" s="91"/>
      <c r="M29" s="91"/>
      <c r="N29" s="91"/>
      <c r="O29" s="91"/>
      <c r="P29" s="91"/>
      <c r="Q29" s="91"/>
      <c r="R29" s="91"/>
    </row>
    <row r="30" spans="1:18" x14ac:dyDescent="0.2">
      <c r="A30" s="1"/>
      <c r="B30" s="1"/>
      <c r="C30" s="1"/>
    </row>
    <row r="31" spans="1:18" x14ac:dyDescent="0.2">
      <c r="A31" s="1"/>
      <c r="B31" s="1"/>
      <c r="C31" s="1"/>
    </row>
    <row r="32" spans="1:18" x14ac:dyDescent="0.2">
      <c r="A32" s="106"/>
    </row>
    <row r="33" spans="1:8" x14ac:dyDescent="0.2">
      <c r="A33" s="106"/>
      <c r="H33" s="384">
        <f>SUM(H20:H30)</f>
        <v>5279.99</v>
      </c>
    </row>
    <row r="34" spans="1:8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Thousand Two Hundred Seventy-Nine and 99/100 -----------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B37" s="91" t="s">
        <v>658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99"/>
      <c r="F40" s="228"/>
      <c r="G40" s="229"/>
      <c r="H40" s="229"/>
    </row>
    <row r="41" spans="1:8" x14ac:dyDescent="0.2">
      <c r="A41" s="23"/>
      <c r="B41" s="101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1-000000000000}">
  <sheetPr codeName="Sheet605">
    <pageSetUpPr fitToPage="1"/>
  </sheetPr>
  <dimension ref="A1:H54"/>
  <sheetViews>
    <sheetView topLeftCell="A4" workbookViewId="0">
      <selection activeCell="G9" sqref="G9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6034</v>
      </c>
    </row>
    <row r="10" spans="1:8" x14ac:dyDescent="0.2">
      <c r="A10" s="91" t="s">
        <v>4039</v>
      </c>
      <c r="F10" s="92" t="s">
        <v>1329</v>
      </c>
      <c r="G10" s="91" t="s">
        <v>6030</v>
      </c>
    </row>
    <row r="11" spans="1:8" x14ac:dyDescent="0.2">
      <c r="A11" s="91" t="s">
        <v>4044</v>
      </c>
      <c r="F11" s="92" t="s">
        <v>1330</v>
      </c>
      <c r="G11" s="91" t="s">
        <v>1220</v>
      </c>
    </row>
    <row r="12" spans="1:8" x14ac:dyDescent="0.2">
      <c r="F12" s="92" t="s">
        <v>1377</v>
      </c>
      <c r="G12" s="91" t="s">
        <v>6035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5925</v>
      </c>
    </row>
    <row r="19" spans="1:8" x14ac:dyDescent="0.2">
      <c r="A19" s="106"/>
      <c r="E19" s="2"/>
    </row>
    <row r="20" spans="1:8" x14ac:dyDescent="0.2">
      <c r="A20" s="92" t="s">
        <v>4249</v>
      </c>
      <c r="B20" s="93"/>
      <c r="C20" s="93"/>
      <c r="D20" s="2" t="s">
        <v>5928</v>
      </c>
      <c r="E20" s="2"/>
    </row>
    <row r="21" spans="1:8" x14ac:dyDescent="0.2">
      <c r="A21" s="106" t="s">
        <v>5926</v>
      </c>
      <c r="D21" s="94" t="s">
        <v>5927</v>
      </c>
      <c r="E21" s="94"/>
      <c r="H21" s="91">
        <v>621</v>
      </c>
    </row>
    <row r="22" spans="1:8" x14ac:dyDescent="0.2">
      <c r="A22" s="286"/>
      <c r="D22" s="94"/>
      <c r="E22" s="94"/>
    </row>
    <row r="23" spans="1:8" x14ac:dyDescent="0.2">
      <c r="D23" s="2" t="s">
        <v>4449</v>
      </c>
    </row>
    <row r="24" spans="1:8" x14ac:dyDescent="0.2">
      <c r="A24" s="92" t="s">
        <v>4249</v>
      </c>
    </row>
    <row r="25" spans="1:8" x14ac:dyDescent="0.2">
      <c r="A25" s="106" t="s">
        <v>5926</v>
      </c>
      <c r="D25" s="2" t="s">
        <v>5929</v>
      </c>
      <c r="E25" s="94"/>
    </row>
    <row r="26" spans="1:8" x14ac:dyDescent="0.2">
      <c r="A26" s="287"/>
      <c r="D26" s="91" t="s">
        <v>4732</v>
      </c>
      <c r="H26" s="91">
        <v>783</v>
      </c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1404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Four Hundred Four and NO/100 -----------</v>
      </c>
      <c r="C37" s="185"/>
      <c r="D37" s="97"/>
      <c r="E37" s="222"/>
      <c r="F37" s="222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F45" s="98" t="s">
        <v>7</v>
      </c>
      <c r="H45" s="102"/>
    </row>
    <row r="49" spans="1:8" x14ac:dyDescent="0.2">
      <c r="A49" s="101"/>
      <c r="B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1-000000000000}">
  <sheetPr codeName="Sheet606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7836</v>
      </c>
    </row>
    <row r="10" spans="1:8" x14ac:dyDescent="0.2">
      <c r="A10" s="91" t="s">
        <v>5894</v>
      </c>
      <c r="F10" s="92" t="s">
        <v>1329</v>
      </c>
      <c r="G10" s="92" t="s">
        <v>7817</v>
      </c>
    </row>
    <row r="11" spans="1:8" x14ac:dyDescent="0.2">
      <c r="A11" s="91" t="s">
        <v>5895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7837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600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600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97"/>
      <c r="F37" s="97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8970-8AA7-481F-9700-D5910DD819E0}">
  <sheetPr codeName="Sheet754">
    <pageSetUpPr fitToPage="1"/>
  </sheetPr>
  <dimension ref="A1:H54"/>
  <sheetViews>
    <sheetView workbookViewId="0">
      <selection activeCell="H8" sqref="H8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7838</v>
      </c>
    </row>
    <row r="10" spans="1:8" x14ac:dyDescent="0.2">
      <c r="A10" s="91" t="s">
        <v>7840</v>
      </c>
      <c r="F10" s="92" t="s">
        <v>1329</v>
      </c>
      <c r="G10" s="92" t="s">
        <v>7817</v>
      </c>
    </row>
    <row r="11" spans="1:8" x14ac:dyDescent="0.2">
      <c r="A11" s="91" t="s">
        <v>7841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7839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450" t="s">
        <v>128</v>
      </c>
      <c r="C16" s="450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400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400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Hundred and NO/100 -----------</v>
      </c>
      <c r="C37" s="185"/>
      <c r="D37" s="97"/>
      <c r="E37" s="97"/>
      <c r="F37" s="97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451"/>
      <c r="E41" s="451"/>
    </row>
    <row r="42" spans="1:8" x14ac:dyDescent="0.2">
      <c r="A42" s="91" t="s">
        <v>120</v>
      </c>
      <c r="D42" s="451"/>
      <c r="E42" s="451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2F2A-BBC9-4567-822B-5630512E9D81}">
  <sheetPr codeName="Sheet755">
    <pageSetUpPr fitToPage="1"/>
  </sheetPr>
  <dimension ref="A1:H54"/>
  <sheetViews>
    <sheetView topLeftCell="A31" workbookViewId="0">
      <selection activeCell="J15" sqref="J15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7842</v>
      </c>
    </row>
    <row r="10" spans="1:8" x14ac:dyDescent="0.2">
      <c r="A10" s="91" t="s">
        <v>7844</v>
      </c>
      <c r="F10" s="92" t="s">
        <v>1329</v>
      </c>
      <c r="G10" s="92" t="s">
        <v>7817</v>
      </c>
    </row>
    <row r="11" spans="1:8" x14ac:dyDescent="0.2">
      <c r="A11" s="91" t="s">
        <v>7845</v>
      </c>
      <c r="F11" s="92" t="s">
        <v>1330</v>
      </c>
      <c r="G11" s="92" t="s">
        <v>1220</v>
      </c>
    </row>
    <row r="12" spans="1:8" x14ac:dyDescent="0.2">
      <c r="F12" s="92" t="s">
        <v>1377</v>
      </c>
      <c r="G12" s="92" t="s">
        <v>7843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450" t="s">
        <v>128</v>
      </c>
      <c r="C16" s="450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7823</v>
      </c>
      <c r="H18" s="91">
        <v>200</v>
      </c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2"/>
      <c r="E20" s="2"/>
    </row>
    <row r="21" spans="1:8" x14ac:dyDescent="0.2">
      <c r="A21" s="106"/>
      <c r="D21" s="94"/>
      <c r="E21" s="94"/>
    </row>
    <row r="22" spans="1:8" x14ac:dyDescent="0.2">
      <c r="A22" s="286"/>
      <c r="D22" s="94"/>
      <c r="E22" s="94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200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and NO/100 -----------</v>
      </c>
      <c r="C37" s="185"/>
      <c r="D37" s="97"/>
      <c r="E37" s="97"/>
      <c r="F37" s="97"/>
      <c r="G37" s="222"/>
      <c r="H37" s="222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222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451"/>
      <c r="E41" s="451"/>
    </row>
    <row r="42" spans="1:8" x14ac:dyDescent="0.2">
      <c r="A42" s="91" t="s">
        <v>120</v>
      </c>
      <c r="D42" s="451"/>
      <c r="E42" s="451"/>
    </row>
    <row r="43" spans="1:8" x14ac:dyDescent="0.2">
      <c r="A43" s="101"/>
      <c r="B43" s="10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4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4910</v>
      </c>
    </row>
    <row r="10" spans="1:6" s="91" customFormat="1" x14ac:dyDescent="0.2">
      <c r="A10" s="91" t="s">
        <v>4913</v>
      </c>
      <c r="D10" s="92" t="s">
        <v>1706</v>
      </c>
      <c r="E10" s="92" t="s">
        <v>4912</v>
      </c>
    </row>
    <row r="11" spans="1:6" s="91" customFormat="1" x14ac:dyDescent="0.2">
      <c r="A11" s="91" t="s">
        <v>4914</v>
      </c>
      <c r="D11" s="92" t="s">
        <v>1707</v>
      </c>
      <c r="E11" s="92" t="s">
        <v>1220</v>
      </c>
    </row>
    <row r="12" spans="1:6" s="91" customFormat="1" x14ac:dyDescent="0.2">
      <c r="A12" s="91" t="s">
        <v>4915</v>
      </c>
      <c r="D12" s="92" t="s">
        <v>1355</v>
      </c>
      <c r="E12" s="92" t="s">
        <v>4911</v>
      </c>
    </row>
    <row r="13" spans="1:6" s="91" customFormat="1" x14ac:dyDescent="0.2">
      <c r="A13" s="91" t="s">
        <v>4916</v>
      </c>
    </row>
    <row r="14" spans="1:6" s="91" customFormat="1" x14ac:dyDescent="0.2">
      <c r="A14" s="91" t="s">
        <v>4917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3"/>
      <c r="C18" s="2" t="s">
        <v>4918</v>
      </c>
    </row>
    <row r="19" spans="1:6" s="91" customFormat="1" x14ac:dyDescent="0.2">
      <c r="A19" s="93"/>
      <c r="B19" s="93"/>
    </row>
    <row r="20" spans="1:6" s="91" customFormat="1" x14ac:dyDescent="0.2">
      <c r="A20" s="93" t="s">
        <v>4898</v>
      </c>
      <c r="B20" s="93" t="s">
        <v>4919</v>
      </c>
      <c r="C20" s="91" t="s">
        <v>4920</v>
      </c>
      <c r="F20" s="91">
        <v>1250</v>
      </c>
    </row>
    <row r="21" spans="1:6" s="91" customFormat="1" x14ac:dyDescent="0.2">
      <c r="C21" s="91" t="s">
        <v>4921</v>
      </c>
      <c r="F21" s="91">
        <v>2800</v>
      </c>
    </row>
    <row r="22" spans="1:6" s="91" customFormat="1" x14ac:dyDescent="0.2">
      <c r="A22" s="93"/>
      <c r="B22" s="93"/>
      <c r="C22" s="91" t="s">
        <v>4922</v>
      </c>
      <c r="F22" s="91">
        <v>665</v>
      </c>
    </row>
    <row r="23" spans="1:6" s="91" customFormat="1" x14ac:dyDescent="0.2">
      <c r="C23" s="91" t="s">
        <v>4923</v>
      </c>
      <c r="F23" s="91">
        <v>900</v>
      </c>
    </row>
    <row r="24" spans="1:6" s="91" customFormat="1" x14ac:dyDescent="0.2">
      <c r="A24" s="93"/>
      <c r="B24" s="93"/>
    </row>
    <row r="25" spans="1:6" s="91" customFormat="1" x14ac:dyDescent="0.2">
      <c r="A25" s="93"/>
      <c r="B25" s="93"/>
    </row>
    <row r="26" spans="1:6" s="91" customFormat="1" x14ac:dyDescent="0.2">
      <c r="A26" s="93"/>
      <c r="B26" s="93"/>
      <c r="C26" s="2"/>
    </row>
    <row r="27" spans="1:6" s="91" customFormat="1" x14ac:dyDescent="0.2"/>
    <row r="28" spans="1:6" s="91" customFormat="1" x14ac:dyDescent="0.2">
      <c r="A28" s="93"/>
      <c r="B28" s="93"/>
    </row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SUM(F18:F33)</f>
        <v>5615</v>
      </c>
    </row>
    <row r="35" spans="1:6" s="91" customFormat="1" ht="13.5" thickTop="1" x14ac:dyDescent="0.2"/>
    <row r="36" spans="1:6" s="91" customFormat="1" ht="21.75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Five Thousand Six Hundred Fifteen and NO/100 -----------</v>
      </c>
      <c r="C36" s="97"/>
      <c r="D36" s="237"/>
      <c r="E36" s="237"/>
      <c r="F36" s="237"/>
    </row>
    <row r="37" spans="1:6" s="91" customFormat="1" ht="15.75" customHeight="1" x14ac:dyDescent="0.2">
      <c r="A37" s="113"/>
      <c r="B37" s="103"/>
      <c r="C37" s="61"/>
      <c r="D37" s="227"/>
      <c r="E37" s="227"/>
      <c r="F37" s="227"/>
    </row>
    <row r="38" spans="1:6" s="91" customFormat="1" ht="24" customHeight="1" x14ac:dyDescent="0.2">
      <c r="A38" s="61" t="s">
        <v>10</v>
      </c>
      <c r="B38" s="103"/>
      <c r="C38" s="61"/>
      <c r="D38" s="218" t="s">
        <v>3975</v>
      </c>
      <c r="E38" s="219"/>
      <c r="F38" s="220"/>
    </row>
    <row r="39" spans="1:6" s="91" customFormat="1" x14ac:dyDescent="0.2">
      <c r="D39" s="228"/>
      <c r="E39" s="229"/>
      <c r="F39" s="229"/>
    </row>
    <row r="40" spans="1:6" s="91" customFormat="1" x14ac:dyDescent="0.2"/>
    <row r="41" spans="1:6" s="91" customFormat="1" x14ac:dyDescent="0.2"/>
    <row r="42" spans="1:6" s="91" customFormat="1" x14ac:dyDescent="0.2"/>
    <row r="43" spans="1:6" s="91" customFormat="1" x14ac:dyDescent="0.2">
      <c r="A43" s="101"/>
      <c r="B43" s="101"/>
    </row>
    <row r="44" spans="1:6" s="91" customFormat="1" x14ac:dyDescent="0.2"/>
    <row r="45" spans="1:6" s="91" customFormat="1" x14ac:dyDescent="0.2">
      <c r="A45" s="98" t="s">
        <v>8</v>
      </c>
      <c r="D45" s="98" t="s">
        <v>7</v>
      </c>
      <c r="F45" s="102"/>
    </row>
    <row r="46" spans="1:6" s="91" customFormat="1" x14ac:dyDescent="0.2"/>
    <row r="47" spans="1:6" s="91" customFormat="1" x14ac:dyDescent="0.2"/>
    <row r="48" spans="1:6" s="91" customFormat="1" x14ac:dyDescent="0.2"/>
    <row r="49" spans="1:6" s="91" customFormat="1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209" t="s">
        <v>4066</v>
      </c>
      <c r="B50" s="104"/>
      <c r="D50" s="61" t="s">
        <v>3</v>
      </c>
    </row>
    <row r="51" spans="1:6" s="91" customFormat="1" x14ac:dyDescent="0.2">
      <c r="D51" s="91" t="s">
        <v>2</v>
      </c>
    </row>
    <row r="52" spans="1:6" s="91" customFormat="1" x14ac:dyDescent="0.2"/>
    <row r="53" spans="1:6" s="91" customFormat="1" x14ac:dyDescent="0.2">
      <c r="D53" s="2" t="s">
        <v>1</v>
      </c>
    </row>
    <row r="54" spans="1:6" s="91" customFormat="1" x14ac:dyDescent="0.2">
      <c r="D54" s="2" t="s">
        <v>0</v>
      </c>
    </row>
    <row r="55" spans="1:6" s="91" customFormat="1" x14ac:dyDescent="0.2"/>
    <row r="56" spans="1:6" s="91" customFormat="1" x14ac:dyDescent="0.2"/>
    <row r="57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75"/>
  <dimension ref="A1:F53"/>
  <sheetViews>
    <sheetView topLeftCell="A19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2911</v>
      </c>
      <c r="D9" s="92" t="s">
        <v>1317</v>
      </c>
      <c r="E9" s="91" t="s">
        <v>2909</v>
      </c>
    </row>
    <row r="10" spans="1:6" x14ac:dyDescent="0.2">
      <c r="A10" s="91" t="s">
        <v>2912</v>
      </c>
      <c r="D10" s="92" t="s">
        <v>1329</v>
      </c>
      <c r="E10" s="92" t="s">
        <v>2908</v>
      </c>
    </row>
    <row r="11" spans="1:6" x14ac:dyDescent="0.2">
      <c r="A11" s="91" t="s">
        <v>2913</v>
      </c>
      <c r="D11" s="92" t="s">
        <v>1330</v>
      </c>
      <c r="E11" s="92" t="s">
        <v>1220</v>
      </c>
    </row>
    <row r="12" spans="1:6" x14ac:dyDescent="0.2">
      <c r="A12" s="91" t="s">
        <v>2914</v>
      </c>
      <c r="D12" s="92" t="s">
        <v>1331</v>
      </c>
      <c r="E12" s="92" t="s">
        <v>2910</v>
      </c>
    </row>
    <row r="13" spans="1:6" x14ac:dyDescent="0.2">
      <c r="A13" s="91" t="s">
        <v>2915</v>
      </c>
    </row>
    <row r="14" spans="1:6" x14ac:dyDescent="0.2">
      <c r="A14" s="91" t="s">
        <v>2916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2917</v>
      </c>
    </row>
    <row r="19" spans="1:6" x14ac:dyDescent="0.2">
      <c r="A19" s="106"/>
      <c r="C19" s="2"/>
    </row>
    <row r="20" spans="1:6" x14ac:dyDescent="0.2">
      <c r="A20" s="93" t="s">
        <v>2918</v>
      </c>
      <c r="B20" s="93" t="s">
        <v>2919</v>
      </c>
      <c r="C20" s="91" t="s">
        <v>2920</v>
      </c>
      <c r="F20" s="91">
        <v>2480</v>
      </c>
    </row>
    <row r="21" spans="1:6" x14ac:dyDescent="0.2">
      <c r="A21" s="93"/>
      <c r="B21" s="94"/>
      <c r="C21" s="91" t="s">
        <v>2921</v>
      </c>
    </row>
    <row r="22" spans="1:6" x14ac:dyDescent="0.2">
      <c r="A22" s="93"/>
      <c r="B22" s="99"/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2480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Four Hundred Eighty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topLeftCell="A4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1-000000000000}">
  <sheetPr codeName="Sheet576"/>
  <dimension ref="A1:H5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5.5703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5669</v>
      </c>
      <c r="F9" s="92" t="s">
        <v>1317</v>
      </c>
      <c r="G9" s="91" t="s">
        <v>8097</v>
      </c>
    </row>
    <row r="10" spans="1:8" x14ac:dyDescent="0.2">
      <c r="A10" s="91" t="s">
        <v>5670</v>
      </c>
      <c r="F10" s="92" t="s">
        <v>1329</v>
      </c>
      <c r="G10" s="92" t="s">
        <v>8084</v>
      </c>
    </row>
    <row r="11" spans="1:8" x14ac:dyDescent="0.2">
      <c r="A11" s="91" t="s">
        <v>5671</v>
      </c>
      <c r="F11" s="92" t="s">
        <v>1330</v>
      </c>
      <c r="G11" s="92" t="s">
        <v>1220</v>
      </c>
    </row>
    <row r="12" spans="1:8" x14ac:dyDescent="0.2">
      <c r="A12" s="91" t="s">
        <v>5672</v>
      </c>
      <c r="F12" s="92" t="s">
        <v>1224</v>
      </c>
      <c r="G12" s="94" t="s">
        <v>8098</v>
      </c>
    </row>
    <row r="13" spans="1:8" x14ac:dyDescent="0.2">
      <c r="G13" s="91" t="s">
        <v>7931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6889</v>
      </c>
      <c r="E18" s="2"/>
    </row>
    <row r="19" spans="1:8" x14ac:dyDescent="0.2">
      <c r="D19" s="2"/>
      <c r="E19" s="2"/>
    </row>
    <row r="20" spans="1:8" x14ac:dyDescent="0.2">
      <c r="A20" s="134" t="s">
        <v>8064</v>
      </c>
      <c r="B20" s="93"/>
      <c r="C20" s="93"/>
      <c r="D20" s="91" t="s">
        <v>8099</v>
      </c>
      <c r="H20" s="91">
        <v>1200</v>
      </c>
    </row>
    <row r="21" spans="1:8" x14ac:dyDescent="0.2">
      <c r="A21" s="93"/>
      <c r="B21" s="93"/>
      <c r="C21" s="93"/>
      <c r="D21" s="91" t="s">
        <v>8100</v>
      </c>
    </row>
    <row r="22" spans="1:8" x14ac:dyDescent="0.2">
      <c r="A22" s="134"/>
      <c r="B22" s="93"/>
      <c r="C22" s="93"/>
    </row>
    <row r="23" spans="1:8" x14ac:dyDescent="0.2">
      <c r="A23" s="94"/>
    </row>
    <row r="24" spans="1:8" x14ac:dyDescent="0.2">
      <c r="A24" s="94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3"/>
      <c r="B28" s="99"/>
    </row>
    <row r="29" spans="1:8" x14ac:dyDescent="0.2">
      <c r="D29" s="2"/>
      <c r="E29" s="2"/>
    </row>
    <row r="30" spans="1:8" x14ac:dyDescent="0.2">
      <c r="E30" s="2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93"/>
      <c r="B32" s="99"/>
      <c r="C32" s="1"/>
      <c r="E32" s="1"/>
      <c r="F32" s="1"/>
      <c r="G32" s="1"/>
    </row>
    <row r="33" spans="1:8" x14ac:dyDescent="0.2">
      <c r="A33" s="112"/>
    </row>
    <row r="34" spans="1:8" ht="13.5" thickBot="1" x14ac:dyDescent="0.25">
      <c r="A34" s="112"/>
      <c r="H34" s="95">
        <f>SUM(H20:H33)</f>
        <v>1200</v>
      </c>
    </row>
    <row r="35" spans="1:8" ht="13.5" thickTop="1" x14ac:dyDescent="0.2">
      <c r="A35" s="112"/>
      <c r="H35" s="238"/>
    </row>
    <row r="36" spans="1:8" ht="20.100000000000001" customHeight="1" x14ac:dyDescent="0.2">
      <c r="A36" s="96" t="s">
        <v>1347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Two Hundred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40" spans="1:8" x14ac:dyDescent="0.2">
      <c r="F40" s="227"/>
      <c r="G40" s="227"/>
      <c r="H40" s="227"/>
    </row>
    <row r="41" spans="1:8" x14ac:dyDescent="0.2">
      <c r="A41" s="98" t="s">
        <v>121</v>
      </c>
      <c r="D41" s="99"/>
      <c r="E41" s="99"/>
      <c r="F41" s="228"/>
      <c r="G41" s="229"/>
      <c r="H41" s="229"/>
    </row>
    <row r="42" spans="1:8" x14ac:dyDescent="0.2">
      <c r="A42" s="23"/>
      <c r="B42" s="101"/>
    </row>
    <row r="43" spans="1:8" x14ac:dyDescent="0.2">
      <c r="A43" s="98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D48" s="100"/>
      <c r="F48" s="101"/>
      <c r="G48" s="101"/>
      <c r="H48" s="101"/>
    </row>
    <row r="49" spans="1:8" s="3" customFormat="1" ht="17.100000000000001" customHeight="1" x14ac:dyDescent="0.2">
      <c r="A49" s="103" t="s">
        <v>4047</v>
      </c>
      <c r="B49" s="104"/>
      <c r="C49" s="104"/>
      <c r="D49" s="103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6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1-000000000000}">
  <sheetPr codeName="Sheet612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 t="s">
        <v>5899</v>
      </c>
      <c r="B9" s="91"/>
      <c r="C9" s="91"/>
      <c r="D9" s="92" t="s">
        <v>1517</v>
      </c>
      <c r="E9" s="155" t="s">
        <v>5897</v>
      </c>
      <c r="F9" s="91"/>
    </row>
    <row r="10" spans="1:6" x14ac:dyDescent="0.2">
      <c r="A10" s="91" t="s">
        <v>5900</v>
      </c>
      <c r="B10" s="91"/>
      <c r="C10" s="91"/>
      <c r="D10" s="92" t="s">
        <v>1357</v>
      </c>
      <c r="E10" s="155" t="s">
        <v>5872</v>
      </c>
      <c r="F10" s="91"/>
    </row>
    <row r="11" spans="1:6" x14ac:dyDescent="0.2">
      <c r="A11" s="91" t="s">
        <v>5901</v>
      </c>
      <c r="B11" s="91"/>
      <c r="C11" s="91"/>
      <c r="D11" s="92" t="s">
        <v>1330</v>
      </c>
      <c r="E11" s="155" t="s">
        <v>1220</v>
      </c>
      <c r="F11" s="91"/>
    </row>
    <row r="12" spans="1:6" x14ac:dyDescent="0.2">
      <c r="A12" s="91" t="s">
        <v>1943</v>
      </c>
      <c r="B12" s="91"/>
      <c r="C12" s="91"/>
      <c r="D12" s="92" t="s">
        <v>1224</v>
      </c>
      <c r="E12" s="94" t="s">
        <v>5898</v>
      </c>
      <c r="F12" s="91"/>
    </row>
    <row r="13" spans="1:6" x14ac:dyDescent="0.2">
      <c r="A13" s="91" t="s">
        <v>5902</v>
      </c>
      <c r="B13" s="91"/>
      <c r="C13" s="91"/>
      <c r="D13" s="91"/>
      <c r="E13" s="91"/>
      <c r="F13" s="91"/>
    </row>
    <row r="14" spans="1:6" x14ac:dyDescent="0.2">
      <c r="A14" s="91"/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2" t="s">
        <v>5903</v>
      </c>
      <c r="D18" s="91"/>
      <c r="E18" s="91"/>
      <c r="F18" s="91"/>
    </row>
    <row r="19" spans="1:6" x14ac:dyDescent="0.2">
      <c r="A19" s="91"/>
      <c r="B19" s="93"/>
      <c r="C19" s="91"/>
      <c r="D19" s="91"/>
      <c r="E19" s="91"/>
      <c r="F19" s="91"/>
    </row>
    <row r="20" spans="1:6" x14ac:dyDescent="0.2">
      <c r="A20" s="93" t="s">
        <v>5904</v>
      </c>
      <c r="B20" s="93" t="s">
        <v>5905</v>
      </c>
      <c r="C20" s="91" t="s">
        <v>5906</v>
      </c>
      <c r="D20" s="91"/>
      <c r="E20" s="91"/>
      <c r="F20" s="91">
        <v>350</v>
      </c>
    </row>
    <row r="21" spans="1:6" x14ac:dyDescent="0.2">
      <c r="A21" s="92"/>
      <c r="B21" s="91"/>
      <c r="C21" s="91" t="s">
        <v>5907</v>
      </c>
      <c r="D21" s="91"/>
      <c r="E21" s="91"/>
      <c r="F21" s="91"/>
    </row>
    <row r="22" spans="1:6" x14ac:dyDescent="0.2">
      <c r="A22" s="91"/>
      <c r="B22" s="91"/>
      <c r="C22" s="91"/>
      <c r="D22" s="91"/>
      <c r="E22" s="91"/>
      <c r="F22" s="91"/>
    </row>
    <row r="23" spans="1:6" x14ac:dyDescent="0.2">
      <c r="A23" s="93" t="s">
        <v>5904</v>
      </c>
      <c r="B23" s="93" t="s">
        <v>5908</v>
      </c>
      <c r="C23" s="91" t="s">
        <v>5910</v>
      </c>
      <c r="D23" s="91"/>
      <c r="E23" s="91"/>
      <c r="F23" s="91">
        <v>350</v>
      </c>
    </row>
    <row r="24" spans="1:6" x14ac:dyDescent="0.2">
      <c r="A24" s="91"/>
      <c r="B24" s="91"/>
      <c r="C24" s="91" t="s">
        <v>5909</v>
      </c>
      <c r="D24" s="91"/>
      <c r="E24" s="91"/>
      <c r="F24" s="91"/>
    </row>
    <row r="25" spans="1:6" x14ac:dyDescent="0.2">
      <c r="A25" s="91"/>
      <c r="B25" s="91"/>
      <c r="C25" s="91"/>
      <c r="D25" s="91"/>
      <c r="E25" s="91"/>
      <c r="F25" s="91"/>
    </row>
    <row r="26" spans="1:6" x14ac:dyDescent="0.2">
      <c r="A26" s="91"/>
      <c r="B26" s="91"/>
      <c r="C26" s="91"/>
      <c r="D26" s="91"/>
      <c r="E26" s="91"/>
      <c r="F26" s="91"/>
    </row>
    <row r="27" spans="1:6" x14ac:dyDescent="0.2">
      <c r="A27" s="91"/>
      <c r="B27" s="91"/>
      <c r="C27" s="91"/>
      <c r="D27" s="91"/>
      <c r="E27" s="91"/>
      <c r="F27" s="91"/>
    </row>
    <row r="28" spans="1:6" x14ac:dyDescent="0.2">
      <c r="A28" s="91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</row>
    <row r="33" spans="1:6" ht="13.5" thickBot="1" x14ac:dyDescent="0.25">
      <c r="A33" s="91"/>
      <c r="B33" s="91"/>
      <c r="C33" s="91"/>
      <c r="D33" s="91"/>
      <c r="E33" s="91"/>
      <c r="F33" s="107">
        <f>SUM(F19:F32)</f>
        <v>700</v>
      </c>
    </row>
    <row r="34" spans="1:6" ht="13.5" thickTop="1" x14ac:dyDescent="0.2">
      <c r="A34" s="91"/>
      <c r="B34" s="91"/>
      <c r="C34" s="91"/>
      <c r="D34" s="91"/>
      <c r="E34" s="91"/>
      <c r="F34" s="91"/>
    </row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Seven Hundred and NO/100 -----------</v>
      </c>
      <c r="C35" s="97"/>
      <c r="D35" s="97"/>
      <c r="E35" s="97"/>
      <c r="F35" s="97"/>
    </row>
    <row r="36" spans="1:6" x14ac:dyDescent="0.2">
      <c r="A36" s="94" t="s">
        <v>11</v>
      </c>
      <c r="B36" s="91"/>
      <c r="C36" s="91"/>
      <c r="D36" s="91"/>
      <c r="E36" s="91"/>
      <c r="F36" s="91"/>
    </row>
    <row r="37" spans="1:6" ht="25.5" x14ac:dyDescent="0.2">
      <c r="A37" s="91" t="s">
        <v>10</v>
      </c>
      <c r="B37" s="91"/>
      <c r="C37" s="91"/>
      <c r="D37" s="218" t="s">
        <v>3975</v>
      </c>
      <c r="E37" s="219"/>
      <c r="F37" s="220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61"/>
      <c r="B39" s="91"/>
      <c r="C39" s="91"/>
    </row>
    <row r="40" spans="1:6" x14ac:dyDescent="0.2">
      <c r="A40" s="91"/>
      <c r="B40" s="91"/>
      <c r="C40" s="99"/>
      <c r="D40" s="91"/>
      <c r="E40" s="91"/>
      <c r="F40" s="91"/>
    </row>
    <row r="41" spans="1:6" x14ac:dyDescent="0.2">
      <c r="A41" s="101"/>
      <c r="B41" s="10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/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1:6" x14ac:dyDescent="0.2">
      <c r="A49" s="91"/>
      <c r="B49" s="91"/>
      <c r="C49" s="91"/>
      <c r="D49" s="91" t="s">
        <v>2</v>
      </c>
      <c r="E49" s="91"/>
      <c r="F49" s="91"/>
    </row>
    <row r="50" spans="1:6" x14ac:dyDescent="0.2">
      <c r="A50" s="103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6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1-000000000000}">
  <sheetPr codeName="Sheet568">
    <pageSetUpPr fitToPage="1"/>
  </sheetPr>
  <dimension ref="A1:M56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</row>
    <row r="2" spans="1:13" x14ac:dyDescent="0.2">
      <c r="A2" s="522" t="s">
        <v>33</v>
      </c>
      <c r="B2" s="522"/>
      <c r="C2" s="522"/>
      <c r="D2" s="522"/>
      <c r="E2" s="522"/>
      <c r="F2" s="522"/>
    </row>
    <row r="3" spans="1:13" x14ac:dyDescent="0.2">
      <c r="A3" s="522" t="s">
        <v>1829</v>
      </c>
      <c r="B3" s="522"/>
      <c r="C3" s="522"/>
      <c r="D3" s="522"/>
      <c r="E3" s="522"/>
      <c r="F3" s="522"/>
    </row>
    <row r="4" spans="1:13" x14ac:dyDescent="0.2">
      <c r="A4" s="522" t="s">
        <v>1828</v>
      </c>
      <c r="B4" s="522"/>
      <c r="C4" s="522"/>
      <c r="D4" s="522"/>
      <c r="E4" s="522"/>
      <c r="F4" s="522"/>
    </row>
    <row r="8" spans="1:13" x14ac:dyDescent="0.2">
      <c r="A8" s="91" t="s">
        <v>32</v>
      </c>
      <c r="D8" s="22" t="s">
        <v>31</v>
      </c>
    </row>
    <row r="9" spans="1:13" x14ac:dyDescent="0.2">
      <c r="D9" s="92" t="s">
        <v>1563</v>
      </c>
      <c r="E9" s="91" t="s">
        <v>7331</v>
      </c>
    </row>
    <row r="10" spans="1:13" x14ac:dyDescent="0.2">
      <c r="A10" s="91" t="s">
        <v>5626</v>
      </c>
      <c r="D10" s="92" t="s">
        <v>1356</v>
      </c>
      <c r="E10" s="98" t="s">
        <v>7326</v>
      </c>
    </row>
    <row r="11" spans="1:13" x14ac:dyDescent="0.2">
      <c r="A11" s="91" t="s">
        <v>5627</v>
      </c>
      <c r="D11" s="92" t="s">
        <v>1364</v>
      </c>
      <c r="E11" s="92" t="s">
        <v>1220</v>
      </c>
    </row>
    <row r="12" spans="1:13" x14ac:dyDescent="0.2">
      <c r="D12" s="92" t="s">
        <v>1224</v>
      </c>
      <c r="E12" s="92" t="s">
        <v>7332</v>
      </c>
    </row>
    <row r="13" spans="1:13" x14ac:dyDescent="0.2">
      <c r="J13" s="2"/>
    </row>
    <row r="14" spans="1:13" x14ac:dyDescent="0.2">
      <c r="J14" s="2"/>
    </row>
    <row r="15" spans="1:13" x14ac:dyDescent="0.2">
      <c r="J15" s="2" t="s">
        <v>6941</v>
      </c>
    </row>
    <row r="16" spans="1:13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  <c r="J16" s="2" t="s">
        <v>6942</v>
      </c>
      <c r="K16" s="91"/>
      <c r="L16" s="91"/>
      <c r="M16" s="91"/>
    </row>
    <row r="18" spans="1:13" x14ac:dyDescent="0.2">
      <c r="A18" s="93"/>
      <c r="C18" s="2" t="s">
        <v>4305</v>
      </c>
      <c r="G18" s="193"/>
      <c r="J18" s="91" t="s">
        <v>6943</v>
      </c>
      <c r="M18" s="91">
        <v>200</v>
      </c>
    </row>
    <row r="19" spans="1:13" x14ac:dyDescent="0.2">
      <c r="A19" s="93"/>
      <c r="B19" s="93"/>
      <c r="J19" s="91" t="s">
        <v>6944</v>
      </c>
      <c r="M19" s="91">
        <v>300</v>
      </c>
    </row>
    <row r="20" spans="1:13" x14ac:dyDescent="0.2">
      <c r="B20" s="93"/>
      <c r="C20" s="2" t="s">
        <v>7333</v>
      </c>
      <c r="J20" s="91" t="s">
        <v>6945</v>
      </c>
      <c r="M20" s="91">
        <v>200</v>
      </c>
    </row>
    <row r="21" spans="1:13" x14ac:dyDescent="0.2">
      <c r="C21" s="2"/>
      <c r="J21" s="91" t="s">
        <v>5508</v>
      </c>
      <c r="M21" s="91">
        <v>500</v>
      </c>
    </row>
    <row r="22" spans="1:13" x14ac:dyDescent="0.2">
      <c r="C22" s="91" t="s">
        <v>7336</v>
      </c>
      <c r="F22" s="91">
        <f>38.2+7.5+6+8+4+60+230</f>
        <v>353.7</v>
      </c>
      <c r="J22" s="2"/>
    </row>
    <row r="23" spans="1:13" x14ac:dyDescent="0.2">
      <c r="A23" s="91" t="s">
        <v>7334</v>
      </c>
      <c r="C23" s="91" t="s">
        <v>7337</v>
      </c>
      <c r="F23" s="91">
        <f>10.8+12+5+20</f>
        <v>47.8</v>
      </c>
      <c r="J23" s="2" t="s">
        <v>6946</v>
      </c>
    </row>
    <row r="24" spans="1:13" x14ac:dyDescent="0.2">
      <c r="A24" s="91" t="s">
        <v>7335</v>
      </c>
      <c r="C24" s="91" t="s">
        <v>7338</v>
      </c>
      <c r="F24" s="91">
        <f>8+5+6+4+5</f>
        <v>28</v>
      </c>
      <c r="J24" s="2" t="s">
        <v>658</v>
      </c>
    </row>
    <row r="25" spans="1:13" x14ac:dyDescent="0.2">
      <c r="J25" s="91" t="s">
        <v>6944</v>
      </c>
      <c r="M25" s="91">
        <f>600</f>
        <v>600</v>
      </c>
    </row>
    <row r="26" spans="1:13" x14ac:dyDescent="0.2">
      <c r="J26" s="91" t="s">
        <v>6945</v>
      </c>
      <c r="M26" s="91">
        <v>600</v>
      </c>
    </row>
    <row r="27" spans="1:13" x14ac:dyDescent="0.2">
      <c r="C27" s="2"/>
      <c r="J27" s="91" t="s">
        <v>6947</v>
      </c>
      <c r="M27" s="91">
        <v>300</v>
      </c>
    </row>
    <row r="28" spans="1:13" x14ac:dyDescent="0.2">
      <c r="C28" s="2"/>
      <c r="J28" s="91" t="s">
        <v>6948</v>
      </c>
      <c r="M28" s="91">
        <v>600</v>
      </c>
    </row>
    <row r="29" spans="1:13" x14ac:dyDescent="0.2">
      <c r="J29" s="91" t="s">
        <v>6949</v>
      </c>
      <c r="M29" s="91">
        <v>300</v>
      </c>
    </row>
    <row r="30" spans="1:13" x14ac:dyDescent="0.2">
      <c r="J30" s="91" t="s">
        <v>5508</v>
      </c>
      <c r="M30" s="91">
        <v>600</v>
      </c>
    </row>
    <row r="32" spans="1:13" x14ac:dyDescent="0.2">
      <c r="J32" s="2"/>
    </row>
    <row r="33" spans="1:10" x14ac:dyDescent="0.2">
      <c r="A33" s="94"/>
      <c r="B33" s="93"/>
    </row>
    <row r="34" spans="1:10" x14ac:dyDescent="0.2">
      <c r="A34" s="94"/>
      <c r="J34" s="94"/>
    </row>
    <row r="36" spans="1:10" x14ac:dyDescent="0.2">
      <c r="J36" s="2"/>
    </row>
    <row r="37" spans="1:10" ht="13.5" thickBot="1" x14ac:dyDescent="0.25">
      <c r="F37" s="107">
        <f>SUM(F18:F35)</f>
        <v>429.5</v>
      </c>
      <c r="J37" s="2"/>
    </row>
    <row r="38" spans="1:10" ht="13.5" thickTop="1" x14ac:dyDescent="0.2">
      <c r="F38" s="101"/>
    </row>
    <row r="39" spans="1:10" ht="20.100000000000001" customHeight="1" x14ac:dyDescent="0.2">
      <c r="A39" s="96" t="s">
        <v>122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Four Hundred Twenty-Nine and 50/100 -----------</v>
      </c>
      <c r="C39" s="97"/>
      <c r="D39" s="97"/>
      <c r="E39" s="97"/>
      <c r="F39" s="207"/>
    </row>
    <row r="40" spans="1:10" x14ac:dyDescent="0.2">
      <c r="A40" s="94" t="s">
        <v>11</v>
      </c>
    </row>
    <row r="41" spans="1:10" ht="25.5" x14ac:dyDescent="0.2">
      <c r="A41" s="91" t="s">
        <v>10</v>
      </c>
      <c r="D41" s="218" t="s">
        <v>3975</v>
      </c>
      <c r="E41" s="219"/>
      <c r="F41" s="220"/>
    </row>
    <row r="43" spans="1:10" x14ac:dyDescent="0.2">
      <c r="D43" s="227"/>
      <c r="E43" s="227"/>
      <c r="F43" s="227"/>
    </row>
    <row r="44" spans="1:10" x14ac:dyDescent="0.2">
      <c r="C44" s="99"/>
      <c r="D44" s="228"/>
      <c r="E44" s="229"/>
      <c r="F44" s="229"/>
    </row>
    <row r="45" spans="1:10" x14ac:dyDescent="0.2">
      <c r="A45" s="101"/>
      <c r="B45" s="101"/>
    </row>
    <row r="47" spans="1:10" x14ac:dyDescent="0.2">
      <c r="A47" s="98" t="s">
        <v>8</v>
      </c>
      <c r="D47" s="98" t="s">
        <v>7</v>
      </c>
      <c r="F47" s="102"/>
    </row>
    <row r="51" spans="1:6" x14ac:dyDescent="0.2">
      <c r="A51" s="101"/>
      <c r="B51" s="101"/>
      <c r="D51" s="101"/>
      <c r="E51" s="101"/>
      <c r="F51" s="101"/>
    </row>
    <row r="52" spans="1:6" s="61" customFormat="1" ht="17.100000000000001" customHeight="1" x14ac:dyDescent="0.2">
      <c r="A52" s="91" t="s">
        <v>4066</v>
      </c>
      <c r="B52" s="104"/>
      <c r="D52" s="61" t="s">
        <v>3</v>
      </c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6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1-000000000000}">
  <sheetPr codeName="Sheet569">
    <pageSetUpPr fitToPage="1"/>
  </sheetPr>
  <dimension ref="A1:H52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28515625" style="91" customWidth="1"/>
    <col min="4" max="4" width="21" style="91" customWidth="1"/>
    <col min="5" max="5" width="1.425781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5612</v>
      </c>
      <c r="F9" s="92" t="s">
        <v>1317</v>
      </c>
      <c r="G9" s="155" t="s">
        <v>8302</v>
      </c>
    </row>
    <row r="10" spans="1:8" x14ac:dyDescent="0.2">
      <c r="A10" s="91" t="s">
        <v>5614</v>
      </c>
      <c r="F10" s="92" t="s">
        <v>1329</v>
      </c>
      <c r="G10" s="155" t="s">
        <v>8265</v>
      </c>
    </row>
    <row r="11" spans="1:8" x14ac:dyDescent="0.2">
      <c r="A11" s="91" t="s">
        <v>5613</v>
      </c>
      <c r="F11" s="92" t="s">
        <v>1330</v>
      </c>
      <c r="G11" s="155" t="s">
        <v>1220</v>
      </c>
    </row>
    <row r="12" spans="1:8" x14ac:dyDescent="0.2">
      <c r="F12" s="92" t="s">
        <v>1331</v>
      </c>
      <c r="G12" s="94" t="s">
        <v>8303</v>
      </c>
    </row>
    <row r="13" spans="1:8" x14ac:dyDescent="0.2">
      <c r="G13" s="153" t="s">
        <v>7931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429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5338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8036</v>
      </c>
      <c r="B20" s="93" t="s">
        <v>8304</v>
      </c>
      <c r="C20" s="93"/>
      <c r="D20" s="91" t="s">
        <v>8077</v>
      </c>
      <c r="H20" s="91">
        <v>90</v>
      </c>
    </row>
    <row r="21" spans="1:8" x14ac:dyDescent="0.2">
      <c r="A21" s="92"/>
    </row>
    <row r="22" spans="1:8" x14ac:dyDescent="0.2">
      <c r="A22" s="93" t="s">
        <v>8305</v>
      </c>
      <c r="B22" s="93" t="s">
        <v>8306</v>
      </c>
      <c r="C22" s="93"/>
      <c r="D22" s="91" t="s">
        <v>8307</v>
      </c>
      <c r="H22" s="91">
        <v>90</v>
      </c>
    </row>
    <row r="23" spans="1:8" x14ac:dyDescent="0.2">
      <c r="A23" s="92"/>
    </row>
    <row r="24" spans="1:8" x14ac:dyDescent="0.2">
      <c r="A24" s="93"/>
      <c r="B24" s="93"/>
      <c r="C24" s="93"/>
    </row>
    <row r="25" spans="1:8" x14ac:dyDescent="0.2">
      <c r="A25" s="93"/>
    </row>
    <row r="26" spans="1:8" x14ac:dyDescent="0.2">
      <c r="A26" s="142"/>
      <c r="B26" s="142"/>
      <c r="C26" s="142"/>
    </row>
    <row r="27" spans="1:8" x14ac:dyDescent="0.2">
      <c r="A27" s="93"/>
      <c r="D27" s="2"/>
      <c r="E27" s="2"/>
    </row>
    <row r="28" spans="1:8" x14ac:dyDescent="0.2">
      <c r="A28" s="92"/>
    </row>
    <row r="30" spans="1:8" x14ac:dyDescent="0.2">
      <c r="A30" s="93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SUM(H19:H31)</f>
        <v>180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Eighty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x14ac:dyDescent="0.2">
      <c r="A37" s="91" t="s">
        <v>10</v>
      </c>
    </row>
    <row r="38" spans="1:8" ht="25.5" x14ac:dyDescent="0.2"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430"/>
      <c r="F40" s="228"/>
      <c r="G40" s="229"/>
      <c r="H40" s="229"/>
    </row>
    <row r="41" spans="1:8" x14ac:dyDescent="0.2">
      <c r="A41" s="23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1-000000000000}">
  <sheetPr codeName="Sheet570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A9" s="91" t="s">
        <v>5618</v>
      </c>
      <c r="D9" s="92" t="s">
        <v>1334</v>
      </c>
      <c r="E9" s="91" t="s">
        <v>5616</v>
      </c>
      <c r="G9" s="61"/>
    </row>
    <row r="10" spans="1:7" x14ac:dyDescent="0.2">
      <c r="A10" s="91" t="s">
        <v>5619</v>
      </c>
      <c r="D10" s="92" t="s">
        <v>1335</v>
      </c>
      <c r="E10" s="98" t="s">
        <v>5617</v>
      </c>
      <c r="G10" s="113"/>
    </row>
    <row r="11" spans="1:7" x14ac:dyDescent="0.2">
      <c r="A11" s="91" t="s">
        <v>5620</v>
      </c>
      <c r="D11" s="92" t="s">
        <v>1333</v>
      </c>
      <c r="E11" s="92" t="s">
        <v>1220</v>
      </c>
      <c r="G11" s="113"/>
    </row>
    <row r="12" spans="1:7" x14ac:dyDescent="0.2">
      <c r="A12" s="91" t="s">
        <v>5621</v>
      </c>
      <c r="D12" s="92" t="s">
        <v>1331</v>
      </c>
      <c r="E12" s="92" t="s">
        <v>5615</v>
      </c>
      <c r="G12" s="113"/>
    </row>
    <row r="13" spans="1:7" x14ac:dyDescent="0.2">
      <c r="A13" s="91" t="s">
        <v>5622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4580</v>
      </c>
    </row>
    <row r="20" spans="1:6" x14ac:dyDescent="0.2">
      <c r="A20" s="93" t="s">
        <v>5623</v>
      </c>
      <c r="B20" s="111" t="s">
        <v>2032</v>
      </c>
      <c r="C20" s="91" t="s">
        <v>5624</v>
      </c>
      <c r="F20" s="91">
        <f>155*30</f>
        <v>4650</v>
      </c>
    </row>
    <row r="21" spans="1:6" x14ac:dyDescent="0.2">
      <c r="F21" s="110"/>
    </row>
    <row r="22" spans="1:6" x14ac:dyDescent="0.2">
      <c r="A22" s="93"/>
      <c r="B22" s="99"/>
    </row>
    <row r="23" spans="1:6" x14ac:dyDescent="0.2">
      <c r="A23" s="111"/>
      <c r="B23" s="111"/>
      <c r="D23" s="1"/>
      <c r="E23" s="1"/>
      <c r="F23" s="110"/>
    </row>
    <row r="24" spans="1:6" x14ac:dyDescent="0.2">
      <c r="A24" s="93"/>
      <c r="B24" s="99"/>
    </row>
    <row r="25" spans="1:6" x14ac:dyDescent="0.2">
      <c r="A25" s="111"/>
      <c r="B25" s="111"/>
      <c r="D25" s="1"/>
      <c r="E25" s="1"/>
      <c r="F25" s="110"/>
    </row>
    <row r="26" spans="1:6" x14ac:dyDescent="0.2">
      <c r="A26" s="93"/>
      <c r="B26" s="111"/>
    </row>
    <row r="28" spans="1:6" x14ac:dyDescent="0.2">
      <c r="A28" s="93"/>
      <c r="B28" s="99"/>
    </row>
    <row r="30" spans="1:6" x14ac:dyDescent="0.2">
      <c r="A30" s="93"/>
      <c r="B30" s="99"/>
    </row>
    <row r="32" spans="1:6" x14ac:dyDescent="0.2">
      <c r="A32" s="93"/>
      <c r="B32" s="99"/>
      <c r="F32" s="110"/>
    </row>
    <row r="34" spans="1:6" x14ac:dyDescent="0.2">
      <c r="A34" s="93"/>
      <c r="B34" s="111"/>
    </row>
    <row r="35" spans="1:6" ht="13.5" thickBot="1" x14ac:dyDescent="0.25">
      <c r="F35" s="95">
        <f>SUM(F18:F33)</f>
        <v>4650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Six Hundred Fifty and NO/100 -----------</v>
      </c>
      <c r="C37" s="97"/>
      <c r="D37" s="97"/>
      <c r="E37" s="97"/>
      <c r="F37" s="97"/>
    </row>
    <row r="38" spans="1:6" x14ac:dyDescent="0.2">
      <c r="A38" s="94" t="s">
        <v>11</v>
      </c>
    </row>
    <row r="39" spans="1:6" ht="25.5" x14ac:dyDescent="0.2">
      <c r="A39" s="91" t="s">
        <v>10</v>
      </c>
      <c r="D39" s="218" t="s">
        <v>3975</v>
      </c>
      <c r="E39" s="219"/>
      <c r="F39" s="220"/>
    </row>
    <row r="42" spans="1:6" x14ac:dyDescent="0.2">
      <c r="D42" s="227"/>
      <c r="E42" s="227"/>
      <c r="F42" s="227"/>
    </row>
    <row r="43" spans="1:6" x14ac:dyDescent="0.2">
      <c r="A43" s="101"/>
      <c r="B43" s="101"/>
      <c r="D43" s="228"/>
      <c r="E43" s="229"/>
      <c r="F43" s="229"/>
    </row>
    <row r="44" spans="1:6" x14ac:dyDescent="0.2">
      <c r="A44" s="1"/>
      <c r="D44" s="98" t="s">
        <v>7</v>
      </c>
      <c r="F44" s="102"/>
    </row>
    <row r="45" spans="1:6" x14ac:dyDescent="0.2">
      <c r="A45" s="98" t="s">
        <v>8</v>
      </c>
      <c r="D45" s="98"/>
      <c r="F45" s="102"/>
    </row>
    <row r="49" spans="1:6" x14ac:dyDescent="0.2">
      <c r="A49" s="101" t="s">
        <v>120</v>
      </c>
      <c r="B49" s="101"/>
      <c r="D49" s="101"/>
      <c r="E49" s="101"/>
      <c r="F49" s="101"/>
    </row>
    <row r="50" spans="1:6" s="3" customFormat="1" ht="17.100000000000001" customHeight="1" x14ac:dyDescent="0.2">
      <c r="A50" s="103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1-000000000000}">
  <sheetPr codeName="Sheet588">
    <pageSetUpPr fitToPage="1"/>
  </sheetPr>
  <dimension ref="A1:H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2.85546875" style="91" customWidth="1"/>
    <col min="3" max="3" width="1.42578125" style="91" customWidth="1"/>
    <col min="4" max="4" width="21" style="91" customWidth="1"/>
    <col min="5" max="5" width="1.42578125" style="91" customWidth="1"/>
    <col min="6" max="6" width="16.42578125" style="91" customWidth="1"/>
    <col min="7" max="7" width="9.710937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5790</v>
      </c>
      <c r="F9" s="92" t="s">
        <v>1317</v>
      </c>
      <c r="G9" s="91" t="s">
        <v>7076</v>
      </c>
    </row>
    <row r="10" spans="1:8" x14ac:dyDescent="0.2">
      <c r="A10" s="91" t="s">
        <v>5791</v>
      </c>
      <c r="F10" s="92" t="s">
        <v>1329</v>
      </c>
      <c r="G10" s="92" t="s">
        <v>7078</v>
      </c>
    </row>
    <row r="11" spans="1:8" x14ac:dyDescent="0.2">
      <c r="A11" s="91" t="s">
        <v>5792</v>
      </c>
      <c r="F11" s="92" t="s">
        <v>1330</v>
      </c>
      <c r="G11" s="92" t="s">
        <v>1220</v>
      </c>
    </row>
    <row r="12" spans="1:8" x14ac:dyDescent="0.2">
      <c r="A12" s="94" t="s">
        <v>1284</v>
      </c>
      <c r="F12" s="92" t="s">
        <v>1331</v>
      </c>
      <c r="G12" s="94" t="s">
        <v>7077</v>
      </c>
    </row>
    <row r="13" spans="1:8" x14ac:dyDescent="0.2">
      <c r="A13" s="91" t="s">
        <v>5793</v>
      </c>
    </row>
    <row r="16" spans="1:8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A18" s="93"/>
      <c r="B18" s="93"/>
      <c r="C18" s="93"/>
      <c r="D18" s="2" t="s">
        <v>7080</v>
      </c>
      <c r="E18" s="2"/>
    </row>
    <row r="20" spans="1:8" x14ac:dyDescent="0.2">
      <c r="A20" s="93" t="s">
        <v>7071</v>
      </c>
      <c r="B20" s="93" t="s">
        <v>7079</v>
      </c>
      <c r="C20" s="93"/>
      <c r="D20" s="91" t="s">
        <v>7081</v>
      </c>
      <c r="H20" s="91">
        <f>169.81*68</f>
        <v>11547.08</v>
      </c>
    </row>
    <row r="21" spans="1:8" x14ac:dyDescent="0.2">
      <c r="A21" s="93"/>
      <c r="B21" s="93"/>
      <c r="C21" s="93"/>
      <c r="D21" s="91" t="s">
        <v>6886</v>
      </c>
      <c r="H21" s="91">
        <v>692.92</v>
      </c>
    </row>
    <row r="22" spans="1:8" x14ac:dyDescent="0.2">
      <c r="A22" s="93"/>
      <c r="B22" s="93"/>
      <c r="C22" s="93"/>
      <c r="D22" s="91" t="s">
        <v>7082</v>
      </c>
      <c r="H22" s="91">
        <v>630</v>
      </c>
    </row>
    <row r="23" spans="1:8" x14ac:dyDescent="0.2">
      <c r="A23" s="93"/>
      <c r="B23" s="93"/>
      <c r="C23" s="93"/>
      <c r="D23" s="91" t="s">
        <v>5275</v>
      </c>
      <c r="H23" s="91">
        <v>204</v>
      </c>
    </row>
    <row r="24" spans="1:8" x14ac:dyDescent="0.2">
      <c r="A24" s="93"/>
      <c r="B24" s="93"/>
      <c r="C24" s="93"/>
    </row>
    <row r="25" spans="1:8" x14ac:dyDescent="0.2">
      <c r="A25" s="93" t="s">
        <v>7083</v>
      </c>
      <c r="B25" s="93" t="s">
        <v>7084</v>
      </c>
      <c r="C25" s="99"/>
      <c r="D25" s="91" t="s">
        <v>7085</v>
      </c>
      <c r="H25" s="91">
        <v>5188.68</v>
      </c>
    </row>
    <row r="26" spans="1:8" x14ac:dyDescent="0.2">
      <c r="D26" s="91" t="s">
        <v>6886</v>
      </c>
      <c r="H26" s="91">
        <f>H25*6%</f>
        <v>311.32080000000002</v>
      </c>
    </row>
    <row r="30" spans="1:8" x14ac:dyDescent="0.2">
      <c r="A30" s="1"/>
      <c r="B30" s="1"/>
      <c r="C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06"/>
      <c r="H32" s="1"/>
    </row>
    <row r="33" spans="1:8" ht="13.5" thickBot="1" x14ac:dyDescent="0.25">
      <c r="A33" s="106"/>
      <c r="H33" s="107">
        <f>SUM(H18:H31)</f>
        <v>18574.000800000002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Eighteen Thousand Five Hundred Seventy-Four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E40" s="99"/>
      <c r="F40" s="228"/>
      <c r="G40" s="229"/>
      <c r="H40" s="229"/>
    </row>
    <row r="41" spans="1:8" x14ac:dyDescent="0.2">
      <c r="A41" s="23"/>
      <c r="B41" s="101"/>
    </row>
    <row r="42" spans="1:8" x14ac:dyDescent="0.2">
      <c r="A42" s="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8" s="3" customFormat="1" ht="17.100000000000001" customHeight="1" x14ac:dyDescent="0.2">
      <c r="A49" s="209" t="s">
        <v>4047</v>
      </c>
      <c r="B49" s="104"/>
      <c r="C49" s="104"/>
      <c r="D49" s="209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1-000000000000}">
  <sheetPr codeName="Sheet552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3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1317</v>
      </c>
      <c r="E9" s="91" t="s">
        <v>5382</v>
      </c>
    </row>
    <row r="10" spans="1:6" s="91" customFormat="1" x14ac:dyDescent="0.2">
      <c r="A10" s="91" t="s">
        <v>5384</v>
      </c>
      <c r="D10" s="92" t="s">
        <v>1357</v>
      </c>
      <c r="E10" s="98" t="s">
        <v>5381</v>
      </c>
    </row>
    <row r="11" spans="1:6" s="91" customFormat="1" x14ac:dyDescent="0.2">
      <c r="A11" s="91" t="s">
        <v>5385</v>
      </c>
      <c r="D11" s="92" t="s">
        <v>1330</v>
      </c>
      <c r="E11" s="92" t="s">
        <v>1220</v>
      </c>
    </row>
    <row r="12" spans="1:6" s="91" customFormat="1" x14ac:dyDescent="0.2">
      <c r="A12" s="91" t="s">
        <v>5386</v>
      </c>
      <c r="D12" s="92" t="s">
        <v>1224</v>
      </c>
      <c r="E12" s="92" t="s">
        <v>5383</v>
      </c>
    </row>
    <row r="13" spans="1:6" s="91" customFormat="1" x14ac:dyDescent="0.2">
      <c r="A13" s="91" t="s">
        <v>5387</v>
      </c>
    </row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C18" s="2" t="s">
        <v>5388</v>
      </c>
    </row>
    <row r="19" spans="1:6" s="91" customFormat="1" x14ac:dyDescent="0.2">
      <c r="C19" s="2"/>
    </row>
    <row r="20" spans="1:6" s="91" customFormat="1" x14ac:dyDescent="0.2">
      <c r="A20" s="93" t="s">
        <v>5389</v>
      </c>
      <c r="B20" s="93" t="s">
        <v>5390</v>
      </c>
      <c r="C20" s="91" t="s">
        <v>5391</v>
      </c>
      <c r="F20" s="91">
        <v>3000</v>
      </c>
    </row>
    <row r="21" spans="1:6" s="91" customFormat="1" x14ac:dyDescent="0.2">
      <c r="A21" s="93"/>
      <c r="B21" s="93"/>
      <c r="C21" s="91" t="s">
        <v>5392</v>
      </c>
    </row>
    <row r="22" spans="1:6" s="91" customFormat="1" x14ac:dyDescent="0.2"/>
    <row r="23" spans="1:6" s="91" customFormat="1" x14ac:dyDescent="0.2"/>
    <row r="24" spans="1:6" s="91" customFormat="1" x14ac:dyDescent="0.2"/>
    <row r="25" spans="1:6" s="91" customFormat="1" x14ac:dyDescent="0.2"/>
    <row r="26" spans="1:6" s="91" customFormat="1" x14ac:dyDescent="0.2"/>
    <row r="27" spans="1:6" s="91" customFormat="1" x14ac:dyDescent="0.2"/>
    <row r="28" spans="1:6" s="91" customFormat="1" x14ac:dyDescent="0.2"/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x14ac:dyDescent="0.2"/>
    <row r="35" spans="1:6" s="91" customFormat="1" ht="13.5" thickBot="1" x14ac:dyDescent="0.25">
      <c r="F35" s="107">
        <f>SUM(F20:F33)</f>
        <v>3000</v>
      </c>
    </row>
    <row r="36" spans="1:6" s="91" customFormat="1" ht="13.5" thickTop="1" x14ac:dyDescent="0.2"/>
    <row r="37" spans="1:6" s="91" customFormat="1" ht="20.100000000000001" customHeight="1" x14ac:dyDescent="0.2">
      <c r="A37" s="96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Thousand and NO/100 -----------</v>
      </c>
      <c r="C37" s="97"/>
      <c r="D37" s="97"/>
      <c r="E37" s="97"/>
      <c r="F37" s="97"/>
    </row>
    <row r="38" spans="1:6" s="91" customFormat="1" x14ac:dyDescent="0.2">
      <c r="A38" s="94" t="s">
        <v>11</v>
      </c>
    </row>
    <row r="39" spans="1:6" s="91" customFormat="1" ht="25.5" x14ac:dyDescent="0.2">
      <c r="A39" s="91" t="s">
        <v>10</v>
      </c>
      <c r="D39" s="218" t="s">
        <v>3975</v>
      </c>
      <c r="E39" s="219"/>
      <c r="F39" s="220"/>
    </row>
    <row r="40" spans="1:6" s="91" customFormat="1" x14ac:dyDescent="0.2"/>
    <row r="41" spans="1:6" s="91" customFormat="1" x14ac:dyDescent="0.2">
      <c r="D41" s="227"/>
      <c r="E41" s="227"/>
      <c r="F41" s="227"/>
    </row>
    <row r="42" spans="1:6" s="91" customFormat="1" x14ac:dyDescent="0.2">
      <c r="C42" s="99"/>
      <c r="D42" s="228"/>
      <c r="E42" s="229"/>
      <c r="F42" s="229"/>
    </row>
    <row r="43" spans="1:6" s="91" customFormat="1" x14ac:dyDescent="0.2">
      <c r="A43" s="101"/>
      <c r="B43" s="101"/>
    </row>
    <row r="44" spans="1:6" s="91" customFormat="1" x14ac:dyDescent="0.2"/>
    <row r="45" spans="1:6" s="91" customFormat="1" x14ac:dyDescent="0.2">
      <c r="A45" s="98" t="s">
        <v>8</v>
      </c>
      <c r="D45" s="98" t="s">
        <v>7</v>
      </c>
      <c r="F45" s="102"/>
    </row>
    <row r="46" spans="1:6" s="91" customFormat="1" x14ac:dyDescent="0.2"/>
    <row r="47" spans="1:6" s="91" customFormat="1" x14ac:dyDescent="0.2"/>
    <row r="48" spans="1:6" s="91" customFormat="1" x14ac:dyDescent="0.2"/>
    <row r="49" spans="1:6" s="91" customFormat="1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4066</v>
      </c>
      <c r="B50" s="104"/>
      <c r="D50" s="61" t="s">
        <v>3</v>
      </c>
    </row>
    <row r="51" spans="1:6" s="91" customFormat="1" x14ac:dyDescent="0.2">
      <c r="D51" s="91" t="s">
        <v>2</v>
      </c>
    </row>
    <row r="52" spans="1:6" s="91" customFormat="1" x14ac:dyDescent="0.2"/>
    <row r="53" spans="1:6" s="91" customFormat="1" x14ac:dyDescent="0.2">
      <c r="D53" s="2" t="s">
        <v>1</v>
      </c>
    </row>
    <row r="54" spans="1:6" s="91" customFormat="1" x14ac:dyDescent="0.2">
      <c r="D54" s="2" t="s">
        <v>0</v>
      </c>
    </row>
    <row r="55" spans="1:6" s="91" customFormat="1" x14ac:dyDescent="0.2"/>
    <row r="56" spans="1:6" s="91" customFormat="1" x14ac:dyDescent="0.2"/>
    <row r="57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1-000000000000}">
  <sheetPr codeName="Sheet460">
    <pageSetUpPr fitToPage="1"/>
  </sheetPr>
  <dimension ref="A1:L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" style="153" customWidth="1"/>
    <col min="2" max="2" width="13.42578125" style="153" customWidth="1"/>
    <col min="3" max="3" width="21" style="153" customWidth="1"/>
    <col min="4" max="4" width="16.42578125" style="153" customWidth="1"/>
    <col min="5" max="5" width="8.7109375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91" t="s">
        <v>7086</v>
      </c>
    </row>
    <row r="10" spans="1:6" x14ac:dyDescent="0.2">
      <c r="A10" s="153" t="s">
        <v>4304</v>
      </c>
      <c r="D10" s="155" t="s">
        <v>1329</v>
      </c>
      <c r="E10" s="92" t="s">
        <v>6412</v>
      </c>
    </row>
    <row r="11" spans="1:6" x14ac:dyDescent="0.2">
      <c r="A11" s="153" t="s">
        <v>5893</v>
      </c>
      <c r="D11" s="155" t="s">
        <v>1330</v>
      </c>
      <c r="E11" s="92" t="s">
        <v>1220</v>
      </c>
    </row>
    <row r="12" spans="1:6" x14ac:dyDescent="0.2">
      <c r="D12" s="155" t="s">
        <v>1331</v>
      </c>
      <c r="E12" s="92" t="s">
        <v>7087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12" x14ac:dyDescent="0.2">
      <c r="A17" s="164"/>
    </row>
    <row r="18" spans="1:12" x14ac:dyDescent="0.2">
      <c r="C18" s="169" t="s">
        <v>7088</v>
      </c>
      <c r="F18" s="153">
        <v>400</v>
      </c>
      <c r="I18" s="153" t="s">
        <v>4305</v>
      </c>
      <c r="J18" s="153"/>
      <c r="K18" s="153"/>
      <c r="L18" s="153"/>
    </row>
    <row r="19" spans="1:12" x14ac:dyDescent="0.2">
      <c r="C19" s="163"/>
      <c r="I19" s="153"/>
      <c r="J19" s="153"/>
      <c r="K19" s="153"/>
      <c r="L19" s="153"/>
    </row>
    <row r="20" spans="1:12" x14ac:dyDescent="0.2">
      <c r="A20" s="155"/>
      <c r="B20" s="168"/>
      <c r="I20" s="153" t="s">
        <v>5559</v>
      </c>
      <c r="J20" s="153"/>
      <c r="K20" s="153"/>
      <c r="L20" s="153"/>
    </row>
    <row r="21" spans="1:12" x14ac:dyDescent="0.2">
      <c r="A21" s="175"/>
      <c r="I21" s="153" t="s">
        <v>5555</v>
      </c>
      <c r="J21" s="153"/>
      <c r="K21" s="153"/>
      <c r="L21" s="153"/>
    </row>
    <row r="22" spans="1:12" x14ac:dyDescent="0.2">
      <c r="A22" s="168"/>
      <c r="B22" s="168"/>
      <c r="I22" s="153" t="s">
        <v>5556</v>
      </c>
      <c r="J22" s="153"/>
      <c r="K22" s="153"/>
      <c r="L22" s="153"/>
    </row>
    <row r="23" spans="1:12" x14ac:dyDescent="0.2">
      <c r="A23" s="164"/>
      <c r="C23" s="163"/>
      <c r="I23" s="153" t="s">
        <v>5557</v>
      </c>
      <c r="J23" s="153"/>
      <c r="K23" s="153"/>
      <c r="L23" s="153"/>
    </row>
    <row r="24" spans="1:12" x14ac:dyDescent="0.2">
      <c r="C24" s="163"/>
      <c r="I24" s="153" t="s">
        <v>5558</v>
      </c>
      <c r="J24" s="153"/>
      <c r="K24" s="153"/>
      <c r="L24" s="153"/>
    </row>
    <row r="25" spans="1:12" x14ac:dyDescent="0.2">
      <c r="I25" s="153" t="s">
        <v>5560</v>
      </c>
      <c r="J25" s="153"/>
      <c r="K25" s="153"/>
      <c r="L25" s="153">
        <v>293.44</v>
      </c>
    </row>
    <row r="26" spans="1:12" x14ac:dyDescent="0.2">
      <c r="I26" s="153" t="s">
        <v>5561</v>
      </c>
      <c r="J26" s="153"/>
      <c r="K26" s="153"/>
      <c r="L26" s="153">
        <v>207.2</v>
      </c>
    </row>
    <row r="27" spans="1:12" x14ac:dyDescent="0.2">
      <c r="I27" s="153" t="s">
        <v>5562</v>
      </c>
      <c r="J27" s="153"/>
      <c r="K27" s="153"/>
      <c r="L27" s="153">
        <v>230.06</v>
      </c>
    </row>
    <row r="28" spans="1:12" x14ac:dyDescent="0.2">
      <c r="I28" s="153" t="s">
        <v>5566</v>
      </c>
      <c r="J28" s="153"/>
      <c r="K28" s="153"/>
      <c r="L28" s="153">
        <v>207.2</v>
      </c>
    </row>
    <row r="29" spans="1:12" x14ac:dyDescent="0.2">
      <c r="I29" s="153" t="s">
        <v>5564</v>
      </c>
      <c r="J29" s="153"/>
      <c r="K29" s="153"/>
      <c r="L29" s="153">
        <v>234.4</v>
      </c>
    </row>
    <row r="30" spans="1:12" x14ac:dyDescent="0.2">
      <c r="I30" s="153" t="s">
        <v>5565</v>
      </c>
      <c r="J30" s="153"/>
      <c r="K30" s="153"/>
      <c r="L30" s="153">
        <v>293.2</v>
      </c>
    </row>
    <row r="31" spans="1:12" x14ac:dyDescent="0.2">
      <c r="I31" s="153" t="s">
        <v>5567</v>
      </c>
      <c r="J31" s="153"/>
      <c r="K31" s="153"/>
      <c r="L31" s="153">
        <v>270.12</v>
      </c>
    </row>
    <row r="32" spans="1:12" x14ac:dyDescent="0.2">
      <c r="I32" s="153" t="s">
        <v>5563</v>
      </c>
      <c r="J32" s="153"/>
      <c r="K32" s="153"/>
      <c r="L32" s="153">
        <v>242.2</v>
      </c>
    </row>
    <row r="33" spans="1:12" x14ac:dyDescent="0.2">
      <c r="I33" s="153" t="s">
        <v>5568</v>
      </c>
      <c r="J33" s="153"/>
      <c r="K33" s="153"/>
      <c r="L33" s="153">
        <v>256.60000000000002</v>
      </c>
    </row>
    <row r="34" spans="1:12" x14ac:dyDescent="0.2">
      <c r="I34" s="153" t="s">
        <v>5569</v>
      </c>
      <c r="J34" s="153"/>
      <c r="K34" s="153"/>
      <c r="L34" s="153">
        <v>252.2</v>
      </c>
    </row>
    <row r="35" spans="1:12" x14ac:dyDescent="0.2">
      <c r="A35" s="164"/>
      <c r="F35" s="152"/>
    </row>
    <row r="36" spans="1:12" ht="13.5" thickBot="1" x14ac:dyDescent="0.25">
      <c r="A36" s="164"/>
      <c r="F36" s="170">
        <f>SUM(F18:F34)</f>
        <v>400</v>
      </c>
    </row>
    <row r="37" spans="1:12" ht="13.5" thickTop="1" x14ac:dyDescent="0.2">
      <c r="A37" s="164"/>
    </row>
    <row r="38" spans="1:12" ht="20.100000000000001" customHeight="1" x14ac:dyDescent="0.2">
      <c r="A38" s="171" t="s">
        <v>1248</v>
      </c>
      <c r="B38" s="213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Four Hundred and NO/100 -----------</v>
      </c>
      <c r="C38" s="172"/>
      <c r="D38" s="249"/>
      <c r="E38" s="249"/>
      <c r="F38" s="249"/>
    </row>
    <row r="39" spans="1:12" x14ac:dyDescent="0.2">
      <c r="A39" s="169"/>
    </row>
    <row r="40" spans="1:12" ht="25.5" x14ac:dyDescent="0.2">
      <c r="A40" s="169"/>
      <c r="D40" s="218" t="s">
        <v>3975</v>
      </c>
      <c r="E40" s="219"/>
      <c r="F40" s="220"/>
    </row>
    <row r="41" spans="1:12" x14ac:dyDescent="0.2">
      <c r="A41" s="153" t="s">
        <v>10</v>
      </c>
      <c r="D41" s="227"/>
      <c r="E41" s="227"/>
      <c r="F41" s="227"/>
    </row>
    <row r="42" spans="1:12" x14ac:dyDescent="0.2">
      <c r="D42" s="228"/>
      <c r="E42" s="229"/>
      <c r="F42" s="229"/>
    </row>
    <row r="43" spans="1:12" x14ac:dyDescent="0.2">
      <c r="A43" s="152"/>
    </row>
    <row r="44" spans="1:12" x14ac:dyDescent="0.2">
      <c r="A44" s="174"/>
      <c r="B44" s="174"/>
    </row>
    <row r="45" spans="1:12" x14ac:dyDescent="0.2">
      <c r="D45" s="175" t="s">
        <v>7</v>
      </c>
    </row>
    <row r="46" spans="1:12" x14ac:dyDescent="0.2">
      <c r="A46" s="153" t="s">
        <v>8</v>
      </c>
      <c r="F46" s="176"/>
    </row>
    <row r="50" spans="1:6" x14ac:dyDescent="0.2">
      <c r="A50" s="174" t="s">
        <v>120</v>
      </c>
      <c r="B50" s="174"/>
      <c r="D50" s="174"/>
      <c r="E50" s="174"/>
      <c r="F50" s="174"/>
    </row>
    <row r="51" spans="1:6" s="178" customFormat="1" ht="17.100000000000001" customHeight="1" x14ac:dyDescent="0.2">
      <c r="A51" s="156" t="s">
        <v>4066</v>
      </c>
      <c r="B51" s="177"/>
      <c r="C51" s="156"/>
      <c r="D51" s="156" t="s">
        <v>3</v>
      </c>
      <c r="E51" s="156"/>
      <c r="F51" s="156"/>
    </row>
    <row r="52" spans="1:6" x14ac:dyDescent="0.2">
      <c r="D52" s="153" t="s">
        <v>2</v>
      </c>
    </row>
    <row r="54" spans="1:6" x14ac:dyDescent="0.2">
      <c r="D54" s="163" t="s">
        <v>1</v>
      </c>
    </row>
    <row r="55" spans="1:6" x14ac:dyDescent="0.2">
      <c r="D55" s="163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6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1-000000000000}">
  <sheetPr codeName="Sheet507">
    <pageSetUpPr fitToPage="1"/>
  </sheetPr>
  <dimension ref="A1:H54"/>
  <sheetViews>
    <sheetView workbookViewId="0">
      <selection activeCell="F19" sqref="F19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0.85546875" style="91" customWidth="1"/>
    <col min="4" max="4" width="21" style="91" customWidth="1"/>
    <col min="5" max="5" width="1.85546875" style="91" customWidth="1"/>
    <col min="6" max="6" width="16.42578125" style="91" customWidth="1"/>
    <col min="7" max="7" width="8.42578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3" t="s">
        <v>8656</v>
      </c>
    </row>
    <row r="10" spans="1:8" x14ac:dyDescent="0.2">
      <c r="A10" s="91" t="s">
        <v>2901</v>
      </c>
      <c r="F10" s="92" t="s">
        <v>1444</v>
      </c>
      <c r="G10" s="155" t="s">
        <v>8628</v>
      </c>
    </row>
    <row r="11" spans="1:8" x14ac:dyDescent="0.2">
      <c r="A11" s="94" t="s">
        <v>2088</v>
      </c>
      <c r="F11" s="92" t="s">
        <v>1431</v>
      </c>
      <c r="G11" s="155" t="s">
        <v>2625</v>
      </c>
    </row>
    <row r="12" spans="1:8" x14ac:dyDescent="0.2">
      <c r="A12" s="94" t="s">
        <v>4926</v>
      </c>
      <c r="F12" s="92" t="s">
        <v>1268</v>
      </c>
      <c r="G12" s="155" t="s">
        <v>8657</v>
      </c>
    </row>
    <row r="13" spans="1:8" x14ac:dyDescent="0.2">
      <c r="A13" s="91" t="s">
        <v>4927</v>
      </c>
      <c r="G13" s="153" t="s">
        <v>7762</v>
      </c>
    </row>
    <row r="14" spans="1:8" x14ac:dyDescent="0.2">
      <c r="A14" s="91" t="s">
        <v>4928</v>
      </c>
    </row>
    <row r="15" spans="1:8" x14ac:dyDescent="0.2">
      <c r="A15" s="91" t="s">
        <v>4929</v>
      </c>
    </row>
    <row r="16" spans="1:8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111"/>
      <c r="B18" s="93"/>
      <c r="C18" s="93"/>
      <c r="D18" s="2" t="s">
        <v>8658</v>
      </c>
      <c r="E18" s="2"/>
    </row>
    <row r="19" spans="1:8" x14ac:dyDescent="0.2">
      <c r="D19" s="2" t="s">
        <v>8659</v>
      </c>
    </row>
    <row r="20" spans="1:8" x14ac:dyDescent="0.2">
      <c r="A20" s="133"/>
      <c r="B20" s="111"/>
      <c r="C20" s="111"/>
      <c r="H20" s="110"/>
    </row>
    <row r="21" spans="1:8" x14ac:dyDescent="0.2">
      <c r="A21" s="111" t="s">
        <v>8660</v>
      </c>
      <c r="B21" s="93"/>
      <c r="C21" s="93"/>
      <c r="D21" s="91" t="s">
        <v>4930</v>
      </c>
      <c r="H21" s="110">
        <v>1500</v>
      </c>
    </row>
    <row r="22" spans="1:8" x14ac:dyDescent="0.2">
      <c r="D22" s="143"/>
      <c r="E22" s="143"/>
    </row>
    <row r="24" spans="1:8" x14ac:dyDescent="0.2">
      <c r="H24" s="110"/>
    </row>
    <row r="25" spans="1:8" x14ac:dyDescent="0.2">
      <c r="D25" s="2"/>
      <c r="E25" s="2"/>
      <c r="H25" s="110"/>
    </row>
    <row r="26" spans="1:8" x14ac:dyDescent="0.2">
      <c r="H26" s="110"/>
    </row>
    <row r="27" spans="1:8" x14ac:dyDescent="0.2">
      <c r="D27" s="2"/>
      <c r="E27" s="2"/>
      <c r="H27" s="110"/>
    </row>
    <row r="29" spans="1:8" x14ac:dyDescent="0.2">
      <c r="A29" s="111"/>
      <c r="B29" s="93"/>
      <c r="C29" s="93"/>
    </row>
    <row r="31" spans="1:8" x14ac:dyDescent="0.2">
      <c r="A31" s="108"/>
    </row>
    <row r="35" spans="1:8" ht="13.5" thickBot="1" x14ac:dyDescent="0.25">
      <c r="H35" s="95">
        <f>SUM(H20:H33)</f>
        <v>1500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Five Hundred and NO/100 -----------</v>
      </c>
      <c r="C37" s="185"/>
      <c r="D37" s="97"/>
      <c r="E37" s="222"/>
      <c r="F37" s="222"/>
      <c r="G37" s="222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D41" s="99"/>
      <c r="E41" s="99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9" spans="1:8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103" t="s">
        <v>4066</v>
      </c>
      <c r="B50" s="104"/>
      <c r="C50" s="104"/>
      <c r="D50" s="103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1-000000000000}">
  <sheetPr codeName="Sheet482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5280</v>
      </c>
    </row>
    <row r="10" spans="1:6" s="91" customFormat="1" x14ac:dyDescent="0.2">
      <c r="A10" s="91" t="s">
        <v>4699</v>
      </c>
      <c r="D10" s="92" t="s">
        <v>1706</v>
      </c>
      <c r="E10" s="92" t="s">
        <v>5261</v>
      </c>
    </row>
    <row r="11" spans="1:6" s="91" customFormat="1" x14ac:dyDescent="0.2">
      <c r="A11" s="91" t="s">
        <v>4700</v>
      </c>
      <c r="D11" s="92" t="s">
        <v>1707</v>
      </c>
      <c r="E11" s="92" t="s">
        <v>1220</v>
      </c>
    </row>
    <row r="12" spans="1:6" s="91" customFormat="1" x14ac:dyDescent="0.2">
      <c r="A12" s="91" t="s">
        <v>4701</v>
      </c>
      <c r="D12" s="92" t="s">
        <v>1355</v>
      </c>
      <c r="E12" s="94" t="s">
        <v>5281</v>
      </c>
    </row>
    <row r="13" spans="1:6" s="91" customFormat="1" x14ac:dyDescent="0.2">
      <c r="A13" s="91" t="s">
        <v>4702</v>
      </c>
    </row>
    <row r="14" spans="1:6" s="91" customFormat="1" x14ac:dyDescent="0.2">
      <c r="A14" s="91" t="s">
        <v>4703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5144</v>
      </c>
    </row>
    <row r="19" spans="1:6" s="91" customFormat="1" x14ac:dyDescent="0.2"/>
    <row r="20" spans="1:6" s="91" customFormat="1" x14ac:dyDescent="0.2">
      <c r="A20" s="93" t="s">
        <v>5282</v>
      </c>
      <c r="B20" s="93"/>
      <c r="C20" s="91" t="s">
        <v>5283</v>
      </c>
      <c r="F20" s="91">
        <v>900</v>
      </c>
    </row>
    <row r="21" spans="1:6" s="91" customFormat="1" x14ac:dyDescent="0.2"/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ht="13.5" thickBot="1" x14ac:dyDescent="0.25">
      <c r="F33" s="95">
        <f>SUM(F18:F31)</f>
        <v>900</v>
      </c>
    </row>
    <row r="34" spans="1:6" s="91" customFormat="1" ht="13.5" thickTop="1" x14ac:dyDescent="0.2">
      <c r="F34" s="101"/>
    </row>
    <row r="35" spans="1:6" s="91" customFormat="1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Nine Hundred and NO/100 -----------</v>
      </c>
      <c r="C35" s="97"/>
      <c r="D35" s="97"/>
      <c r="E35" s="97"/>
      <c r="F35" s="207"/>
    </row>
    <row r="36" spans="1:6" s="91" customFormat="1" x14ac:dyDescent="0.2">
      <c r="A36" s="94" t="s">
        <v>11</v>
      </c>
    </row>
    <row r="37" spans="1:6" s="91" customFormat="1" ht="25.5" x14ac:dyDescent="0.2">
      <c r="A37" s="91" t="s">
        <v>10</v>
      </c>
      <c r="D37" s="218" t="s">
        <v>3975</v>
      </c>
      <c r="E37" s="219"/>
      <c r="F37" s="220"/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A41" s="101"/>
      <c r="B41" s="101"/>
    </row>
    <row r="42" spans="1:6" s="91" customFormat="1" x14ac:dyDescent="0.2"/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s="91" customFormat="1" x14ac:dyDescent="0.2">
      <c r="D49" s="91" t="s">
        <v>2</v>
      </c>
    </row>
    <row r="50" spans="4:4" s="91" customFormat="1" x14ac:dyDescent="0.2"/>
    <row r="51" spans="4:4" s="91" customFormat="1" x14ac:dyDescent="0.2">
      <c r="D51" s="2" t="s">
        <v>1</v>
      </c>
    </row>
    <row r="52" spans="4:4" s="91" customFormat="1" x14ac:dyDescent="0.2">
      <c r="D52" s="2" t="s">
        <v>0</v>
      </c>
    </row>
    <row r="53" spans="4:4" s="91" customFormat="1" x14ac:dyDescent="0.2"/>
    <row r="54" spans="4:4" s="91" customFormat="1" x14ac:dyDescent="0.2"/>
    <row r="55" spans="4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99">
    <pageSetUpPr fitToPage="1"/>
  </sheetPr>
  <dimension ref="A1:F52"/>
  <sheetViews>
    <sheetView topLeftCell="A13"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23.7109375" style="91" customWidth="1"/>
    <col min="4" max="4" width="16.42578125" style="91" customWidth="1"/>
    <col min="5" max="5" width="15.42578125" style="91" customWidth="1"/>
    <col min="6" max="6" width="13.28515625" style="91" customWidth="1"/>
    <col min="7" max="16384" width="9.140625" style="91"/>
  </cols>
  <sheetData>
    <row r="1" spans="1:5" ht="15" x14ac:dyDescent="0.25">
      <c r="A1" s="521" t="s">
        <v>34</v>
      </c>
      <c r="B1" s="521"/>
      <c r="C1" s="521"/>
      <c r="D1" s="521"/>
      <c r="E1" s="521"/>
    </row>
    <row r="2" spans="1:5" x14ac:dyDescent="0.2">
      <c r="A2" s="522" t="s">
        <v>33</v>
      </c>
      <c r="B2" s="522"/>
      <c r="C2" s="522"/>
      <c r="D2" s="522"/>
      <c r="E2" s="522"/>
    </row>
    <row r="3" spans="1:5" x14ac:dyDescent="0.2">
      <c r="A3" s="522" t="s">
        <v>1829</v>
      </c>
      <c r="B3" s="522"/>
      <c r="C3" s="522"/>
      <c r="D3" s="522"/>
      <c r="E3" s="522"/>
    </row>
    <row r="4" spans="1:5" x14ac:dyDescent="0.2">
      <c r="A4" s="522" t="s">
        <v>1828</v>
      </c>
      <c r="B4" s="522"/>
      <c r="C4" s="522"/>
      <c r="D4" s="522"/>
      <c r="E4" s="522"/>
    </row>
    <row r="8" spans="1:5" x14ac:dyDescent="0.2">
      <c r="A8" s="91" t="s">
        <v>32</v>
      </c>
      <c r="D8" s="22" t="s">
        <v>31</v>
      </c>
    </row>
    <row r="9" spans="1:5" x14ac:dyDescent="0.2">
      <c r="D9" s="92" t="s">
        <v>1393</v>
      </c>
      <c r="E9" s="61" t="s">
        <v>3091</v>
      </c>
    </row>
    <row r="10" spans="1:5" x14ac:dyDescent="0.2">
      <c r="A10" s="91" t="s">
        <v>3094</v>
      </c>
      <c r="D10" s="92" t="s">
        <v>1356</v>
      </c>
      <c r="E10" s="113" t="s">
        <v>3092</v>
      </c>
    </row>
    <row r="11" spans="1:5" x14ac:dyDescent="0.2">
      <c r="A11" s="91" t="s">
        <v>3095</v>
      </c>
      <c r="D11" s="92" t="s">
        <v>1364</v>
      </c>
      <c r="E11" s="113" t="s">
        <v>1220</v>
      </c>
    </row>
    <row r="12" spans="1:5" x14ac:dyDescent="0.2">
      <c r="A12" s="91" t="s">
        <v>3096</v>
      </c>
      <c r="D12" s="92" t="s">
        <v>1394</v>
      </c>
      <c r="E12" s="113" t="s">
        <v>3093</v>
      </c>
    </row>
    <row r="13" spans="1:5" x14ac:dyDescent="0.2">
      <c r="A13" s="91" t="s">
        <v>3097</v>
      </c>
      <c r="D13" s="92"/>
    </row>
    <row r="14" spans="1:5" x14ac:dyDescent="0.2">
      <c r="A14" s="91" t="s">
        <v>3098</v>
      </c>
    </row>
    <row r="16" spans="1:5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</row>
    <row r="18" spans="1:5" x14ac:dyDescent="0.2">
      <c r="A18" s="93"/>
      <c r="B18" s="93"/>
      <c r="C18" s="2" t="s">
        <v>3099</v>
      </c>
    </row>
    <row r="19" spans="1:5" x14ac:dyDescent="0.2">
      <c r="A19" s="94"/>
    </row>
    <row r="20" spans="1:5" x14ac:dyDescent="0.2">
      <c r="A20" s="93"/>
      <c r="B20" s="93"/>
      <c r="C20" s="91" t="s">
        <v>1723</v>
      </c>
    </row>
    <row r="21" spans="1:5" x14ac:dyDescent="0.2">
      <c r="A21" s="92"/>
      <c r="B21" s="93"/>
    </row>
    <row r="22" spans="1:5" x14ac:dyDescent="0.2">
      <c r="B22" s="94"/>
      <c r="C22" s="91" t="s">
        <v>3100</v>
      </c>
      <c r="E22" s="91">
        <v>1867.45</v>
      </c>
    </row>
    <row r="23" spans="1:5" x14ac:dyDescent="0.2">
      <c r="B23" s="94"/>
    </row>
    <row r="24" spans="1:5" x14ac:dyDescent="0.2">
      <c r="A24" s="93"/>
      <c r="B24" s="93"/>
    </row>
    <row r="26" spans="1:5" x14ac:dyDescent="0.2">
      <c r="B26" s="94"/>
    </row>
    <row r="27" spans="1:5" x14ac:dyDescent="0.2">
      <c r="B27" s="94"/>
    </row>
    <row r="28" spans="1:5" x14ac:dyDescent="0.2">
      <c r="B28" s="94"/>
    </row>
    <row r="29" spans="1:5" x14ac:dyDescent="0.2">
      <c r="B29" s="94"/>
      <c r="C29" s="2"/>
    </row>
    <row r="30" spans="1:5" x14ac:dyDescent="0.2">
      <c r="B30" s="94"/>
    </row>
    <row r="31" spans="1:5" x14ac:dyDescent="0.2">
      <c r="B31" s="94"/>
    </row>
    <row r="32" spans="1:5" x14ac:dyDescent="0.2">
      <c r="B32" s="94"/>
    </row>
    <row r="33" spans="1:6" ht="13.5" thickBot="1" x14ac:dyDescent="0.25">
      <c r="E33" s="107">
        <f>SUM(E18:E31)</f>
        <v>1867.45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1465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/>
      </c>
      <c r="C35" s="97"/>
      <c r="D35" s="97"/>
      <c r="E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E43" s="102"/>
    </row>
    <row r="47" spans="1:6" x14ac:dyDescent="0.2">
      <c r="A47" s="101" t="s">
        <v>3972</v>
      </c>
      <c r="B47" s="101"/>
      <c r="D47" s="91" t="s">
        <v>5</v>
      </c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3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1-000000000000}">
  <sheetPr codeName="Sheet462">
    <pageSetUpPr fitToPage="1"/>
  </sheetPr>
  <dimension ref="A1:F54"/>
  <sheetViews>
    <sheetView topLeftCell="A7"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61" t="s">
        <v>4250</v>
      </c>
    </row>
    <row r="10" spans="1:6" x14ac:dyDescent="0.2">
      <c r="A10" s="91" t="s">
        <v>4252</v>
      </c>
      <c r="D10" s="92" t="s">
        <v>1357</v>
      </c>
      <c r="E10" s="113" t="s">
        <v>4244</v>
      </c>
    </row>
    <row r="11" spans="1:6" x14ac:dyDescent="0.2">
      <c r="A11" s="91" t="s">
        <v>4253</v>
      </c>
      <c r="D11" s="92" t="s">
        <v>1330</v>
      </c>
      <c r="E11" s="113" t="s">
        <v>1220</v>
      </c>
    </row>
    <row r="12" spans="1:6" x14ac:dyDescent="0.2">
      <c r="A12" s="91" t="s">
        <v>4254</v>
      </c>
      <c r="D12" s="92" t="s">
        <v>1224</v>
      </c>
      <c r="E12" s="113" t="s">
        <v>4251</v>
      </c>
    </row>
    <row r="13" spans="1:6" x14ac:dyDescent="0.2">
      <c r="A13" s="91" t="s">
        <v>1862</v>
      </c>
    </row>
    <row r="14" spans="1:6" x14ac:dyDescent="0.2">
      <c r="A14" s="91" t="s">
        <v>4255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3" x14ac:dyDescent="0.2">
      <c r="A18" s="94" t="s">
        <v>4196</v>
      </c>
      <c r="B18" s="91" t="s">
        <v>4256</v>
      </c>
      <c r="C18" s="91" t="s">
        <v>4257</v>
      </c>
    </row>
    <row r="20" spans="1:3" x14ac:dyDescent="0.2">
      <c r="A20" s="93"/>
      <c r="B20" s="99"/>
    </row>
    <row r="21" spans="1:3" x14ac:dyDescent="0.2">
      <c r="A21" s="93"/>
      <c r="B21" s="99"/>
    </row>
    <row r="22" spans="1:3" x14ac:dyDescent="0.2">
      <c r="A22" s="93"/>
      <c r="B22" s="99"/>
    </row>
    <row r="23" spans="1:3" x14ac:dyDescent="0.2">
      <c r="A23" s="93"/>
      <c r="B23" s="99"/>
    </row>
    <row r="24" spans="1:3" x14ac:dyDescent="0.2">
      <c r="A24" s="93"/>
      <c r="B24" s="99"/>
    </row>
    <row r="26" spans="1:3" x14ac:dyDescent="0.2">
      <c r="A26" s="93"/>
      <c r="B26" s="99"/>
    </row>
    <row r="27" spans="1:3" x14ac:dyDescent="0.2">
      <c r="A27" s="93"/>
      <c r="B27" s="99"/>
    </row>
    <row r="28" spans="1:3" x14ac:dyDescent="0.2">
      <c r="A28" s="93"/>
      <c r="B28" s="99"/>
    </row>
    <row r="29" spans="1:3" x14ac:dyDescent="0.2">
      <c r="A29" s="93"/>
      <c r="B29" s="99"/>
    </row>
    <row r="30" spans="1:3" x14ac:dyDescent="0.2">
      <c r="A30" s="93"/>
      <c r="B30" s="99"/>
    </row>
    <row r="31" spans="1:3" x14ac:dyDescent="0.2">
      <c r="A31" s="93"/>
      <c r="B31" s="99"/>
    </row>
    <row r="32" spans="1:3" x14ac:dyDescent="0.2">
      <c r="A32" s="93"/>
      <c r="B32" s="99"/>
    </row>
    <row r="33" spans="1:6" x14ac:dyDescent="0.2">
      <c r="A33" s="93"/>
      <c r="B33" s="99"/>
    </row>
    <row r="35" spans="1:6" ht="13.5" thickBot="1" x14ac:dyDescent="0.25">
      <c r="F35" s="95">
        <f>SUM(F18:F34)</f>
        <v>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/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235" t="s">
        <v>3973</v>
      </c>
      <c r="D39" s="218" t="s">
        <v>3975</v>
      </c>
      <c r="E39" s="219"/>
      <c r="F39" s="220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4047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1-000000000000}">
  <sheetPr codeName="Sheet46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4225</v>
      </c>
    </row>
    <row r="10" spans="1:6" x14ac:dyDescent="0.2">
      <c r="A10" s="91" t="s">
        <v>4227</v>
      </c>
      <c r="D10" s="92" t="s">
        <v>1329</v>
      </c>
      <c r="E10" s="92" t="s">
        <v>4201</v>
      </c>
    </row>
    <row r="11" spans="1:6" x14ac:dyDescent="0.2">
      <c r="A11" s="91" t="s">
        <v>4232</v>
      </c>
      <c r="D11" s="92" t="s">
        <v>1330</v>
      </c>
      <c r="E11" s="92" t="s">
        <v>1220</v>
      </c>
    </row>
    <row r="12" spans="1:6" x14ac:dyDescent="0.2">
      <c r="A12" s="91" t="s">
        <v>4228</v>
      </c>
      <c r="D12" s="92" t="s">
        <v>1331</v>
      </c>
      <c r="E12" s="92" t="s">
        <v>4226</v>
      </c>
    </row>
    <row r="13" spans="1:6" x14ac:dyDescent="0.2">
      <c r="A13" s="91" t="s">
        <v>1862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 t="s">
        <v>4229</v>
      </c>
      <c r="C18" s="91" t="s">
        <v>4231</v>
      </c>
      <c r="F18" s="91">
        <v>2300</v>
      </c>
    </row>
    <row r="19" spans="1:6" x14ac:dyDescent="0.2">
      <c r="A19" s="106"/>
      <c r="C19" s="91" t="s">
        <v>4230</v>
      </c>
    </row>
    <row r="20" spans="1:6" x14ac:dyDescent="0.2">
      <c r="A20" s="93"/>
      <c r="B20" s="93"/>
    </row>
    <row r="21" spans="1:6" x14ac:dyDescent="0.2">
      <c r="A21" s="92"/>
      <c r="B21" s="94"/>
    </row>
    <row r="22" spans="1:6" x14ac:dyDescent="0.2">
      <c r="A22" s="93"/>
      <c r="B22" s="93"/>
    </row>
    <row r="26" spans="1:6" x14ac:dyDescent="0.2">
      <c r="A26" s="93"/>
      <c r="B26" s="93"/>
      <c r="C26" s="94"/>
    </row>
    <row r="27" spans="1:6" x14ac:dyDescent="0.2">
      <c r="A27" s="106"/>
      <c r="C27" s="2"/>
    </row>
    <row r="29" spans="1:6" x14ac:dyDescent="0.2">
      <c r="A29" s="93"/>
    </row>
    <row r="30" spans="1:6" x14ac:dyDescent="0.2">
      <c r="A30" s="93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SUM(F18:F31)</f>
        <v>2300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Three Hundred and NO/100 -----------</v>
      </c>
      <c r="C35" s="97"/>
      <c r="D35" s="97"/>
      <c r="E35" s="97"/>
      <c r="F35" s="97"/>
    </row>
    <row r="36" spans="1:6" x14ac:dyDescent="0.2">
      <c r="A36" s="94"/>
    </row>
    <row r="37" spans="1:6" x14ac:dyDescent="0.2">
      <c r="A37" s="91" t="s">
        <v>10</v>
      </c>
    </row>
    <row r="38" spans="1:6" ht="25.5" x14ac:dyDescent="0.2"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1-000000000000}">
  <sheetPr codeName="Sheet464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4.85546875" style="91" customWidth="1"/>
    <col min="2" max="2" width="16.5703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4988</v>
      </c>
    </row>
    <row r="10" spans="1:6" x14ac:dyDescent="0.2">
      <c r="A10" s="91" t="s">
        <v>4414</v>
      </c>
      <c r="D10" s="92" t="s">
        <v>1444</v>
      </c>
      <c r="E10" s="92" t="s">
        <v>4963</v>
      </c>
    </row>
    <row r="11" spans="1:6" x14ac:dyDescent="0.2">
      <c r="A11" s="94" t="s">
        <v>4627</v>
      </c>
      <c r="D11" s="92" t="s">
        <v>1431</v>
      </c>
      <c r="E11" s="92" t="s">
        <v>1220</v>
      </c>
    </row>
    <row r="12" spans="1:6" x14ac:dyDescent="0.2">
      <c r="D12" s="92" t="s">
        <v>1268</v>
      </c>
      <c r="E12" s="92" t="s">
        <v>4989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4993</v>
      </c>
    </row>
    <row r="20" spans="1:6" x14ac:dyDescent="0.2">
      <c r="A20" s="111" t="s">
        <v>4925</v>
      </c>
      <c r="B20" s="111" t="s">
        <v>4990</v>
      </c>
      <c r="C20" s="91" t="s">
        <v>4991</v>
      </c>
      <c r="F20" s="110">
        <v>100</v>
      </c>
    </row>
    <row r="21" spans="1:6" x14ac:dyDescent="0.2">
      <c r="A21" s="111"/>
      <c r="B21" s="93"/>
      <c r="C21" s="91" t="s">
        <v>4992</v>
      </c>
    </row>
    <row r="22" spans="1:6" x14ac:dyDescent="0.2">
      <c r="C22" s="143"/>
    </row>
    <row r="24" spans="1:6" x14ac:dyDescent="0.2">
      <c r="F24" s="110"/>
    </row>
    <row r="25" spans="1:6" x14ac:dyDescent="0.2">
      <c r="C25" s="2"/>
      <c r="F25" s="110"/>
    </row>
    <row r="26" spans="1:6" x14ac:dyDescent="0.2">
      <c r="F26" s="110"/>
    </row>
    <row r="27" spans="1:6" x14ac:dyDescent="0.2">
      <c r="C27" s="2"/>
      <c r="F27" s="110"/>
    </row>
    <row r="29" spans="1:6" x14ac:dyDescent="0.2">
      <c r="A29" s="111"/>
      <c r="B29" s="93"/>
    </row>
    <row r="31" spans="1:6" x14ac:dyDescent="0.2">
      <c r="A31" s="108"/>
    </row>
    <row r="35" spans="1:6" ht="13.5" thickBot="1" x14ac:dyDescent="0.25">
      <c r="F35" s="95">
        <f>SUM(F20:F33)</f>
        <v>100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and NO/100 -----------</v>
      </c>
      <c r="C37" s="97"/>
      <c r="D37" s="222"/>
      <c r="E37" s="222"/>
      <c r="F37" s="97"/>
    </row>
    <row r="38" spans="1:6" ht="20.100000000000001" customHeight="1" x14ac:dyDescent="0.2">
      <c r="A38" s="113"/>
      <c r="B38" s="103"/>
      <c r="C38" s="61"/>
      <c r="D38" s="222"/>
      <c r="E38" s="222"/>
      <c r="F38" s="61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1-000000000000}">
  <sheetPr codeName="Sheet46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4214</v>
      </c>
    </row>
    <row r="10" spans="1:6" x14ac:dyDescent="0.2">
      <c r="A10" s="91" t="s">
        <v>4216</v>
      </c>
      <c r="D10" s="92" t="s">
        <v>1329</v>
      </c>
      <c r="E10" s="92" t="s">
        <v>4201</v>
      </c>
    </row>
    <row r="11" spans="1:6" x14ac:dyDescent="0.2">
      <c r="A11" s="91" t="s">
        <v>4217</v>
      </c>
      <c r="D11" s="92" t="s">
        <v>1330</v>
      </c>
      <c r="E11" s="92" t="s">
        <v>1220</v>
      </c>
    </row>
    <row r="12" spans="1:6" x14ac:dyDescent="0.2">
      <c r="A12" s="91" t="s">
        <v>1404</v>
      </c>
      <c r="D12" s="92" t="s">
        <v>1331</v>
      </c>
      <c r="E12" s="92" t="s">
        <v>4215</v>
      </c>
    </row>
    <row r="13" spans="1:6" x14ac:dyDescent="0.2">
      <c r="A13" s="91" t="s">
        <v>4218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4213</v>
      </c>
    </row>
    <row r="19" spans="1:6" x14ac:dyDescent="0.2">
      <c r="A19" s="106"/>
    </row>
    <row r="20" spans="1:6" x14ac:dyDescent="0.2">
      <c r="A20" s="93" t="s">
        <v>4219</v>
      </c>
      <c r="B20" s="93" t="s">
        <v>4220</v>
      </c>
      <c r="C20" s="91" t="s">
        <v>4221</v>
      </c>
      <c r="F20" s="91">
        <v>800</v>
      </c>
    </row>
    <row r="21" spans="1:6" x14ac:dyDescent="0.2">
      <c r="A21" s="92"/>
      <c r="B21" s="94"/>
    </row>
    <row r="22" spans="1:6" x14ac:dyDescent="0.2">
      <c r="A22" s="93" t="s">
        <v>4222</v>
      </c>
      <c r="B22" s="93" t="s">
        <v>4223</v>
      </c>
      <c r="C22" s="91" t="s">
        <v>4224</v>
      </c>
      <c r="F22" s="91">
        <v>50</v>
      </c>
    </row>
    <row r="26" spans="1:6" x14ac:dyDescent="0.2">
      <c r="A26" s="93"/>
      <c r="B26" s="93"/>
      <c r="C26" s="94"/>
    </row>
    <row r="27" spans="1:6" x14ac:dyDescent="0.2">
      <c r="A27" s="106"/>
      <c r="C27" s="2"/>
    </row>
    <row r="29" spans="1:6" x14ac:dyDescent="0.2">
      <c r="A29" s="93"/>
    </row>
    <row r="30" spans="1:6" x14ac:dyDescent="0.2">
      <c r="A30" s="93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SUM(F19:F31)</f>
        <v>850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Eight Hundred Fifty and NO/100 -----------</v>
      </c>
      <c r="C35" s="97"/>
      <c r="D35" s="97"/>
      <c r="E35" s="97"/>
      <c r="F35" s="97"/>
    </row>
    <row r="36" spans="1:6" x14ac:dyDescent="0.2">
      <c r="A36" s="94"/>
    </row>
    <row r="37" spans="1:6" x14ac:dyDescent="0.2">
      <c r="A37" s="91" t="s">
        <v>10</v>
      </c>
    </row>
    <row r="38" spans="1:6" ht="25.5" x14ac:dyDescent="0.2"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1-000000000000}">
  <sheetPr codeName="Sheet466">
    <pageSetUpPr fitToPage="1"/>
  </sheetPr>
  <dimension ref="A1:F57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21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4194</v>
      </c>
    </row>
    <row r="10" spans="1:6" s="91" customFormat="1" x14ac:dyDescent="0.2">
      <c r="A10" s="91" t="s">
        <v>4139</v>
      </c>
      <c r="D10" s="92" t="s">
        <v>1706</v>
      </c>
      <c r="E10" s="92" t="s">
        <v>4193</v>
      </c>
    </row>
    <row r="11" spans="1:6" s="91" customFormat="1" x14ac:dyDescent="0.2">
      <c r="A11" s="91" t="s">
        <v>4140</v>
      </c>
      <c r="D11" s="92" t="s">
        <v>1707</v>
      </c>
      <c r="E11" s="92" t="s">
        <v>1220</v>
      </c>
    </row>
    <row r="12" spans="1:6" s="91" customFormat="1" x14ac:dyDescent="0.2">
      <c r="A12" s="91" t="s">
        <v>1889</v>
      </c>
      <c r="D12" s="92" t="s">
        <v>1355</v>
      </c>
      <c r="E12" s="92" t="s">
        <v>4195</v>
      </c>
    </row>
    <row r="13" spans="1:6" s="91" customFormat="1" x14ac:dyDescent="0.2">
      <c r="A13" s="91" t="s">
        <v>4141</v>
      </c>
    </row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3"/>
      <c r="C18" s="2" t="s">
        <v>3971</v>
      </c>
    </row>
    <row r="19" spans="1:6" s="91" customFormat="1" x14ac:dyDescent="0.2">
      <c r="A19" s="93"/>
      <c r="B19" s="93"/>
    </row>
    <row r="20" spans="1:6" s="91" customFormat="1" x14ac:dyDescent="0.2">
      <c r="A20" s="93" t="s">
        <v>4196</v>
      </c>
      <c r="B20" s="93" t="s">
        <v>4197</v>
      </c>
      <c r="C20" s="91" t="s">
        <v>4198</v>
      </c>
      <c r="F20" s="91">
        <v>600</v>
      </c>
    </row>
    <row r="21" spans="1:6" s="91" customFormat="1" x14ac:dyDescent="0.2"/>
    <row r="22" spans="1:6" s="91" customFormat="1" x14ac:dyDescent="0.2">
      <c r="A22" s="93"/>
      <c r="B22" s="93"/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>
      <c r="A25" s="93"/>
      <c r="B25" s="93"/>
    </row>
    <row r="26" spans="1:6" s="91" customFormat="1" x14ac:dyDescent="0.2">
      <c r="A26" s="93"/>
      <c r="B26" s="93"/>
    </row>
    <row r="27" spans="1:6" s="91" customFormat="1" x14ac:dyDescent="0.2"/>
    <row r="28" spans="1:6" s="91" customFormat="1" x14ac:dyDescent="0.2">
      <c r="A28" s="93"/>
      <c r="B28" s="93"/>
    </row>
    <row r="29" spans="1:6" s="91" customFormat="1" x14ac:dyDescent="0.2"/>
    <row r="30" spans="1:6" s="91" customFormat="1" x14ac:dyDescent="0.2"/>
    <row r="31" spans="1:6" s="91" customFormat="1" x14ac:dyDescent="0.2"/>
    <row r="32" spans="1:6" s="91" customFormat="1" x14ac:dyDescent="0.2"/>
    <row r="33" spans="1:6" s="91" customFormat="1" x14ac:dyDescent="0.2"/>
    <row r="34" spans="1:6" s="91" customFormat="1" ht="13.5" thickBot="1" x14ac:dyDescent="0.25">
      <c r="F34" s="107">
        <f>SUM(F18:F33)</f>
        <v>600</v>
      </c>
    </row>
    <row r="35" spans="1:6" s="91" customFormat="1" ht="13.5" thickTop="1" x14ac:dyDescent="0.2"/>
    <row r="36" spans="1:6" s="91" customFormat="1" ht="21.75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Hundred and NO/100 -----------</v>
      </c>
      <c r="C36" s="97"/>
      <c r="D36" s="237"/>
      <c r="E36" s="237"/>
      <c r="F36" s="237"/>
    </row>
    <row r="37" spans="1:6" s="91" customFormat="1" ht="15.75" customHeight="1" x14ac:dyDescent="0.2">
      <c r="A37" s="113"/>
      <c r="B37" s="103"/>
      <c r="C37" s="61"/>
      <c r="D37" s="227"/>
      <c r="E37" s="227"/>
      <c r="F37" s="227"/>
    </row>
    <row r="38" spans="1:6" s="91" customFormat="1" ht="24" customHeight="1" x14ac:dyDescent="0.2">
      <c r="A38" s="61" t="s">
        <v>10</v>
      </c>
      <c r="B38" s="103"/>
      <c r="C38" s="61"/>
      <c r="D38" s="218" t="s">
        <v>3975</v>
      </c>
      <c r="E38" s="219"/>
      <c r="F38" s="220"/>
    </row>
    <row r="39" spans="1:6" s="91" customFormat="1" x14ac:dyDescent="0.2">
      <c r="D39" s="228"/>
      <c r="E39" s="229"/>
      <c r="F39" s="229"/>
    </row>
    <row r="40" spans="1:6" s="91" customFormat="1" x14ac:dyDescent="0.2"/>
    <row r="41" spans="1:6" s="91" customFormat="1" x14ac:dyDescent="0.2"/>
    <row r="42" spans="1:6" s="91" customFormat="1" x14ac:dyDescent="0.2"/>
    <row r="43" spans="1:6" s="91" customFormat="1" x14ac:dyDescent="0.2">
      <c r="A43" s="101"/>
      <c r="B43" s="101"/>
    </row>
    <row r="44" spans="1:6" s="91" customFormat="1" x14ac:dyDescent="0.2"/>
    <row r="45" spans="1:6" s="91" customFormat="1" x14ac:dyDescent="0.2">
      <c r="A45" s="98" t="s">
        <v>8</v>
      </c>
      <c r="D45" s="98" t="s">
        <v>7</v>
      </c>
      <c r="F45" s="102"/>
    </row>
    <row r="46" spans="1:6" s="91" customFormat="1" x14ac:dyDescent="0.2"/>
    <row r="47" spans="1:6" s="91" customFormat="1" x14ac:dyDescent="0.2"/>
    <row r="48" spans="1:6" s="91" customFormat="1" x14ac:dyDescent="0.2"/>
    <row r="49" spans="1:6" s="91" customFormat="1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209" t="s">
        <v>4066</v>
      </c>
      <c r="B50" s="104"/>
      <c r="D50" s="61" t="s">
        <v>3</v>
      </c>
    </row>
    <row r="51" spans="1:6" s="91" customFormat="1" x14ac:dyDescent="0.2">
      <c r="D51" s="91" t="s">
        <v>2</v>
      </c>
    </row>
    <row r="52" spans="1:6" s="91" customFormat="1" x14ac:dyDescent="0.2"/>
    <row r="53" spans="1:6" s="91" customFormat="1" x14ac:dyDescent="0.2">
      <c r="D53" s="2" t="s">
        <v>1</v>
      </c>
    </row>
    <row r="54" spans="1:6" s="91" customFormat="1" x14ac:dyDescent="0.2">
      <c r="D54" s="2" t="s">
        <v>0</v>
      </c>
    </row>
    <row r="55" spans="1:6" s="91" customFormat="1" x14ac:dyDescent="0.2"/>
    <row r="56" spans="1:6" s="91" customFormat="1" x14ac:dyDescent="0.2"/>
    <row r="57" spans="1:6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1-000000000000}">
  <sheetPr codeName="Sheet382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3733</v>
      </c>
      <c r="D9" s="92" t="s">
        <v>1317</v>
      </c>
      <c r="E9" s="91" t="s">
        <v>4142</v>
      </c>
    </row>
    <row r="10" spans="1:6" x14ac:dyDescent="0.2">
      <c r="A10" s="91" t="s">
        <v>3734</v>
      </c>
      <c r="D10" s="92" t="s">
        <v>1329</v>
      </c>
      <c r="E10" s="91" t="s">
        <v>4122</v>
      </c>
    </row>
    <row r="11" spans="1:6" x14ac:dyDescent="0.2">
      <c r="A11" s="91" t="s">
        <v>3735</v>
      </c>
      <c r="D11" s="92" t="s">
        <v>1330</v>
      </c>
      <c r="E11" s="91" t="s">
        <v>1220</v>
      </c>
    </row>
    <row r="12" spans="1:6" x14ac:dyDescent="0.2">
      <c r="A12" s="91" t="s">
        <v>3736</v>
      </c>
      <c r="D12" s="92" t="s">
        <v>1331</v>
      </c>
      <c r="E12" s="94" t="s">
        <v>4143</v>
      </c>
    </row>
    <row r="13" spans="1:6" x14ac:dyDescent="0.2">
      <c r="A13" s="91" t="s">
        <v>2059</v>
      </c>
    </row>
    <row r="14" spans="1:6" x14ac:dyDescent="0.2">
      <c r="A14" s="91" t="s">
        <v>3737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4144</v>
      </c>
    </row>
    <row r="19" spans="1:6" x14ac:dyDescent="0.2">
      <c r="A19" s="106"/>
      <c r="C19" s="2"/>
    </row>
    <row r="20" spans="1:6" x14ac:dyDescent="0.2">
      <c r="A20" s="93" t="s">
        <v>4127</v>
      </c>
      <c r="B20" s="93" t="s">
        <v>4145</v>
      </c>
      <c r="C20" s="91" t="s">
        <v>4147</v>
      </c>
      <c r="F20" s="91">
        <v>700</v>
      </c>
    </row>
    <row r="21" spans="1:6" x14ac:dyDescent="0.2">
      <c r="A21" s="93"/>
      <c r="B21" s="145"/>
    </row>
    <row r="22" spans="1:6" x14ac:dyDescent="0.2">
      <c r="A22" s="93"/>
      <c r="B22" s="94"/>
      <c r="C22" s="91" t="s">
        <v>4146</v>
      </c>
      <c r="F22" s="91">
        <v>95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795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Seven Hundred Ninety-Five and NO/100 -----------</v>
      </c>
      <c r="C36" s="97"/>
      <c r="D36" s="236"/>
      <c r="E36" s="232"/>
      <c r="F36" s="232"/>
    </row>
    <row r="37" spans="1:6" x14ac:dyDescent="0.2">
      <c r="A37" s="94"/>
    </row>
    <row r="38" spans="1:6" ht="25.5" x14ac:dyDescent="0.2">
      <c r="A38" s="94"/>
      <c r="D38" s="218" t="s">
        <v>3975</v>
      </c>
      <c r="E38" s="219"/>
      <c r="F38" s="220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1-000000000000}">
  <sheetPr codeName="Sheet467">
    <pageSetUpPr fitToPage="1"/>
  </sheetPr>
  <dimension ref="A1:F52"/>
  <sheetViews>
    <sheetView topLeftCell="A16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4058</v>
      </c>
    </row>
    <row r="10" spans="1:6" x14ac:dyDescent="0.2">
      <c r="A10" s="91" t="s">
        <v>4060</v>
      </c>
      <c r="D10" s="92" t="s">
        <v>1444</v>
      </c>
      <c r="E10" s="113" t="s">
        <v>4048</v>
      </c>
    </row>
    <row r="11" spans="1:6" x14ac:dyDescent="0.2">
      <c r="A11" s="91" t="s">
        <v>4061</v>
      </c>
      <c r="D11" s="92" t="s">
        <v>1431</v>
      </c>
      <c r="E11" s="113" t="s">
        <v>1220</v>
      </c>
    </row>
    <row r="12" spans="1:6" x14ac:dyDescent="0.2">
      <c r="A12" s="91" t="s">
        <v>4062</v>
      </c>
      <c r="D12" s="92" t="s">
        <v>1268</v>
      </c>
      <c r="E12" s="113" t="s">
        <v>4059</v>
      </c>
    </row>
    <row r="13" spans="1:6" x14ac:dyDescent="0.2">
      <c r="A13" s="91" t="s">
        <v>1404</v>
      </c>
    </row>
    <row r="14" spans="1:6" x14ac:dyDescent="0.2">
      <c r="A14" s="91" t="s">
        <v>4063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11" t="s">
        <v>4055</v>
      </c>
      <c r="B18" s="93" t="s">
        <v>1767</v>
      </c>
      <c r="C18" s="91" t="s">
        <v>4064</v>
      </c>
      <c r="F18" s="91">
        <v>1000</v>
      </c>
    </row>
    <row r="19" spans="1:6" x14ac:dyDescent="0.2">
      <c r="C19" s="2"/>
    </row>
    <row r="20" spans="1:6" x14ac:dyDescent="0.2">
      <c r="A20" s="111"/>
      <c r="B20" s="99"/>
      <c r="C20" s="91" t="s">
        <v>4065</v>
      </c>
      <c r="F20" s="91">
        <v>1000</v>
      </c>
    </row>
    <row r="21" spans="1:6" x14ac:dyDescent="0.2">
      <c r="A21" s="111"/>
      <c r="B21" s="93"/>
      <c r="F21" s="110"/>
    </row>
    <row r="23" spans="1:6" x14ac:dyDescent="0.2">
      <c r="C23" s="2"/>
    </row>
    <row r="24" spans="1:6" x14ac:dyDescent="0.2">
      <c r="A24" s="93"/>
      <c r="B24" s="99"/>
      <c r="F24" s="110"/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9" spans="1:6" x14ac:dyDescent="0.2">
      <c r="A29" s="108"/>
    </row>
    <row r="33" spans="1:6" ht="13.5" thickBot="1" x14ac:dyDescent="0.25">
      <c r="F33" s="95">
        <f>SUM(F18:F31)</f>
        <v>2000</v>
      </c>
    </row>
    <row r="34" spans="1:6" ht="13.5" thickTop="1" x14ac:dyDescent="0.2"/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97"/>
      <c r="D35" s="97"/>
      <c r="E35" s="97"/>
      <c r="F35" s="9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1-000000000000}">
  <sheetPr codeName="Sheet468">
    <pageSetUpPr fitToPage="1"/>
  </sheetPr>
  <dimension ref="A1:G54"/>
  <sheetViews>
    <sheetView topLeftCell="A25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61" t="s">
        <v>4038</v>
      </c>
    </row>
    <row r="10" spans="1:6" x14ac:dyDescent="0.2">
      <c r="A10" s="91" t="s">
        <v>4031</v>
      </c>
      <c r="D10" s="92" t="s">
        <v>1356</v>
      </c>
      <c r="E10" s="113" t="s">
        <v>4004</v>
      </c>
    </row>
    <row r="11" spans="1:6" x14ac:dyDescent="0.2">
      <c r="A11" s="91" t="s">
        <v>4043</v>
      </c>
      <c r="D11" s="92" t="s">
        <v>1364</v>
      </c>
      <c r="E11" s="113" t="s">
        <v>1220</v>
      </c>
    </row>
    <row r="12" spans="1:6" x14ac:dyDescent="0.2">
      <c r="A12" s="91" t="s">
        <v>4032</v>
      </c>
      <c r="D12" s="92" t="s">
        <v>1224</v>
      </c>
      <c r="E12" s="113" t="s">
        <v>4042</v>
      </c>
    </row>
    <row r="13" spans="1:6" x14ac:dyDescent="0.2">
      <c r="A13" s="91" t="s">
        <v>4033</v>
      </c>
    </row>
    <row r="14" spans="1:6" x14ac:dyDescent="0.2">
      <c r="A14" s="91" t="s">
        <v>1488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A18" s="93" t="s">
        <v>3996</v>
      </c>
      <c r="B18" s="93" t="s">
        <v>4034</v>
      </c>
      <c r="C18" s="91" t="s">
        <v>4036</v>
      </c>
      <c r="F18" s="91">
        <v>2000</v>
      </c>
      <c r="G18" s="193"/>
    </row>
    <row r="19" spans="1:7" x14ac:dyDescent="0.2">
      <c r="C19" s="91" t="s">
        <v>4035</v>
      </c>
    </row>
    <row r="20" spans="1:7" x14ac:dyDescent="0.2">
      <c r="A20" s="93"/>
      <c r="B20" s="93"/>
    </row>
    <row r="21" spans="1:7" x14ac:dyDescent="0.2">
      <c r="B21" s="94"/>
      <c r="C21" s="91" t="s">
        <v>4037</v>
      </c>
    </row>
    <row r="22" spans="1:7" x14ac:dyDescent="0.2">
      <c r="A22" s="93"/>
      <c r="B22" s="93"/>
    </row>
    <row r="23" spans="1:7" x14ac:dyDescent="0.2">
      <c r="A23" s="142"/>
      <c r="B23" s="104"/>
    </row>
    <row r="24" spans="1:7" x14ac:dyDescent="0.2">
      <c r="A24" s="93"/>
      <c r="B24" s="93"/>
    </row>
    <row r="26" spans="1:7" x14ac:dyDescent="0.2">
      <c r="A26" s="93"/>
      <c r="B26" s="93"/>
    </row>
    <row r="30" spans="1:7" x14ac:dyDescent="0.2">
      <c r="A30" s="93"/>
      <c r="B30" s="93"/>
    </row>
    <row r="31" spans="1:7" x14ac:dyDescent="0.2">
      <c r="C31" s="2"/>
    </row>
    <row r="32" spans="1:7" x14ac:dyDescent="0.2">
      <c r="A32" s="142"/>
      <c r="B32" s="142"/>
    </row>
    <row r="35" spans="1:6" ht="13.5" thickBot="1" x14ac:dyDescent="0.25">
      <c r="F35" s="107">
        <f>SUM(F18:F33)</f>
        <v>2000</v>
      </c>
    </row>
    <row r="36" spans="1:6" ht="13.5" thickTop="1" x14ac:dyDescent="0.2"/>
    <row r="37" spans="1:6" ht="20.100000000000001" customHeight="1" x14ac:dyDescent="0.2">
      <c r="A37" s="96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113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91" t="s">
        <v>3972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25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1-000000000000}">
  <sheetPr codeName="Sheet348">
    <pageSetUpPr fitToPage="1"/>
  </sheetPr>
  <dimension ref="A1:F55"/>
  <sheetViews>
    <sheetView topLeftCell="A4"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3597</v>
      </c>
    </row>
    <row r="10" spans="1:6" s="91" customFormat="1" x14ac:dyDescent="0.2">
      <c r="A10" s="91" t="s">
        <v>3599</v>
      </c>
      <c r="D10" s="92" t="s">
        <v>1706</v>
      </c>
      <c r="E10" s="98" t="s">
        <v>3588</v>
      </c>
    </row>
    <row r="11" spans="1:6" s="91" customFormat="1" x14ac:dyDescent="0.2">
      <c r="A11" s="91" t="s">
        <v>3600</v>
      </c>
      <c r="D11" s="92" t="s">
        <v>1707</v>
      </c>
      <c r="E11" s="92" t="s">
        <v>1220</v>
      </c>
    </row>
    <row r="12" spans="1:6" s="91" customFormat="1" x14ac:dyDescent="0.2">
      <c r="A12" s="91" t="s">
        <v>3601</v>
      </c>
      <c r="D12" s="92" t="s">
        <v>1355</v>
      </c>
      <c r="E12" s="94" t="s">
        <v>3598</v>
      </c>
    </row>
    <row r="13" spans="1:6" s="91" customFormat="1" x14ac:dyDescent="0.2">
      <c r="A13" s="91" t="s">
        <v>1862</v>
      </c>
    </row>
    <row r="14" spans="1:6" s="91" customFormat="1" x14ac:dyDescent="0.2">
      <c r="A14" s="91" t="s">
        <v>3602</v>
      </c>
    </row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 t="s">
        <v>3603</v>
      </c>
      <c r="B18" s="93" t="s">
        <v>3604</v>
      </c>
      <c r="C18" s="91" t="s">
        <v>3605</v>
      </c>
      <c r="F18" s="91">
        <v>340</v>
      </c>
    </row>
    <row r="19" spans="1:6" s="91" customFormat="1" x14ac:dyDescent="0.2">
      <c r="C19" s="91" t="s">
        <v>2907</v>
      </c>
    </row>
    <row r="20" spans="1:6" s="91" customFormat="1" x14ac:dyDescent="0.2">
      <c r="A20" s="93"/>
      <c r="B20" s="93"/>
      <c r="C20" s="91" t="s">
        <v>3606</v>
      </c>
    </row>
    <row r="21" spans="1:6" s="91" customFormat="1" x14ac:dyDescent="0.2"/>
    <row r="22" spans="1:6" s="91" customFormat="1" x14ac:dyDescent="0.2">
      <c r="A22" s="93"/>
      <c r="B22" s="93"/>
      <c r="C22" s="91" t="s">
        <v>3153</v>
      </c>
      <c r="F22" s="91">
        <v>10</v>
      </c>
    </row>
    <row r="23" spans="1:6" s="91" customFormat="1" x14ac:dyDescent="0.2"/>
    <row r="24" spans="1:6" s="91" customFormat="1" x14ac:dyDescent="0.2">
      <c r="A24" s="93"/>
      <c r="B24" s="93"/>
    </row>
    <row r="25" spans="1:6" s="91" customFormat="1" x14ac:dyDescent="0.2"/>
    <row r="26" spans="1:6" s="91" customFormat="1" x14ac:dyDescent="0.2"/>
    <row r="27" spans="1:6" s="91" customFormat="1" x14ac:dyDescent="0.2">
      <c r="B27" s="94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ht="13.5" thickBot="1" x14ac:dyDescent="0.25">
      <c r="F32" s="95">
        <f>SUM(F18:F31)</f>
        <v>350</v>
      </c>
    </row>
    <row r="33" spans="1:6" s="91" customFormat="1" ht="13.5" thickTop="1" x14ac:dyDescent="0.2"/>
    <row r="34" spans="1:6" s="91" customFormat="1" ht="13.5" thickBot="1" x14ac:dyDescent="0.25">
      <c r="F34" s="107"/>
    </row>
    <row r="35" spans="1:6" s="91" customFormat="1" ht="20.100000000000001" customHeight="1" thickTop="1" x14ac:dyDescent="0.2">
      <c r="A35" s="96" t="s">
        <v>336</v>
      </c>
      <c r="B35" s="96" t="s">
        <v>2689</v>
      </c>
      <c r="C35" s="97"/>
      <c r="D35" s="97"/>
      <c r="E35" s="97"/>
      <c r="F35" s="97"/>
    </row>
    <row r="36" spans="1:6" s="91" customFormat="1" ht="25.5" x14ac:dyDescent="0.2">
      <c r="A36" s="94" t="s">
        <v>11</v>
      </c>
      <c r="D36" s="218" t="s">
        <v>3975</v>
      </c>
      <c r="E36" s="219"/>
      <c r="F36" s="220"/>
    </row>
    <row r="37" spans="1:6" s="91" customFormat="1" x14ac:dyDescent="0.2">
      <c r="A37" s="91" t="s">
        <v>10</v>
      </c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B41" s="101"/>
    </row>
    <row r="42" spans="1:6" s="91" customFormat="1" x14ac:dyDescent="0.2">
      <c r="A42" s="101"/>
    </row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s="91" customFormat="1" x14ac:dyDescent="0.2">
      <c r="A49" s="91" t="s">
        <v>4066</v>
      </c>
      <c r="D49" s="91" t="s">
        <v>2</v>
      </c>
    </row>
    <row r="50" spans="1:4" s="91" customFormat="1" x14ac:dyDescent="0.2"/>
    <row r="51" spans="1:4" s="91" customFormat="1" x14ac:dyDescent="0.2">
      <c r="D51" s="2" t="s">
        <v>1</v>
      </c>
    </row>
    <row r="52" spans="1:4" s="91" customFormat="1" x14ac:dyDescent="0.2">
      <c r="D52" s="2" t="s">
        <v>0</v>
      </c>
    </row>
    <row r="53" spans="1:4" s="91" customFormat="1" x14ac:dyDescent="0.2"/>
    <row r="54" spans="1:4" s="91" customFormat="1" x14ac:dyDescent="0.2"/>
    <row r="55" spans="1:4" s="91" customFormat="1" x14ac:dyDescent="0.2"/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1-000000000000}">
  <sheetPr codeName="Sheet34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6328</v>
      </c>
    </row>
    <row r="10" spans="1:6" x14ac:dyDescent="0.2">
      <c r="A10" s="91" t="s">
        <v>4057</v>
      </c>
      <c r="D10" s="92" t="s">
        <v>1444</v>
      </c>
      <c r="E10" s="92" t="s">
        <v>6327</v>
      </c>
    </row>
    <row r="11" spans="1:6" x14ac:dyDescent="0.2">
      <c r="A11" s="91" t="s">
        <v>3450</v>
      </c>
      <c r="D11" s="92" t="s">
        <v>1431</v>
      </c>
      <c r="E11" s="92" t="s">
        <v>1220</v>
      </c>
    </row>
    <row r="12" spans="1:6" x14ac:dyDescent="0.2">
      <c r="D12" s="92" t="s">
        <v>1268</v>
      </c>
      <c r="E12" s="92" t="s">
        <v>6329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C18" s="2" t="s">
        <v>6332</v>
      </c>
    </row>
    <row r="19" spans="1:6" x14ac:dyDescent="0.2">
      <c r="A19" s="111"/>
      <c r="B19" s="93"/>
      <c r="F19" s="110"/>
    </row>
    <row r="20" spans="1:6" x14ac:dyDescent="0.2">
      <c r="A20" s="111" t="s">
        <v>6308</v>
      </c>
      <c r="B20" s="99" t="s">
        <v>6330</v>
      </c>
      <c r="C20" s="91" t="s">
        <v>6331</v>
      </c>
      <c r="F20" s="110">
        <v>500</v>
      </c>
    </row>
    <row r="23" spans="1:6" x14ac:dyDescent="0.2">
      <c r="C23" s="2"/>
    </row>
    <row r="24" spans="1:6" x14ac:dyDescent="0.2">
      <c r="A24" s="93"/>
      <c r="B24" s="99"/>
      <c r="F24" s="110"/>
    </row>
    <row r="25" spans="1:6" x14ac:dyDescent="0.2">
      <c r="A25" s="111"/>
      <c r="B25" s="93"/>
      <c r="F25" s="110"/>
    </row>
    <row r="27" spans="1:6" x14ac:dyDescent="0.2">
      <c r="A27" s="111"/>
      <c r="B27" s="93"/>
    </row>
    <row r="29" spans="1:6" x14ac:dyDescent="0.2">
      <c r="A29" s="108"/>
    </row>
    <row r="33" spans="1:6" ht="13.5" thickBot="1" x14ac:dyDescent="0.25">
      <c r="F33" s="95">
        <f>SUM(F19:F31)</f>
        <v>500</v>
      </c>
    </row>
    <row r="34" spans="1:6" ht="13.5" thickTop="1" x14ac:dyDescent="0.2"/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Hundred and NO/100 -----------</v>
      </c>
      <c r="C35" s="97"/>
      <c r="D35" s="97"/>
      <c r="E35" s="97"/>
      <c r="F35" s="9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103" t="s">
        <v>4047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J31" sqref="J31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00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3201</v>
      </c>
      <c r="D9" s="92" t="s">
        <v>1317</v>
      </c>
      <c r="E9" s="91" t="s">
        <v>3231</v>
      </c>
    </row>
    <row r="10" spans="1:6" x14ac:dyDescent="0.2">
      <c r="A10" s="91" t="s">
        <v>3202</v>
      </c>
      <c r="D10" s="92" t="s">
        <v>1329</v>
      </c>
      <c r="E10" s="91" t="s">
        <v>3228</v>
      </c>
    </row>
    <row r="11" spans="1:6" x14ac:dyDescent="0.2">
      <c r="A11" s="91" t="s">
        <v>3203</v>
      </c>
      <c r="D11" s="92" t="s">
        <v>1330</v>
      </c>
      <c r="E11" s="91" t="s">
        <v>1220</v>
      </c>
    </row>
    <row r="12" spans="1:6" x14ac:dyDescent="0.2">
      <c r="A12" s="91" t="s">
        <v>2943</v>
      </c>
      <c r="D12" s="92" t="s">
        <v>1331</v>
      </c>
      <c r="E12" s="94" t="s">
        <v>3232</v>
      </c>
    </row>
    <row r="13" spans="1:6" x14ac:dyDescent="0.2">
      <c r="A13" s="91" t="s">
        <v>3204</v>
      </c>
    </row>
    <row r="14" spans="1:6" x14ac:dyDescent="0.2">
      <c r="A14" s="91" t="s">
        <v>3205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3206</v>
      </c>
    </row>
    <row r="19" spans="1:6" x14ac:dyDescent="0.2">
      <c r="A19" s="106"/>
      <c r="C19" s="2"/>
    </row>
    <row r="20" spans="1:6" x14ac:dyDescent="0.2">
      <c r="A20" s="99" t="s">
        <v>3207</v>
      </c>
      <c r="B20" s="99" t="s">
        <v>3208</v>
      </c>
      <c r="C20" s="91" t="s">
        <v>3209</v>
      </c>
      <c r="F20" s="91">
        <f>220*15*2</f>
        <v>6600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3210</v>
      </c>
      <c r="F22" s="91">
        <f>200*7</f>
        <v>1400</v>
      </c>
    </row>
    <row r="24" spans="1:6" x14ac:dyDescent="0.2">
      <c r="C24" s="91" t="s">
        <v>3211</v>
      </c>
      <c r="F24" s="91">
        <v>900</v>
      </c>
    </row>
    <row r="25" spans="1:6" x14ac:dyDescent="0.2">
      <c r="A25" s="137"/>
      <c r="B25" s="99"/>
    </row>
    <row r="26" spans="1:6" x14ac:dyDescent="0.2">
      <c r="A26" s="93" t="s">
        <v>3156</v>
      </c>
      <c r="B26" s="99" t="s">
        <v>3212</v>
      </c>
      <c r="C26" s="91" t="s">
        <v>3213</v>
      </c>
      <c r="F26" s="91">
        <v>440</v>
      </c>
    </row>
    <row r="27" spans="1:6" x14ac:dyDescent="0.2">
      <c r="A27" s="99"/>
      <c r="B27" s="99"/>
      <c r="C27" s="91" t="s">
        <v>3214</v>
      </c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9340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Nine Thousand Three Hundred Forty and NO/100 -----------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1-000000000000}">
  <sheetPr codeName="Sheet350">
    <pageSetUpPr fitToPage="1"/>
  </sheetPr>
  <dimension ref="A1:I52"/>
  <sheetViews>
    <sheetView workbookViewId="0">
      <selection activeCell="G9" sqref="G9:G1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0.42578125" style="91" customWidth="1"/>
    <col min="4" max="4" width="21" style="91" customWidth="1"/>
    <col min="5" max="5" width="1" style="91" customWidth="1"/>
    <col min="6" max="6" width="16.42578125" style="91" customWidth="1"/>
    <col min="7" max="7" width="8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1563</v>
      </c>
      <c r="G9" s="155" t="s">
        <v>7807</v>
      </c>
    </row>
    <row r="10" spans="1:8" x14ac:dyDescent="0.2">
      <c r="A10" s="91" t="s">
        <v>3448</v>
      </c>
      <c r="F10" s="92" t="s">
        <v>1356</v>
      </c>
      <c r="G10" s="155" t="s">
        <v>7792</v>
      </c>
    </row>
    <row r="11" spans="1:8" x14ac:dyDescent="0.2">
      <c r="A11" s="91" t="s">
        <v>4986</v>
      </c>
      <c r="F11" s="92" t="s">
        <v>1364</v>
      </c>
      <c r="G11" s="155" t="s">
        <v>1220</v>
      </c>
    </row>
    <row r="12" spans="1:8" x14ac:dyDescent="0.2">
      <c r="F12" s="92" t="s">
        <v>1224</v>
      </c>
      <c r="G12" s="94" t="s">
        <v>7808</v>
      </c>
    </row>
    <row r="13" spans="1:8" x14ac:dyDescent="0.2">
      <c r="G13" s="91" t="s">
        <v>6823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48"/>
      <c r="D16" s="18" t="s">
        <v>19</v>
      </c>
      <c r="E16" s="18"/>
      <c r="F16" s="17"/>
      <c r="G16" s="16"/>
      <c r="H16" s="15" t="s">
        <v>18</v>
      </c>
    </row>
    <row r="18" spans="1:9" x14ac:dyDescent="0.2">
      <c r="A18" s="93"/>
      <c r="B18" s="195"/>
      <c r="C18" s="195"/>
      <c r="D18" s="2" t="s">
        <v>6997</v>
      </c>
      <c r="E18" s="2"/>
      <c r="I18" s="193"/>
    </row>
    <row r="19" spans="1:9" x14ac:dyDescent="0.2">
      <c r="A19" s="93"/>
      <c r="B19" s="195"/>
      <c r="C19" s="195"/>
      <c r="D19" s="2" t="s">
        <v>7809</v>
      </c>
      <c r="E19" s="2"/>
    </row>
    <row r="20" spans="1:9" x14ac:dyDescent="0.2">
      <c r="B20" s="191"/>
      <c r="C20" s="191"/>
      <c r="D20" s="2"/>
      <c r="E20" s="2"/>
    </row>
    <row r="21" spans="1:9" x14ac:dyDescent="0.2">
      <c r="A21" s="91" t="s">
        <v>4249</v>
      </c>
      <c r="B21" s="240"/>
      <c r="C21" s="240"/>
      <c r="D21" s="91" t="s">
        <v>4732</v>
      </c>
      <c r="H21" s="91">
        <f>1116+167.4</f>
        <v>1283.4000000000001</v>
      </c>
    </row>
    <row r="22" spans="1:9" x14ac:dyDescent="0.2">
      <c r="A22" s="94" t="s">
        <v>7810</v>
      </c>
      <c r="B22" s="195"/>
      <c r="C22" s="195"/>
      <c r="D22" s="91" t="s">
        <v>127</v>
      </c>
      <c r="H22" s="91">
        <f>15.4+41</f>
        <v>56.4</v>
      </c>
    </row>
    <row r="23" spans="1:9" x14ac:dyDescent="0.2">
      <c r="D23" s="91" t="s">
        <v>7811</v>
      </c>
      <c r="H23" s="91">
        <v>135.94999999999999</v>
      </c>
    </row>
    <row r="24" spans="1:9" x14ac:dyDescent="0.2">
      <c r="D24" s="91" t="s">
        <v>7812</v>
      </c>
      <c r="H24" s="91">
        <v>46.64</v>
      </c>
    </row>
    <row r="25" spans="1:9" x14ac:dyDescent="0.2">
      <c r="D25" s="91" t="s">
        <v>7813</v>
      </c>
      <c r="H25" s="91">
        <v>247</v>
      </c>
    </row>
    <row r="26" spans="1:9" x14ac:dyDescent="0.2">
      <c r="B26" s="94"/>
      <c r="C26" s="94"/>
    </row>
    <row r="28" spans="1:9" x14ac:dyDescent="0.2">
      <c r="A28" s="93"/>
      <c r="B28" s="93"/>
      <c r="C28" s="93"/>
      <c r="D28" s="94"/>
      <c r="E28" s="94"/>
    </row>
    <row r="33" spans="1:8" ht="13.5" thickBot="1" x14ac:dyDescent="0.25">
      <c r="H33" s="107">
        <f>SUM(H18:H31)</f>
        <v>1769.3900000000003</v>
      </c>
    </row>
    <row r="34" spans="1:8" ht="13.5" thickTop="1" x14ac:dyDescent="0.2">
      <c r="H34" s="101"/>
    </row>
    <row r="35" spans="1:8" ht="20.100000000000001" customHeight="1" x14ac:dyDescent="0.2">
      <c r="A35" s="96" t="s">
        <v>122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Seven Hundred Sixty-Nine and 39/100 -----------</v>
      </c>
      <c r="C35" s="185"/>
      <c r="D35" s="97"/>
      <c r="E35" s="97"/>
      <c r="F35" s="97"/>
      <c r="G35" s="97"/>
      <c r="H35" s="207"/>
    </row>
    <row r="36" spans="1:8" x14ac:dyDescent="0.2">
      <c r="A36" s="94" t="s">
        <v>11</v>
      </c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D40" s="99"/>
      <c r="E40" s="449"/>
      <c r="F40" s="228"/>
      <c r="G40" s="229"/>
      <c r="H40" s="229"/>
    </row>
    <row r="41" spans="1:8" x14ac:dyDescent="0.2">
      <c r="A41" s="101"/>
      <c r="B41" s="101"/>
      <c r="C41" s="386"/>
    </row>
    <row r="43" spans="1:8" x14ac:dyDescent="0.2">
      <c r="A43" s="98" t="s">
        <v>8</v>
      </c>
      <c r="D43" s="98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61" customFormat="1" ht="17.100000000000001" customHeight="1" x14ac:dyDescent="0.2">
      <c r="A48" s="91" t="s">
        <v>4066</v>
      </c>
      <c r="B48" s="104"/>
      <c r="C48" s="104"/>
      <c r="D48" s="91" t="s">
        <v>50</v>
      </c>
      <c r="F48" s="61" t="s">
        <v>3</v>
      </c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6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1-000000000000}">
  <sheetPr codeName="Sheet351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1" t="s">
        <v>3692</v>
      </c>
    </row>
    <row r="10" spans="1:6" x14ac:dyDescent="0.2">
      <c r="A10" s="91" t="s">
        <v>3258</v>
      </c>
      <c r="D10" s="92" t="s">
        <v>1356</v>
      </c>
      <c r="E10" s="91" t="s">
        <v>3691</v>
      </c>
    </row>
    <row r="11" spans="1:6" x14ac:dyDescent="0.2">
      <c r="A11" s="91" t="s">
        <v>3255</v>
      </c>
      <c r="D11" s="92" t="s">
        <v>1364</v>
      </c>
      <c r="E11" s="91" t="s">
        <v>1220</v>
      </c>
    </row>
    <row r="12" spans="1:6" x14ac:dyDescent="0.2">
      <c r="A12" s="91" t="s">
        <v>3256</v>
      </c>
      <c r="D12" s="92" t="s">
        <v>1224</v>
      </c>
      <c r="E12" s="94" t="s">
        <v>3693</v>
      </c>
    </row>
    <row r="13" spans="1:6" x14ac:dyDescent="0.2">
      <c r="A13" s="91" t="s">
        <v>1245</v>
      </c>
    </row>
    <row r="14" spans="1:6" x14ac:dyDescent="0.2">
      <c r="A14" s="91" t="s">
        <v>3257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C18" s="2" t="s">
        <v>3694</v>
      </c>
      <c r="G18" s="193"/>
    </row>
    <row r="20" spans="1:7" x14ac:dyDescent="0.2">
      <c r="A20" s="93" t="s">
        <v>11</v>
      </c>
      <c r="B20" s="93"/>
      <c r="C20" s="94" t="s">
        <v>3587</v>
      </c>
      <c r="F20" s="91">
        <v>300</v>
      </c>
    </row>
    <row r="21" spans="1:7" x14ac:dyDescent="0.2">
      <c r="C21" s="91" t="s">
        <v>3695</v>
      </c>
    </row>
    <row r="23" spans="1:7" x14ac:dyDescent="0.2">
      <c r="C23" s="91" t="s">
        <v>3696</v>
      </c>
      <c r="F23" s="91">
        <v>40</v>
      </c>
    </row>
    <row r="24" spans="1:7" x14ac:dyDescent="0.2">
      <c r="A24" s="93"/>
      <c r="B24" s="93"/>
    </row>
    <row r="26" spans="1:7" x14ac:dyDescent="0.2">
      <c r="B26" s="94"/>
    </row>
    <row r="28" spans="1:7" x14ac:dyDescent="0.2">
      <c r="A28" s="93"/>
      <c r="B28" s="93"/>
      <c r="C28" s="94"/>
    </row>
    <row r="32" spans="1:7" ht="13.5" thickBot="1" x14ac:dyDescent="0.25">
      <c r="F32" s="107">
        <f>SUM(F18:F31)</f>
        <v>340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3697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1-000000000000}">
  <sheetPr codeName="Sheet318">
    <pageSetUpPr fitToPage="1"/>
  </sheetPr>
  <dimension ref="A1:I51"/>
  <sheetViews>
    <sheetView workbookViewId="0">
      <selection activeCell="G9" sqref="G9:G13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1" style="91" customWidth="1"/>
    <col min="4" max="4" width="21" style="91" customWidth="1"/>
    <col min="5" max="5" width="1.28515625" style="91" customWidth="1"/>
    <col min="6" max="6" width="16.42578125" style="91" customWidth="1"/>
    <col min="7" max="7" width="8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1563</v>
      </c>
      <c r="G9" s="91" t="s">
        <v>7736</v>
      </c>
    </row>
    <row r="10" spans="1:8" x14ac:dyDescent="0.2">
      <c r="A10" s="91" t="s">
        <v>2901</v>
      </c>
      <c r="F10" s="92" t="s">
        <v>1356</v>
      </c>
      <c r="G10" s="98" t="s">
        <v>7734</v>
      </c>
    </row>
    <row r="11" spans="1:8" x14ac:dyDescent="0.2">
      <c r="F11" s="92" t="s">
        <v>1364</v>
      </c>
      <c r="G11" s="92" t="s">
        <v>1220</v>
      </c>
    </row>
    <row r="12" spans="1:8" x14ac:dyDescent="0.2">
      <c r="F12" s="92" t="s">
        <v>1224</v>
      </c>
      <c r="G12" s="92" t="s">
        <v>7737</v>
      </c>
    </row>
    <row r="13" spans="1:8" x14ac:dyDescent="0.2">
      <c r="G13" s="91" t="s">
        <v>6823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95"/>
      <c r="D16" s="18" t="s">
        <v>19</v>
      </c>
      <c r="E16" s="18"/>
      <c r="F16" s="17"/>
      <c r="G16" s="16"/>
      <c r="H16" s="15" t="s">
        <v>18</v>
      </c>
    </row>
    <row r="18" spans="1:9" x14ac:dyDescent="0.2">
      <c r="D18" s="2" t="s">
        <v>7738</v>
      </c>
      <c r="E18" s="2"/>
      <c r="I18" s="193"/>
    </row>
    <row r="20" spans="1:9" x14ac:dyDescent="0.2">
      <c r="A20" s="93"/>
      <c r="B20" s="93"/>
      <c r="C20" s="93"/>
      <c r="D20" s="94" t="s">
        <v>5485</v>
      </c>
      <c r="E20" s="94"/>
      <c r="H20" s="91">
        <v>4350</v>
      </c>
    </row>
    <row r="21" spans="1:9" x14ac:dyDescent="0.2">
      <c r="D21" s="94"/>
      <c r="E21" s="94"/>
    </row>
    <row r="25" spans="1:9" x14ac:dyDescent="0.2">
      <c r="A25" s="93"/>
      <c r="B25" s="93"/>
      <c r="C25" s="93"/>
    </row>
    <row r="27" spans="1:9" x14ac:dyDescent="0.2">
      <c r="B27" s="94"/>
      <c r="C27" s="94"/>
    </row>
    <row r="28" spans="1:9" x14ac:dyDescent="0.2">
      <c r="A28" s="93"/>
      <c r="B28" s="93"/>
      <c r="C28" s="93"/>
      <c r="D28" s="94"/>
      <c r="E28" s="94"/>
    </row>
    <row r="32" spans="1:9" ht="13.5" thickBot="1" x14ac:dyDescent="0.25">
      <c r="H32" s="107">
        <f>SUM(H18:H31)</f>
        <v>4350</v>
      </c>
    </row>
    <row r="33" spans="1:8" ht="13.5" thickTop="1" x14ac:dyDescent="0.2">
      <c r="H33" s="269"/>
    </row>
    <row r="34" spans="1:8" ht="20.100000000000001" customHeight="1" x14ac:dyDescent="0.2">
      <c r="A34" s="96" t="s">
        <v>122</v>
      </c>
      <c r="B34" s="185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Four Thousand Three Hundred Fifty and NO/100 -----------</v>
      </c>
      <c r="C34" s="185"/>
      <c r="D34" s="97"/>
      <c r="E34" s="97"/>
      <c r="F34" s="97"/>
      <c r="G34" s="97"/>
      <c r="H34" s="207"/>
    </row>
    <row r="35" spans="1:8" x14ac:dyDescent="0.2">
      <c r="A35" s="94" t="s">
        <v>11</v>
      </c>
    </row>
    <row r="36" spans="1:8" ht="25.5" x14ac:dyDescent="0.2">
      <c r="A36" s="91" t="s">
        <v>10</v>
      </c>
      <c r="F36" s="218" t="s">
        <v>3975</v>
      </c>
      <c r="G36" s="219"/>
      <c r="H36" s="220"/>
    </row>
    <row r="38" spans="1:8" x14ac:dyDescent="0.2">
      <c r="F38" s="227"/>
      <c r="G38" s="227"/>
      <c r="H38" s="227"/>
    </row>
    <row r="39" spans="1:8" x14ac:dyDescent="0.2">
      <c r="D39" s="99"/>
      <c r="E39" s="396"/>
      <c r="F39" s="228"/>
      <c r="G39" s="229"/>
      <c r="H39" s="229"/>
    </row>
    <row r="40" spans="1:8" x14ac:dyDescent="0.2">
      <c r="A40" s="101"/>
      <c r="B40" s="101"/>
      <c r="C40" s="386"/>
    </row>
    <row r="42" spans="1:8" x14ac:dyDescent="0.2">
      <c r="A42" s="98" t="s">
        <v>8</v>
      </c>
      <c r="D42" s="98" t="s">
        <v>8</v>
      </c>
      <c r="F42" s="98" t="s">
        <v>7</v>
      </c>
      <c r="H42" s="102"/>
    </row>
    <row r="46" spans="1:8" x14ac:dyDescent="0.2">
      <c r="A46" s="101"/>
      <c r="B46" s="101"/>
      <c r="C46" s="386"/>
      <c r="D46" s="101"/>
      <c r="F46" s="101"/>
      <c r="G46" s="101"/>
      <c r="H46" s="101"/>
    </row>
    <row r="47" spans="1:8" s="61" customFormat="1" ht="17.100000000000001" customHeight="1" x14ac:dyDescent="0.2">
      <c r="A47" s="103" t="s">
        <v>4066</v>
      </c>
      <c r="B47" s="104"/>
      <c r="C47" s="104"/>
      <c r="D47" s="103" t="s">
        <v>50</v>
      </c>
      <c r="F47" s="61" t="s">
        <v>3</v>
      </c>
    </row>
    <row r="48" spans="1:8" x14ac:dyDescent="0.2">
      <c r="F48" s="91" t="s">
        <v>2</v>
      </c>
    </row>
    <row r="50" spans="6:6" x14ac:dyDescent="0.2">
      <c r="F50" s="2" t="s">
        <v>1</v>
      </c>
    </row>
    <row r="51" spans="6:6" x14ac:dyDescent="0.2">
      <c r="F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6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1-000000000000}">
  <sheetPr codeName="Sheet23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2438</v>
      </c>
    </row>
    <row r="10" spans="1:6" x14ac:dyDescent="0.2">
      <c r="A10" s="91" t="s">
        <v>2440</v>
      </c>
      <c r="D10" s="92" t="s">
        <v>1356</v>
      </c>
      <c r="E10" s="92" t="s">
        <v>2436</v>
      </c>
    </row>
    <row r="11" spans="1:6" x14ac:dyDescent="0.2">
      <c r="A11" s="91" t="s">
        <v>2441</v>
      </c>
      <c r="D11" s="92" t="s">
        <v>1364</v>
      </c>
      <c r="E11" s="92" t="s">
        <v>1220</v>
      </c>
    </row>
    <row r="12" spans="1:6" x14ac:dyDescent="0.2">
      <c r="A12" s="91" t="s">
        <v>1862</v>
      </c>
      <c r="D12" s="92" t="s">
        <v>1394</v>
      </c>
      <c r="E12" s="92" t="s">
        <v>2439</v>
      </c>
    </row>
    <row r="13" spans="1:6" x14ac:dyDescent="0.2">
      <c r="A13" s="91" t="s">
        <v>2442</v>
      </c>
    </row>
    <row r="14" spans="1:6" x14ac:dyDescent="0.2">
      <c r="A14" s="91" t="s">
        <v>2443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2446</v>
      </c>
    </row>
    <row r="19" spans="1:6" x14ac:dyDescent="0.2">
      <c r="A19" s="109"/>
      <c r="C19" s="2" t="s">
        <v>2447</v>
      </c>
    </row>
    <row r="21" spans="1:6" x14ac:dyDescent="0.2">
      <c r="A21" s="111" t="s">
        <v>2444</v>
      </c>
      <c r="B21" s="93" t="s">
        <v>2445</v>
      </c>
      <c r="C21" s="91" t="s">
        <v>2448</v>
      </c>
      <c r="F21" s="91">
        <v>1000</v>
      </c>
    </row>
    <row r="22" spans="1:6" x14ac:dyDescent="0.2">
      <c r="A22" s="92"/>
      <c r="B22" s="109"/>
    </row>
    <row r="24" spans="1:6" x14ac:dyDescent="0.2">
      <c r="A24" s="92"/>
      <c r="B24" s="99"/>
    </row>
    <row r="25" spans="1:6" x14ac:dyDescent="0.2">
      <c r="A25" s="92"/>
      <c r="B25" s="93"/>
    </row>
    <row r="26" spans="1:6" x14ac:dyDescent="0.2">
      <c r="A26" s="111"/>
      <c r="B26" s="93"/>
    </row>
    <row r="27" spans="1:6" x14ac:dyDescent="0.2">
      <c r="A27" s="109"/>
      <c r="B27" s="93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95">
        <f>SUM(F18:F31)</f>
        <v>1000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2332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1-000000000000}">
  <sheetPr codeName="Sheet294">
    <pageSetUpPr fitToPage="1"/>
  </sheetPr>
  <dimension ref="A1:F50"/>
  <sheetViews>
    <sheetView topLeftCell="A31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42578125" style="91" customWidth="1"/>
    <col min="3" max="3" width="21" style="91" customWidth="1"/>
    <col min="4" max="4" width="16.42578125" style="91" customWidth="1"/>
    <col min="5" max="5" width="10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3038</v>
      </c>
    </row>
    <row r="10" spans="1:6" x14ac:dyDescent="0.2">
      <c r="A10" s="91" t="s">
        <v>3040</v>
      </c>
      <c r="D10" s="92" t="s">
        <v>1357</v>
      </c>
      <c r="E10" s="113" t="s">
        <v>3033</v>
      </c>
    </row>
    <row r="11" spans="1:6" x14ac:dyDescent="0.2">
      <c r="A11" s="91" t="s">
        <v>3041</v>
      </c>
      <c r="D11" s="92" t="s">
        <v>1376</v>
      </c>
      <c r="E11" s="113" t="s">
        <v>1220</v>
      </c>
    </row>
    <row r="12" spans="1:6" x14ac:dyDescent="0.2">
      <c r="D12" s="92" t="s">
        <v>1224</v>
      </c>
      <c r="E12" s="113" t="s">
        <v>3039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3043</v>
      </c>
    </row>
    <row r="20" spans="1:6" x14ac:dyDescent="0.2">
      <c r="A20" s="93" t="s">
        <v>3008</v>
      </c>
      <c r="B20" s="93" t="s">
        <v>3042</v>
      </c>
      <c r="C20" s="91" t="s">
        <v>3044</v>
      </c>
      <c r="F20" s="91">
        <v>250</v>
      </c>
    </row>
    <row r="22" spans="1:6" x14ac:dyDescent="0.2">
      <c r="C22" s="94"/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250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1836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 topLeftCell="A3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1-000000000000}">
  <sheetPr codeName="Sheet282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5481</v>
      </c>
      <c r="F9" s="91"/>
    </row>
    <row r="10" spans="1:6" x14ac:dyDescent="0.2">
      <c r="A10" s="91" t="s">
        <v>2901</v>
      </c>
      <c r="B10" s="91"/>
      <c r="C10" s="91"/>
      <c r="D10" s="92" t="s">
        <v>1357</v>
      </c>
      <c r="E10" s="92" t="s">
        <v>5483</v>
      </c>
      <c r="F10" s="91"/>
    </row>
    <row r="11" spans="1:6" x14ac:dyDescent="0.2">
      <c r="A11" s="91" t="s">
        <v>2902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2903</v>
      </c>
      <c r="B12" s="91"/>
      <c r="C12" s="91"/>
      <c r="D12" s="92" t="s">
        <v>1377</v>
      </c>
      <c r="E12" s="94" t="s">
        <v>5482</v>
      </c>
      <c r="F12" s="91"/>
    </row>
    <row r="13" spans="1:6" x14ac:dyDescent="0.2">
      <c r="A13" s="91" t="s">
        <v>2904</v>
      </c>
      <c r="B13" s="91"/>
      <c r="C13" s="91"/>
      <c r="D13" s="91"/>
      <c r="E13" s="91"/>
      <c r="F13" s="91"/>
    </row>
    <row r="14" spans="1:6" x14ac:dyDescent="0.2">
      <c r="A14" s="91" t="s">
        <v>2905</v>
      </c>
      <c r="B14" s="91"/>
      <c r="C14" s="91"/>
      <c r="D14" s="91"/>
      <c r="E14" s="91"/>
      <c r="F14" s="91"/>
    </row>
    <row r="15" spans="1:6" x14ac:dyDescent="0.2">
      <c r="A15" s="91" t="s">
        <v>2090</v>
      </c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3"/>
      <c r="B18" s="99"/>
      <c r="C18" s="2" t="s">
        <v>5484</v>
      </c>
      <c r="F18" s="91"/>
    </row>
    <row r="20" spans="1:6" x14ac:dyDescent="0.2">
      <c r="A20" s="194" t="s">
        <v>11</v>
      </c>
      <c r="B20" s="91"/>
      <c r="C20" s="91" t="s">
        <v>5485</v>
      </c>
      <c r="D20" s="91"/>
      <c r="E20" s="91"/>
      <c r="F20" s="91">
        <v>4000</v>
      </c>
    </row>
    <row r="21" spans="1:6" x14ac:dyDescent="0.2">
      <c r="A21" s="93"/>
      <c r="B21" s="93"/>
      <c r="C21" s="91" t="s">
        <v>5339</v>
      </c>
      <c r="D21" s="91"/>
      <c r="E21" s="91"/>
      <c r="F21" s="91"/>
    </row>
    <row r="22" spans="1:6" x14ac:dyDescent="0.2">
      <c r="B22" s="91"/>
      <c r="C22" s="91" t="s">
        <v>5486</v>
      </c>
      <c r="D22" s="91"/>
      <c r="E22" s="91"/>
      <c r="F22" s="91"/>
    </row>
    <row r="23" spans="1:6" x14ac:dyDescent="0.2">
      <c r="B23" s="91"/>
      <c r="C23" s="91"/>
      <c r="D23" s="91"/>
      <c r="E23" s="91"/>
      <c r="F23" s="91"/>
    </row>
    <row r="24" spans="1:6" x14ac:dyDescent="0.2">
      <c r="A24" s="93"/>
      <c r="B24" s="93"/>
      <c r="C24" s="91"/>
      <c r="D24" s="91"/>
      <c r="E24" s="91"/>
      <c r="F24" s="91"/>
    </row>
    <row r="25" spans="1:6" x14ac:dyDescent="0.2">
      <c r="A25" s="93"/>
      <c r="B25" s="93"/>
      <c r="C25" s="91"/>
      <c r="D25" s="91"/>
      <c r="E25" s="91"/>
      <c r="F25" s="91"/>
    </row>
    <row r="26" spans="1:6" x14ac:dyDescent="0.2">
      <c r="A26" s="93"/>
      <c r="B26" s="93"/>
      <c r="C26" s="91"/>
      <c r="D26" s="91"/>
      <c r="E26" s="91"/>
      <c r="F26" s="91"/>
    </row>
    <row r="27" spans="1:6" x14ac:dyDescent="0.2">
      <c r="A27" s="93"/>
      <c r="B27" s="93"/>
      <c r="C27" s="91"/>
      <c r="D27" s="91"/>
      <c r="E27" s="91"/>
      <c r="F27" s="91"/>
    </row>
    <row r="28" spans="1:6" x14ac:dyDescent="0.2">
      <c r="A28" s="93"/>
      <c r="B28" s="94"/>
      <c r="C28" s="91"/>
      <c r="D28" s="91"/>
      <c r="E28" s="91"/>
      <c r="F28" s="91"/>
    </row>
    <row r="29" spans="1:6" x14ac:dyDescent="0.2">
      <c r="A29" s="93"/>
      <c r="B29" s="94"/>
      <c r="C29" s="2"/>
      <c r="D29" s="91"/>
      <c r="E29" s="91"/>
      <c r="F29" s="91"/>
    </row>
    <row r="30" spans="1:6" x14ac:dyDescent="0.2">
      <c r="B30" s="94"/>
      <c r="C30" s="91"/>
      <c r="D30" s="91"/>
      <c r="E30" s="91"/>
      <c r="F30" s="91"/>
    </row>
    <row r="31" spans="1:6" x14ac:dyDescent="0.2">
      <c r="A31" s="93"/>
      <c r="B31" s="93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</row>
    <row r="33" spans="1:6" ht="13.5" thickBot="1" x14ac:dyDescent="0.25">
      <c r="A33" s="91"/>
      <c r="B33" s="91"/>
      <c r="C33" s="91"/>
      <c r="D33" s="91"/>
      <c r="E33" s="91"/>
      <c r="F33" s="107">
        <f>SUM(F18:F31)</f>
        <v>4000</v>
      </c>
    </row>
    <row r="34" spans="1:6" ht="14.25" thickTop="1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Thousand and NO/100 -----------</v>
      </c>
      <c r="C35" s="97"/>
      <c r="D35" s="97"/>
      <c r="E35" s="97"/>
      <c r="F35" s="97"/>
    </row>
    <row r="37" spans="1:6" s="91" customFormat="1" ht="25.5" x14ac:dyDescent="0.2">
      <c r="A37" s="169" t="s">
        <v>4046</v>
      </c>
      <c r="D37" s="218" t="s">
        <v>3975</v>
      </c>
      <c r="E37" s="219"/>
      <c r="F37" s="220"/>
    </row>
    <row r="38" spans="1:6" s="91" customFormat="1" x14ac:dyDescent="0.2">
      <c r="A38" s="153"/>
    </row>
    <row r="39" spans="1:6" s="91" customFormat="1" x14ac:dyDescent="0.2">
      <c r="A39" s="152"/>
    </row>
    <row r="40" spans="1:6" s="91" customFormat="1" x14ac:dyDescent="0.2">
      <c r="A40" s="153"/>
    </row>
    <row r="41" spans="1:6" s="91" customFormat="1" x14ac:dyDescent="0.2">
      <c r="A41" s="174"/>
      <c r="B41" s="101"/>
      <c r="C41" s="99"/>
      <c r="D41" s="227"/>
      <c r="E41" s="227"/>
      <c r="F41" s="227"/>
    </row>
    <row r="42" spans="1:6" s="91" customFormat="1" x14ac:dyDescent="0.2">
      <c r="A42" s="152"/>
      <c r="D42" s="228"/>
      <c r="E42" s="229"/>
      <c r="F42" s="229"/>
    </row>
    <row r="43" spans="1:6" s="91" customFormat="1" x14ac:dyDescent="0.2">
      <c r="A43" s="175" t="s">
        <v>8</v>
      </c>
      <c r="D43" s="175" t="s">
        <v>7</v>
      </c>
    </row>
    <row r="44" spans="1:6" s="91" customFormat="1" x14ac:dyDescent="0.2">
      <c r="A44" s="153"/>
    </row>
    <row r="45" spans="1:6" s="91" customFormat="1" x14ac:dyDescent="0.2">
      <c r="A45" s="153"/>
    </row>
    <row r="46" spans="1:6" s="91" customFormat="1" x14ac:dyDescent="0.2">
      <c r="A46" s="153"/>
    </row>
    <row r="47" spans="1:6" s="91" customFormat="1" x14ac:dyDescent="0.2">
      <c r="A47" s="174"/>
      <c r="B47" s="101"/>
      <c r="D47" s="101"/>
      <c r="E47" s="101"/>
      <c r="F47" s="101"/>
    </row>
    <row r="48" spans="1:6" s="61" customFormat="1" ht="17.100000000000001" customHeight="1" x14ac:dyDescent="0.2">
      <c r="A48" s="153" t="s">
        <v>4066</v>
      </c>
      <c r="B48" s="104"/>
      <c r="D48" s="61" t="s">
        <v>3</v>
      </c>
    </row>
    <row r="49" spans="1:4" s="91" customFormat="1" x14ac:dyDescent="0.2">
      <c r="A49" s="153"/>
      <c r="D49" s="91" t="s">
        <v>2</v>
      </c>
    </row>
    <row r="50" spans="1:4" s="91" customFormat="1" x14ac:dyDescent="0.2">
      <c r="A50" s="98"/>
    </row>
    <row r="51" spans="1:4" s="91" customFormat="1" x14ac:dyDescent="0.2">
      <c r="D51" s="2" t="s">
        <v>1</v>
      </c>
    </row>
    <row r="52" spans="1:4" s="91" customFormat="1" x14ac:dyDescent="0.2">
      <c r="D52" s="2" t="s">
        <v>0</v>
      </c>
    </row>
    <row r="53" spans="1:4" s="91" customFormat="1" x14ac:dyDescent="0.2"/>
    <row r="54" spans="1:4" s="91" customFormat="1" x14ac:dyDescent="0.2"/>
    <row r="55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2-000000000000}">
  <sheetPr codeName="Sheet239"/>
  <dimension ref="A1:F54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8554687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2420</v>
      </c>
    </row>
    <row r="10" spans="1:6" x14ac:dyDescent="0.2">
      <c r="A10" s="91" t="s">
        <v>2422</v>
      </c>
      <c r="D10" s="92" t="s">
        <v>1357</v>
      </c>
      <c r="E10" s="92" t="s">
        <v>2407</v>
      </c>
    </row>
    <row r="11" spans="1:6" x14ac:dyDescent="0.2">
      <c r="A11" s="91" t="s">
        <v>2423</v>
      </c>
      <c r="D11" s="92" t="s">
        <v>1330</v>
      </c>
      <c r="E11" s="92" t="s">
        <v>1220</v>
      </c>
    </row>
    <row r="12" spans="1:6" x14ac:dyDescent="0.2">
      <c r="A12" s="91" t="s">
        <v>1337</v>
      </c>
      <c r="D12" s="92" t="s">
        <v>1224</v>
      </c>
      <c r="E12" s="92" t="s">
        <v>2421</v>
      </c>
    </row>
    <row r="13" spans="1:6" x14ac:dyDescent="0.2">
      <c r="A13" s="91" t="s">
        <v>2425</v>
      </c>
    </row>
    <row r="14" spans="1:6" x14ac:dyDescent="0.2">
      <c r="A14" s="91" t="s">
        <v>2424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2426</v>
      </c>
    </row>
    <row r="20" spans="1:6" x14ac:dyDescent="0.2">
      <c r="A20" s="93" t="s">
        <v>2427</v>
      </c>
      <c r="B20" s="93" t="s">
        <v>2428</v>
      </c>
      <c r="C20" s="91" t="s">
        <v>2429</v>
      </c>
      <c r="F20" s="91">
        <f>7.5*100</f>
        <v>750</v>
      </c>
    </row>
    <row r="26" spans="1:6" x14ac:dyDescent="0.2">
      <c r="A26" s="93"/>
      <c r="B26" s="93"/>
    </row>
    <row r="28" spans="1:6" x14ac:dyDescent="0.2">
      <c r="B28" s="94"/>
    </row>
    <row r="34" spans="1:6" ht="13.5" thickBot="1" x14ac:dyDescent="0.25">
      <c r="F34" s="107"/>
    </row>
    <row r="35" spans="1:6" ht="14.25" thickTop="1" thickBot="1" x14ac:dyDescent="0.25">
      <c r="F35" s="95">
        <f>SUM(F18:F34)</f>
        <v>750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1075</v>
      </c>
      <c r="B37" s="96" t="s">
        <v>2430</v>
      </c>
      <c r="C37" s="97"/>
      <c r="D37" s="222"/>
      <c r="E37" s="222"/>
      <c r="F37" s="222"/>
    </row>
    <row r="38" spans="1:6" ht="20.100000000000001" customHeight="1" x14ac:dyDescent="0.2">
      <c r="A38" s="113"/>
      <c r="B38" s="11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 t="s">
        <v>3972</v>
      </c>
    </row>
    <row r="48" spans="1:6" x14ac:dyDescent="0.2">
      <c r="A48" s="98"/>
    </row>
    <row r="49" spans="1:6" x14ac:dyDescent="0.2">
      <c r="A49" s="100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35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2-000000000000}">
  <sheetPr codeName="Sheet198">
    <pageSetUpPr fitToPage="1"/>
  </sheetPr>
  <dimension ref="A1:F55"/>
  <sheetViews>
    <sheetView topLeftCell="A4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5745</v>
      </c>
    </row>
    <row r="10" spans="1:6" x14ac:dyDescent="0.2">
      <c r="A10" s="91" t="s">
        <v>2157</v>
      </c>
      <c r="D10" s="92" t="s">
        <v>1357</v>
      </c>
      <c r="E10" s="91" t="s">
        <v>5730</v>
      </c>
    </row>
    <row r="11" spans="1:6" x14ac:dyDescent="0.2">
      <c r="A11" s="91" t="s">
        <v>2158</v>
      </c>
      <c r="D11" s="92" t="s">
        <v>1330</v>
      </c>
      <c r="E11" s="91" t="s">
        <v>1220</v>
      </c>
    </row>
    <row r="12" spans="1:6" x14ac:dyDescent="0.2">
      <c r="D12" s="92" t="s">
        <v>1224</v>
      </c>
      <c r="E12" s="91" t="s">
        <v>5746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4243</v>
      </c>
    </row>
    <row r="20" spans="1:6" x14ac:dyDescent="0.2">
      <c r="A20" s="93" t="s">
        <v>5744</v>
      </c>
      <c r="B20" s="93"/>
      <c r="C20" s="91" t="s">
        <v>5747</v>
      </c>
      <c r="F20" s="91">
        <v>120</v>
      </c>
    </row>
    <row r="21" spans="1:6" x14ac:dyDescent="0.2">
      <c r="C21" s="91" t="s">
        <v>5748</v>
      </c>
      <c r="F21" s="91">
        <v>120</v>
      </c>
    </row>
    <row r="22" spans="1:6" x14ac:dyDescent="0.2">
      <c r="C22" s="91" t="s">
        <v>5749</v>
      </c>
      <c r="F22" s="91">
        <v>120</v>
      </c>
    </row>
    <row r="31" spans="1:6" x14ac:dyDescent="0.2">
      <c r="A31" s="93"/>
      <c r="B31" s="94"/>
    </row>
    <row r="32" spans="1:6" x14ac:dyDescent="0.2">
      <c r="B32" s="94"/>
    </row>
    <row r="33" spans="1:6" x14ac:dyDescent="0.2">
      <c r="B33" s="94"/>
    </row>
    <row r="34" spans="1:6" x14ac:dyDescent="0.2">
      <c r="B34" s="94"/>
    </row>
    <row r="36" spans="1:6" ht="13.5" thickBot="1" x14ac:dyDescent="0.25">
      <c r="F36" s="95">
        <f>SUM(F18:F35)</f>
        <v>360</v>
      </c>
    </row>
    <row r="37" spans="1:6" ht="13.5" thickTop="1" x14ac:dyDescent="0.2"/>
    <row r="38" spans="1:6" ht="20.100000000000001" customHeight="1" x14ac:dyDescent="0.2">
      <c r="A38" s="96" t="s">
        <v>1075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Three Hundred Sixty and NO/100 -----------</v>
      </c>
      <c r="C38" s="97"/>
      <c r="D38" s="97"/>
      <c r="E38" s="97"/>
      <c r="F38" s="97"/>
    </row>
    <row r="39" spans="1:6" x14ac:dyDescent="0.2">
      <c r="A39" s="94"/>
      <c r="F39" s="209"/>
    </row>
    <row r="40" spans="1:6" ht="25.5" x14ac:dyDescent="0.2">
      <c r="A40" s="169" t="s">
        <v>4046</v>
      </c>
      <c r="D40" s="218" t="s">
        <v>3975</v>
      </c>
      <c r="E40" s="219"/>
      <c r="F40" s="220"/>
    </row>
    <row r="41" spans="1:6" x14ac:dyDescent="0.2">
      <c r="A41" s="153"/>
    </row>
    <row r="42" spans="1:6" x14ac:dyDescent="0.2">
      <c r="A42" s="152"/>
    </row>
    <row r="43" spans="1:6" x14ac:dyDescent="0.2">
      <c r="A43" s="153"/>
    </row>
    <row r="44" spans="1:6" x14ac:dyDescent="0.2">
      <c r="A44" s="174"/>
      <c r="B44" s="101"/>
      <c r="C44" s="99"/>
      <c r="D44" s="227"/>
      <c r="E44" s="227"/>
      <c r="F44" s="227"/>
    </row>
    <row r="45" spans="1:6" x14ac:dyDescent="0.2">
      <c r="A45" s="152"/>
      <c r="D45" s="228"/>
      <c r="E45" s="229"/>
      <c r="F45" s="229"/>
    </row>
    <row r="46" spans="1:6" x14ac:dyDescent="0.2">
      <c r="A46" s="175" t="s">
        <v>8</v>
      </c>
      <c r="D46" s="175" t="s">
        <v>7</v>
      </c>
    </row>
    <row r="47" spans="1:6" x14ac:dyDescent="0.2">
      <c r="A47" s="153"/>
    </row>
    <row r="48" spans="1:6" x14ac:dyDescent="0.2">
      <c r="A48" s="153"/>
    </row>
    <row r="49" spans="1:6" x14ac:dyDescent="0.2">
      <c r="A49" s="153"/>
    </row>
    <row r="50" spans="1:6" x14ac:dyDescent="0.2">
      <c r="A50" s="174"/>
      <c r="B50" s="101"/>
      <c r="D50" s="101"/>
      <c r="E50" s="101"/>
      <c r="F50" s="101"/>
    </row>
    <row r="51" spans="1:6" s="61" customFormat="1" ht="17.100000000000001" customHeight="1" x14ac:dyDescent="0.2">
      <c r="A51" s="153" t="s">
        <v>4066</v>
      </c>
      <c r="B51" s="104"/>
      <c r="D51" s="61" t="s">
        <v>3</v>
      </c>
    </row>
    <row r="52" spans="1:6" x14ac:dyDescent="0.2">
      <c r="A52" s="153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>
      <selection activeCell="C21" sqref="C21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6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2-000000000000}">
  <sheetPr codeName="Sheet240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140625" style="152" customWidth="1"/>
    <col min="2" max="2" width="13.140625" style="152" customWidth="1"/>
    <col min="3" max="3" width="23" style="152" customWidth="1"/>
    <col min="4" max="4" width="16.4257812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61" t="s">
        <v>3285</v>
      </c>
      <c r="F9" s="153"/>
    </row>
    <row r="10" spans="1:6" x14ac:dyDescent="0.2">
      <c r="A10" s="153" t="s">
        <v>2310</v>
      </c>
      <c r="B10" s="153"/>
      <c r="C10" s="153"/>
      <c r="D10" s="155" t="s">
        <v>1357</v>
      </c>
      <c r="E10" s="113" t="s">
        <v>3275</v>
      </c>
      <c r="F10" s="153"/>
    </row>
    <row r="11" spans="1:6" x14ac:dyDescent="0.2">
      <c r="A11" s="153" t="s">
        <v>2311</v>
      </c>
      <c r="B11" s="153"/>
      <c r="C11" s="153"/>
      <c r="D11" s="155" t="s">
        <v>1330</v>
      </c>
      <c r="E11" s="113" t="s">
        <v>1220</v>
      </c>
      <c r="F11" s="153"/>
    </row>
    <row r="12" spans="1:6" x14ac:dyDescent="0.2">
      <c r="A12" s="153"/>
      <c r="B12" s="153"/>
      <c r="C12" s="153"/>
      <c r="D12" s="155" t="s">
        <v>1224</v>
      </c>
      <c r="E12" s="113" t="s">
        <v>3286</v>
      </c>
      <c r="F12" s="153"/>
    </row>
    <row r="13" spans="1:6" x14ac:dyDescent="0.2">
      <c r="A13" s="153"/>
      <c r="B13" s="153"/>
      <c r="C13" s="153"/>
      <c r="D13" s="153"/>
      <c r="E13" s="153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53"/>
      <c r="B18" s="153"/>
      <c r="C18" s="163" t="s">
        <v>2793</v>
      </c>
      <c r="D18" s="153"/>
      <c r="E18" s="153"/>
      <c r="F18" s="153"/>
    </row>
    <row r="19" spans="1:6" x14ac:dyDescent="0.2">
      <c r="B19" s="168"/>
      <c r="C19" s="153"/>
      <c r="D19" s="153"/>
      <c r="E19" s="153"/>
      <c r="F19" s="153"/>
    </row>
    <row r="20" spans="1:6" x14ac:dyDescent="0.2">
      <c r="A20" s="168"/>
      <c r="B20" s="153"/>
      <c r="C20" s="153" t="s">
        <v>3287</v>
      </c>
      <c r="D20" s="153"/>
      <c r="E20" s="153"/>
      <c r="F20" s="153">
        <v>4500</v>
      </c>
    </row>
    <row r="21" spans="1:6" x14ac:dyDescent="0.2">
      <c r="A21" s="155"/>
      <c r="B21" s="153"/>
      <c r="C21" s="153" t="s">
        <v>3288</v>
      </c>
      <c r="D21" s="153"/>
      <c r="E21" s="153"/>
      <c r="F21" s="153"/>
    </row>
    <row r="22" spans="1:6" x14ac:dyDescent="0.2">
      <c r="A22" s="153"/>
      <c r="B22" s="153"/>
      <c r="C22" s="153"/>
      <c r="D22" s="153"/>
      <c r="E22" s="153"/>
      <c r="F22" s="153"/>
    </row>
    <row r="23" spans="1:6" x14ac:dyDescent="0.2">
      <c r="A23" s="153"/>
      <c r="B23" s="153"/>
      <c r="C23" s="153" t="s">
        <v>3289</v>
      </c>
      <c r="D23" s="153"/>
      <c r="E23" s="153"/>
      <c r="F23" s="153">
        <v>1000</v>
      </c>
    </row>
    <row r="24" spans="1:6" x14ac:dyDescent="0.2">
      <c r="A24" s="153"/>
      <c r="B24" s="153"/>
      <c r="C24" s="153"/>
      <c r="D24" s="153"/>
      <c r="E24" s="153"/>
      <c r="F24" s="153"/>
    </row>
    <row r="25" spans="1:6" x14ac:dyDescent="0.2">
      <c r="A25" s="153"/>
      <c r="B25" s="153"/>
      <c r="C25" s="153"/>
      <c r="D25" s="153"/>
      <c r="E25" s="153"/>
      <c r="F25" s="153"/>
    </row>
    <row r="26" spans="1:6" x14ac:dyDescent="0.2">
      <c r="A26" s="153"/>
      <c r="B26" s="153"/>
      <c r="C26" s="153"/>
      <c r="D26" s="153"/>
      <c r="E26" s="153"/>
      <c r="F26" s="153"/>
    </row>
    <row r="27" spans="1:6" x14ac:dyDescent="0.2">
      <c r="A27" s="153"/>
      <c r="B27" s="153"/>
      <c r="C27" s="153"/>
      <c r="D27" s="153"/>
      <c r="E27" s="153"/>
      <c r="F27" s="153"/>
    </row>
    <row r="28" spans="1:6" x14ac:dyDescent="0.2">
      <c r="A28" s="153"/>
      <c r="B28" s="153"/>
      <c r="C28" s="153"/>
      <c r="D28" s="153"/>
      <c r="E28" s="153"/>
      <c r="F28" s="153"/>
    </row>
    <row r="29" spans="1:6" x14ac:dyDescent="0.2">
      <c r="A29" s="153"/>
      <c r="B29" s="153"/>
      <c r="C29" s="153"/>
      <c r="D29" s="153"/>
      <c r="E29" s="153"/>
      <c r="F29" s="153"/>
    </row>
    <row r="30" spans="1:6" x14ac:dyDescent="0.2">
      <c r="A30" s="153"/>
      <c r="B30" s="153"/>
      <c r="C30" s="153"/>
      <c r="D30" s="153"/>
      <c r="E30" s="153"/>
      <c r="F30" s="153"/>
    </row>
    <row r="31" spans="1:6" x14ac:dyDescent="0.2">
      <c r="A31" s="153"/>
      <c r="B31" s="153"/>
      <c r="C31" s="153"/>
      <c r="D31" s="153"/>
      <c r="E31" s="153"/>
      <c r="F31" s="153"/>
    </row>
    <row r="32" spans="1:6" ht="13.5" thickBot="1" x14ac:dyDescent="0.25">
      <c r="A32" s="153"/>
      <c r="B32" s="153"/>
      <c r="C32" s="153"/>
      <c r="D32" s="153"/>
      <c r="E32" s="153"/>
      <c r="F32" s="170">
        <f>SUM(F19:F31)</f>
        <v>5500</v>
      </c>
    </row>
    <row r="33" spans="1:6" ht="13.5" thickTop="1" x14ac:dyDescent="0.2">
      <c r="A33" s="153"/>
      <c r="B33" s="153"/>
      <c r="C33" s="153"/>
      <c r="D33" s="153"/>
      <c r="E33" s="153"/>
      <c r="F33" s="153"/>
    </row>
    <row r="34" spans="1:6" ht="13.5" thickBot="1" x14ac:dyDescent="0.25">
      <c r="A34" s="153"/>
      <c r="B34" s="153"/>
      <c r="C34" s="153"/>
      <c r="D34" s="153"/>
      <c r="E34" s="153"/>
      <c r="F34" s="170"/>
    </row>
    <row r="35" spans="1:6" ht="20.100000000000001" customHeight="1" thickTop="1" x14ac:dyDescent="0.2">
      <c r="A35" s="171" t="s">
        <v>122</v>
      </c>
      <c r="B35" s="171" t="s">
        <v>3290</v>
      </c>
      <c r="C35" s="172"/>
      <c r="D35" s="172"/>
      <c r="E35" s="172"/>
      <c r="F35" s="172"/>
    </row>
    <row r="36" spans="1:6" ht="25.5" x14ac:dyDescent="0.2">
      <c r="A36" s="169" t="s">
        <v>11</v>
      </c>
      <c r="B36" s="153"/>
      <c r="C36" s="153"/>
      <c r="D36" s="218" t="s">
        <v>3975</v>
      </c>
      <c r="E36" s="219"/>
      <c r="F36" s="220"/>
    </row>
    <row r="37" spans="1:6" x14ac:dyDescent="0.2">
      <c r="A37" s="153" t="s">
        <v>10</v>
      </c>
      <c r="B37" s="153"/>
      <c r="C37" s="153"/>
      <c r="D37" s="153"/>
      <c r="E37" s="153"/>
      <c r="F37" s="153"/>
    </row>
    <row r="38" spans="1:6" x14ac:dyDescent="0.2">
      <c r="A38" s="153"/>
      <c r="B38" s="153"/>
      <c r="C38" s="153"/>
      <c r="D38" s="153"/>
      <c r="E38" s="153"/>
      <c r="F38" s="153"/>
    </row>
    <row r="39" spans="1:6" x14ac:dyDescent="0.2">
      <c r="A39" s="153"/>
      <c r="B39" s="153"/>
      <c r="C39" s="153"/>
      <c r="D39" s="227"/>
      <c r="E39" s="227"/>
      <c r="F39" s="227"/>
    </row>
    <row r="40" spans="1:6" x14ac:dyDescent="0.2">
      <c r="A40" s="153"/>
      <c r="B40" s="153"/>
      <c r="C40" s="173"/>
      <c r="D40" s="228"/>
      <c r="E40" s="229"/>
      <c r="F40" s="229"/>
    </row>
    <row r="41" spans="1:6" x14ac:dyDescent="0.2">
      <c r="B41" s="153"/>
      <c r="C41" s="153"/>
      <c r="D41" s="153"/>
      <c r="E41" s="153"/>
      <c r="F41" s="153"/>
    </row>
    <row r="42" spans="1:6" x14ac:dyDescent="0.2">
      <c r="A42" s="153"/>
      <c r="B42" s="153"/>
      <c r="C42" s="153"/>
      <c r="D42" s="153"/>
      <c r="E42" s="153"/>
      <c r="F42" s="153"/>
    </row>
    <row r="43" spans="1:6" x14ac:dyDescent="0.2">
      <c r="A43" s="175" t="s">
        <v>8</v>
      </c>
      <c r="B43" s="153"/>
      <c r="C43" s="153"/>
      <c r="D43" s="175" t="s">
        <v>7</v>
      </c>
      <c r="E43" s="153"/>
      <c r="F43" s="176"/>
    </row>
    <row r="44" spans="1:6" x14ac:dyDescent="0.2">
      <c r="A44" s="153"/>
      <c r="B44" s="153"/>
      <c r="C44" s="153"/>
      <c r="D44" s="153"/>
      <c r="E44" s="153"/>
      <c r="F44" s="153"/>
    </row>
    <row r="45" spans="1:6" x14ac:dyDescent="0.2">
      <c r="A45" s="153"/>
      <c r="B45" s="153"/>
      <c r="C45" s="153"/>
      <c r="D45" s="153"/>
      <c r="E45" s="153"/>
      <c r="F45" s="153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74" t="s">
        <v>3972</v>
      </c>
      <c r="B47" s="174"/>
      <c r="C47" s="153"/>
      <c r="D47" s="174"/>
      <c r="E47" s="174"/>
      <c r="F47" s="174"/>
    </row>
    <row r="48" spans="1:6" s="178" customFormat="1" ht="17.100000000000001" customHeight="1" x14ac:dyDescent="0.2">
      <c r="A48" s="177" t="s">
        <v>35</v>
      </c>
      <c r="B48" s="177"/>
      <c r="C48" s="156"/>
      <c r="D48" s="156" t="s">
        <v>3</v>
      </c>
      <c r="E48" s="156"/>
      <c r="F48" s="156"/>
    </row>
    <row r="49" spans="1:6" x14ac:dyDescent="0.2">
      <c r="A49" s="153" t="s">
        <v>4066</v>
      </c>
      <c r="B49" s="153"/>
      <c r="C49" s="153"/>
      <c r="D49" s="153" t="s">
        <v>2</v>
      </c>
      <c r="E49" s="153"/>
      <c r="F49" s="153"/>
    </row>
    <row r="50" spans="1:6" x14ac:dyDescent="0.2">
      <c r="A50" s="153"/>
      <c r="B50" s="153"/>
      <c r="C50" s="153"/>
      <c r="D50" s="153"/>
      <c r="E50" s="153"/>
      <c r="F50" s="153"/>
    </row>
    <row r="51" spans="1:6" x14ac:dyDescent="0.2">
      <c r="A51" s="153"/>
      <c r="B51" s="153"/>
      <c r="C51" s="153"/>
      <c r="D51" s="163" t="s">
        <v>1</v>
      </c>
      <c r="E51" s="153"/>
      <c r="F51" s="153"/>
    </row>
    <row r="52" spans="1:6" x14ac:dyDescent="0.2">
      <c r="A52" s="153"/>
      <c r="B52" s="153"/>
      <c r="C52" s="153"/>
      <c r="D52" s="163" t="s">
        <v>0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53"/>
      <c r="E54" s="153"/>
      <c r="F54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6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2-000000000000}">
  <sheetPr codeName="Sheet242"/>
  <dimension ref="A1:P53"/>
  <sheetViews>
    <sheetView view="pageBreakPreview" topLeftCell="A7" zoomScaleNormal="100" zoomScaleSheetLayoutView="100" workbookViewId="0">
      <selection activeCell="F30" sqref="F30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" style="91" customWidth="1"/>
    <col min="4" max="4" width="21" style="91" customWidth="1"/>
    <col min="5" max="5" width="0.855468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  <c r="J8" s="91" t="s">
        <v>7174</v>
      </c>
      <c r="K8" s="91">
        <v>43462</v>
      </c>
      <c r="M8" s="91" t="s">
        <v>7166</v>
      </c>
    </row>
    <row r="9" spans="1:15" x14ac:dyDescent="0.2">
      <c r="F9" s="92" t="s">
        <v>1358</v>
      </c>
      <c r="G9" s="153" t="s">
        <v>8878</v>
      </c>
    </row>
    <row r="10" spans="1:15" x14ac:dyDescent="0.2">
      <c r="A10" s="91" t="s">
        <v>2568</v>
      </c>
      <c r="F10" s="92" t="s">
        <v>1357</v>
      </c>
      <c r="G10" s="155" t="s">
        <v>8852</v>
      </c>
    </row>
    <row r="11" spans="1:15" x14ac:dyDescent="0.2">
      <c r="A11" s="91" t="s">
        <v>2306</v>
      </c>
      <c r="F11" s="92" t="s">
        <v>1330</v>
      </c>
      <c r="G11" s="155" t="s">
        <v>1220</v>
      </c>
    </row>
    <row r="12" spans="1:15" x14ac:dyDescent="0.2">
      <c r="A12" s="91" t="s">
        <v>2307</v>
      </c>
      <c r="F12" s="92" t="s">
        <v>1224</v>
      </c>
      <c r="G12" s="155" t="s">
        <v>8879</v>
      </c>
    </row>
    <row r="13" spans="1:15" x14ac:dyDescent="0.2">
      <c r="A13" s="91" t="s">
        <v>2308</v>
      </c>
      <c r="G13" s="153" t="s">
        <v>7931</v>
      </c>
    </row>
    <row r="14" spans="1:15" x14ac:dyDescent="0.2">
      <c r="A14" s="91" t="s">
        <v>2309</v>
      </c>
      <c r="L14" s="2" t="s">
        <v>5338</v>
      </c>
    </row>
    <row r="16" spans="1:15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J16" s="93"/>
      <c r="K16" s="93" t="s">
        <v>7060</v>
      </c>
      <c r="L16" s="91" t="s">
        <v>7061</v>
      </c>
      <c r="M16" s="91"/>
      <c r="N16" s="91"/>
      <c r="O16" s="91">
        <v>90</v>
      </c>
    </row>
    <row r="17" spans="1:16" x14ac:dyDescent="0.2">
      <c r="L17" s="91" t="s">
        <v>7062</v>
      </c>
      <c r="O17" s="91">
        <v>90</v>
      </c>
    </row>
    <row r="18" spans="1:16" x14ac:dyDescent="0.2">
      <c r="D18" s="2" t="s">
        <v>5338</v>
      </c>
      <c r="E18" s="2"/>
      <c r="J18" s="93"/>
      <c r="K18" s="93"/>
      <c r="L18" s="91" t="s">
        <v>7063</v>
      </c>
      <c r="O18" s="91">
        <v>90</v>
      </c>
    </row>
    <row r="20" spans="1:16" x14ac:dyDescent="0.2">
      <c r="A20" s="93" t="s">
        <v>8841</v>
      </c>
      <c r="B20" s="93" t="s">
        <v>8881</v>
      </c>
      <c r="C20" s="93"/>
      <c r="D20" s="91" t="s">
        <v>8880</v>
      </c>
      <c r="E20" s="94"/>
      <c r="H20" s="91">
        <v>90</v>
      </c>
    </row>
    <row r="21" spans="1:16" x14ac:dyDescent="0.2">
      <c r="A21" s="93"/>
      <c r="E21" s="94"/>
      <c r="L21" s="94" t="s">
        <v>7867</v>
      </c>
      <c r="M21" s="94"/>
      <c r="P21" s="91">
        <v>90</v>
      </c>
    </row>
    <row r="22" spans="1:16" x14ac:dyDescent="0.2">
      <c r="A22" s="93"/>
      <c r="B22" s="93"/>
      <c r="C22" s="93"/>
      <c r="E22" s="94"/>
      <c r="L22" s="94" t="s">
        <v>7868</v>
      </c>
      <c r="M22" s="94"/>
      <c r="P22" s="91">
        <v>90</v>
      </c>
    </row>
    <row r="23" spans="1:16" x14ac:dyDescent="0.2">
      <c r="A23" s="93"/>
      <c r="B23" s="93"/>
      <c r="C23" s="93"/>
      <c r="E23" s="94"/>
      <c r="L23" s="94"/>
      <c r="M23" s="94"/>
    </row>
    <row r="24" spans="1:16" x14ac:dyDescent="0.2">
      <c r="A24" s="93"/>
      <c r="B24" s="93"/>
      <c r="C24" s="93"/>
      <c r="D24" s="94"/>
      <c r="E24" s="94"/>
      <c r="L24" s="94" t="s">
        <v>7870</v>
      </c>
      <c r="M24" s="94"/>
      <c r="P24" s="91">
        <v>90</v>
      </c>
    </row>
    <row r="25" spans="1:16" x14ac:dyDescent="0.2">
      <c r="A25" s="93"/>
      <c r="B25" s="93"/>
      <c r="L25" s="94"/>
    </row>
    <row r="26" spans="1:16" x14ac:dyDescent="0.2">
      <c r="A26" s="93"/>
      <c r="B26" s="93"/>
      <c r="C26" s="93"/>
      <c r="E26" s="94"/>
      <c r="L26" s="94"/>
      <c r="M26" s="94"/>
    </row>
    <row r="27" spans="1:16" x14ac:dyDescent="0.2">
      <c r="A27" s="93"/>
      <c r="B27" s="93"/>
      <c r="C27" s="93"/>
      <c r="E27" s="94"/>
      <c r="L27" s="94"/>
      <c r="M27" s="94"/>
    </row>
    <row r="28" spans="1:16" x14ac:dyDescent="0.2">
      <c r="A28" s="93"/>
      <c r="B28" s="93"/>
      <c r="C28" s="93"/>
      <c r="D28" s="94"/>
      <c r="E28" s="94"/>
    </row>
    <row r="29" spans="1:16" x14ac:dyDescent="0.2">
      <c r="A29" s="93"/>
      <c r="B29" s="93"/>
      <c r="C29" s="93"/>
      <c r="E29" s="94"/>
    </row>
    <row r="32" spans="1:16" x14ac:dyDescent="0.2">
      <c r="A32" s="93"/>
      <c r="B32" s="99"/>
      <c r="C32" s="406"/>
    </row>
    <row r="34" spans="1:8" ht="13.5" thickBot="1" x14ac:dyDescent="0.25">
      <c r="H34" s="95">
        <f>SUM(H19:H33)</f>
        <v>90</v>
      </c>
    </row>
    <row r="35" spans="1:8" ht="13.5" thickTop="1" x14ac:dyDescent="0.2"/>
    <row r="36" spans="1:8" ht="20.100000000000001" customHeight="1" x14ac:dyDescent="0.2">
      <c r="A36" s="96" t="s">
        <v>1075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Ninety and NO/100 -----------</v>
      </c>
      <c r="C36" s="185"/>
      <c r="D36" s="97"/>
      <c r="E36" s="97"/>
      <c r="F36" s="97"/>
      <c r="G36" s="97"/>
      <c r="H36" s="97"/>
    </row>
    <row r="37" spans="1:8" ht="20.100000000000001" customHeight="1" x14ac:dyDescent="0.2">
      <c r="A37" s="113"/>
      <c r="B37" s="103"/>
      <c r="C37" s="103"/>
      <c r="D37" s="61"/>
      <c r="E37" s="61"/>
      <c r="F37" s="388"/>
      <c r="G37" s="388"/>
      <c r="H37" s="388"/>
    </row>
    <row r="38" spans="1:8" ht="25.5" x14ac:dyDescent="0.2">
      <c r="A38" s="235" t="s">
        <v>3973</v>
      </c>
      <c r="F38" s="218" t="s">
        <v>3975</v>
      </c>
      <c r="G38" s="219"/>
      <c r="H38" s="220"/>
    </row>
    <row r="39" spans="1:8" x14ac:dyDescent="0.2">
      <c r="A39" s="98"/>
      <c r="F39" s="228"/>
      <c r="G39" s="229"/>
      <c r="H39" s="229"/>
    </row>
    <row r="40" spans="1:8" x14ac:dyDescent="0.2">
      <c r="D40" s="99"/>
      <c r="E40" s="406"/>
    </row>
    <row r="41" spans="1:8" x14ac:dyDescent="0.2">
      <c r="A41" s="98"/>
      <c r="D41" s="99"/>
      <c r="E41" s="406"/>
    </row>
    <row r="42" spans="1:8" x14ac:dyDescent="0.2">
      <c r="A42" s="100"/>
      <c r="B42" s="101"/>
      <c r="C42" s="386"/>
    </row>
    <row r="43" spans="1:8" x14ac:dyDescent="0.2">
      <c r="A43" s="98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C48" s="386"/>
      <c r="D48" s="100"/>
      <c r="F48" s="101"/>
      <c r="G48" s="101"/>
      <c r="H48" s="101"/>
    </row>
    <row r="49" spans="1:6" s="61" customFormat="1" ht="17.100000000000001" customHeight="1" x14ac:dyDescent="0.2">
      <c r="A49" s="98" t="s">
        <v>4047</v>
      </c>
      <c r="B49" s="104"/>
      <c r="C49" s="104"/>
      <c r="D49" s="98" t="s">
        <v>50</v>
      </c>
      <c r="F49" s="61" t="s">
        <v>3</v>
      </c>
    </row>
    <row r="50" spans="1:6" x14ac:dyDescent="0.2">
      <c r="A50" s="98"/>
      <c r="F50" s="91" t="s">
        <v>2</v>
      </c>
    </row>
    <row r="51" spans="1:6" x14ac:dyDescent="0.2">
      <c r="A51" s="98"/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23">
    <pageSetUpPr fitToPage="1"/>
  </sheetPr>
  <dimension ref="A1:F49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3387</v>
      </c>
      <c r="D9" s="92" t="s">
        <v>1317</v>
      </c>
      <c r="E9" s="91" t="s">
        <v>3385</v>
      </c>
    </row>
    <row r="10" spans="1:6" x14ac:dyDescent="0.2">
      <c r="A10" s="91" t="s">
        <v>3388</v>
      </c>
      <c r="D10" s="92" t="s">
        <v>1329</v>
      </c>
      <c r="E10" s="92" t="s">
        <v>3386</v>
      </c>
    </row>
    <row r="11" spans="1:6" x14ac:dyDescent="0.2">
      <c r="D11" s="92" t="s">
        <v>1330</v>
      </c>
      <c r="E11" s="92" t="s">
        <v>1220</v>
      </c>
    </row>
    <row r="12" spans="1:6" x14ac:dyDescent="0.2">
      <c r="D12" s="92" t="s">
        <v>1377</v>
      </c>
      <c r="E12" s="92" t="s">
        <v>770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3389</v>
      </c>
    </row>
    <row r="19" spans="1:6" x14ac:dyDescent="0.2">
      <c r="A19" s="106"/>
    </row>
    <row r="20" spans="1:6" x14ac:dyDescent="0.2">
      <c r="A20" s="93" t="s">
        <v>3361</v>
      </c>
      <c r="B20" s="93" t="s">
        <v>3390</v>
      </c>
      <c r="C20" s="91" t="s">
        <v>3391</v>
      </c>
      <c r="F20" s="91">
        <f>125000000*0.000286</f>
        <v>35750</v>
      </c>
    </row>
    <row r="21" spans="1:6" x14ac:dyDescent="0.2">
      <c r="A21" s="106"/>
      <c r="C21" s="143" t="s">
        <v>3394</v>
      </c>
    </row>
    <row r="22" spans="1:6" x14ac:dyDescent="0.2">
      <c r="A22" s="106"/>
      <c r="C22" s="143" t="s">
        <v>3395</v>
      </c>
    </row>
    <row r="23" spans="1:6" x14ac:dyDescent="0.2">
      <c r="A23" s="106"/>
    </row>
    <row r="24" spans="1:6" x14ac:dyDescent="0.2">
      <c r="C24" s="91" t="s">
        <v>3392</v>
      </c>
    </row>
    <row r="25" spans="1:6" x14ac:dyDescent="0.2">
      <c r="A25" s="93"/>
      <c r="B25" s="93"/>
    </row>
    <row r="26" spans="1:6" x14ac:dyDescent="0.2">
      <c r="A26" s="1"/>
      <c r="B26" s="1"/>
      <c r="C26" s="91" t="s">
        <v>52</v>
      </c>
      <c r="F26" s="91">
        <v>20</v>
      </c>
    </row>
    <row r="27" spans="1:6" x14ac:dyDescent="0.2">
      <c r="A27" s="1"/>
      <c r="B27" s="1"/>
    </row>
    <row r="28" spans="1:6" x14ac:dyDescent="0.2">
      <c r="A28" s="1"/>
      <c r="B28" s="1"/>
      <c r="D28" s="1"/>
      <c r="E28" s="1"/>
    </row>
    <row r="29" spans="1:6" ht="13.5" thickBot="1" x14ac:dyDescent="0.25">
      <c r="A29" s="106"/>
      <c r="F29" s="107">
        <f>SUM(F19:F28)</f>
        <v>35770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3393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6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2-000000000000}">
  <sheetPr codeName="Sheet183">
    <pageSetUpPr fitToPage="1"/>
  </sheetPr>
  <dimension ref="A1:I56"/>
  <sheetViews>
    <sheetView topLeftCell="A4"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1.140625" style="152" customWidth="1"/>
    <col min="4" max="4" width="23" style="152" customWidth="1"/>
    <col min="5" max="5" width="1.28515625" style="152" customWidth="1"/>
    <col min="6" max="6" width="16.42578125" style="152" customWidth="1"/>
    <col min="7" max="7" width="9.7109375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10" t="s">
        <v>7011</v>
      </c>
      <c r="H9" s="153"/>
    </row>
    <row r="10" spans="1:8" x14ac:dyDescent="0.2">
      <c r="A10" s="153" t="s">
        <v>3738</v>
      </c>
      <c r="B10" s="153"/>
      <c r="C10" s="153"/>
      <c r="D10" s="153"/>
      <c r="E10" s="153"/>
      <c r="F10" s="155" t="s">
        <v>1357</v>
      </c>
      <c r="G10" s="289" t="s">
        <v>7009</v>
      </c>
      <c r="H10" s="153"/>
    </row>
    <row r="11" spans="1:8" x14ac:dyDescent="0.2">
      <c r="A11" s="153" t="s">
        <v>2115</v>
      </c>
      <c r="B11" s="153"/>
      <c r="C11" s="153"/>
      <c r="D11" s="153"/>
      <c r="E11" s="153"/>
      <c r="F11" s="155" t="s">
        <v>1330</v>
      </c>
      <c r="G11" s="370" t="s">
        <v>1220</v>
      </c>
      <c r="H11" s="153"/>
    </row>
    <row r="12" spans="1:8" x14ac:dyDescent="0.2">
      <c r="A12" s="153" t="s">
        <v>2116</v>
      </c>
      <c r="B12" s="153"/>
      <c r="C12" s="153"/>
      <c r="D12" s="153"/>
      <c r="E12" s="153"/>
      <c r="F12" s="155" t="s">
        <v>1377</v>
      </c>
      <c r="G12" s="370" t="s">
        <v>7014</v>
      </c>
      <c r="H12" s="153"/>
    </row>
    <row r="13" spans="1:8" x14ac:dyDescent="0.2">
      <c r="A13" s="153" t="s">
        <v>2117</v>
      </c>
      <c r="B13" s="153"/>
      <c r="C13" s="153"/>
      <c r="D13" s="153"/>
      <c r="E13" s="153"/>
      <c r="F13" s="153"/>
      <c r="G13" s="376"/>
      <c r="H13" s="153"/>
    </row>
    <row r="14" spans="1:8" x14ac:dyDescent="0.2">
      <c r="A14" s="153"/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9" x14ac:dyDescent="0.2">
      <c r="A17" s="153"/>
      <c r="B17" s="153"/>
      <c r="C17" s="153"/>
      <c r="D17" s="153"/>
      <c r="E17" s="153"/>
      <c r="F17" s="153"/>
      <c r="G17" s="153"/>
      <c r="H17" s="153"/>
    </row>
    <row r="18" spans="1:9" x14ac:dyDescent="0.2">
      <c r="A18" s="153"/>
      <c r="B18" s="153"/>
      <c r="C18" s="153"/>
      <c r="D18" s="163" t="s">
        <v>2118</v>
      </c>
      <c r="E18" s="163"/>
      <c r="F18" s="153"/>
      <c r="G18" s="153"/>
      <c r="H18" s="153"/>
    </row>
    <row r="19" spans="1:9" x14ac:dyDescent="0.2">
      <c r="A19" s="164"/>
      <c r="B19" s="153"/>
      <c r="C19" s="153"/>
      <c r="D19" s="163"/>
      <c r="E19" s="163"/>
      <c r="F19" s="153"/>
      <c r="G19" s="153"/>
      <c r="H19" s="153"/>
      <c r="I19" s="153"/>
    </row>
    <row r="20" spans="1:9" x14ac:dyDescent="0.2">
      <c r="A20" s="168" t="s">
        <v>7010</v>
      </c>
      <c r="B20" s="168"/>
      <c r="C20" s="168"/>
      <c r="D20" s="153" t="s">
        <v>7013</v>
      </c>
      <c r="E20" s="153"/>
      <c r="F20" s="153"/>
      <c r="G20" s="153"/>
      <c r="H20" s="153">
        <v>170</v>
      </c>
      <c r="I20" s="153"/>
    </row>
    <row r="21" spans="1:9" x14ac:dyDescent="0.2">
      <c r="D21" s="153"/>
      <c r="E21" s="153"/>
      <c r="H21" s="153"/>
      <c r="I21" s="153"/>
    </row>
    <row r="22" spans="1:9" x14ac:dyDescent="0.2">
      <c r="A22" s="165"/>
      <c r="B22" s="153"/>
      <c r="C22" s="153"/>
      <c r="D22" s="153"/>
      <c r="E22" s="153"/>
      <c r="F22" s="153"/>
      <c r="G22" s="153"/>
      <c r="H22" s="153"/>
      <c r="I22" s="153"/>
    </row>
    <row r="23" spans="1:9" x14ac:dyDescent="0.2">
      <c r="A23" s="165"/>
      <c r="B23" s="153"/>
      <c r="C23" s="153"/>
      <c r="D23" s="153"/>
      <c r="E23" s="153"/>
      <c r="F23" s="153"/>
      <c r="G23" s="153"/>
      <c r="H23" s="153"/>
      <c r="I23" s="153"/>
    </row>
    <row r="24" spans="1:9" x14ac:dyDescent="0.2">
      <c r="A24" s="165"/>
      <c r="B24" s="153"/>
      <c r="C24" s="153"/>
      <c r="D24" s="153"/>
      <c r="E24" s="153"/>
      <c r="F24" s="153"/>
      <c r="G24" s="153"/>
      <c r="H24" s="153"/>
      <c r="I24" s="153"/>
    </row>
    <row r="25" spans="1:9" x14ac:dyDescent="0.2">
      <c r="A25" s="166"/>
      <c r="B25" s="153"/>
      <c r="C25" s="153"/>
      <c r="D25" s="153"/>
      <c r="E25" s="153"/>
      <c r="F25" s="153"/>
      <c r="G25" s="153"/>
      <c r="H25" s="153"/>
      <c r="I25" s="153"/>
    </row>
    <row r="26" spans="1:9" x14ac:dyDescent="0.2">
      <c r="A26" s="164"/>
      <c r="B26" s="153"/>
      <c r="C26" s="153"/>
      <c r="D26" s="153"/>
      <c r="E26" s="153"/>
      <c r="F26" s="153"/>
      <c r="G26" s="153"/>
      <c r="H26" s="153"/>
      <c r="I26" s="153"/>
    </row>
    <row r="27" spans="1:9" x14ac:dyDescent="0.2">
      <c r="A27" s="166"/>
      <c r="B27" s="153"/>
      <c r="C27" s="153"/>
      <c r="D27" s="153"/>
      <c r="E27" s="153"/>
      <c r="F27" s="153"/>
      <c r="G27" s="153"/>
      <c r="H27" s="153"/>
      <c r="I27" s="153"/>
    </row>
    <row r="28" spans="1:9" x14ac:dyDescent="0.2">
      <c r="A28" s="164"/>
      <c r="B28" s="153"/>
      <c r="C28" s="153"/>
      <c r="D28" s="167"/>
      <c r="E28" s="167"/>
      <c r="F28" s="153"/>
      <c r="G28" s="153"/>
      <c r="H28" s="153"/>
      <c r="I28" s="153"/>
    </row>
    <row r="29" spans="1:9" x14ac:dyDescent="0.2">
      <c r="A29" s="164"/>
      <c r="B29" s="153"/>
      <c r="C29" s="153"/>
      <c r="D29" s="153"/>
      <c r="E29" s="153"/>
      <c r="F29" s="153"/>
      <c r="G29" s="153"/>
      <c r="H29" s="153"/>
      <c r="I29" s="153"/>
    </row>
    <row r="30" spans="1:9" x14ac:dyDescent="0.2">
      <c r="A30" s="168"/>
      <c r="B30" s="169"/>
      <c r="C30" s="169"/>
      <c r="I30" s="153"/>
    </row>
    <row r="31" spans="1:9" x14ac:dyDescent="0.2">
      <c r="A31" s="168"/>
      <c r="B31" s="169"/>
      <c r="C31" s="169"/>
      <c r="D31" s="153"/>
      <c r="E31" s="153"/>
      <c r="F31" s="153"/>
      <c r="G31" s="153"/>
      <c r="H31" s="153"/>
      <c r="I31" s="153"/>
    </row>
    <row r="32" spans="1:9" x14ac:dyDescent="0.2">
      <c r="A32" s="168"/>
      <c r="B32" s="169"/>
      <c r="C32" s="169"/>
      <c r="D32" s="153"/>
      <c r="E32" s="153"/>
      <c r="F32" s="153"/>
      <c r="G32" s="153"/>
      <c r="H32" s="153"/>
      <c r="I32" s="153"/>
    </row>
    <row r="33" spans="1:9" x14ac:dyDescent="0.2">
      <c r="A33" s="168"/>
      <c r="B33" s="169"/>
      <c r="C33" s="169"/>
      <c r="D33" s="153"/>
      <c r="E33" s="153"/>
      <c r="F33" s="153"/>
      <c r="G33" s="153"/>
      <c r="H33" s="153"/>
      <c r="I33" s="153"/>
    </row>
    <row r="34" spans="1:9" x14ac:dyDescent="0.2">
      <c r="A34" s="153"/>
      <c r="B34" s="153"/>
      <c r="C34" s="153"/>
      <c r="D34" s="153"/>
      <c r="E34" s="153"/>
      <c r="F34" s="153"/>
      <c r="G34" s="153"/>
      <c r="I34" s="153"/>
    </row>
    <row r="35" spans="1:9" ht="13.5" thickBot="1" x14ac:dyDescent="0.25">
      <c r="A35" s="153"/>
      <c r="B35" s="153"/>
      <c r="C35" s="153"/>
      <c r="D35" s="153"/>
      <c r="E35" s="153"/>
      <c r="F35" s="153"/>
      <c r="G35" s="153"/>
      <c r="H35" s="170">
        <f>SUM(H19:H33)</f>
        <v>170</v>
      </c>
      <c r="I35" s="153"/>
    </row>
    <row r="36" spans="1:9" ht="13.5" thickTop="1" x14ac:dyDescent="0.2">
      <c r="A36" s="153"/>
      <c r="B36" s="153"/>
      <c r="C36" s="153"/>
      <c r="D36" s="153"/>
      <c r="E36" s="153"/>
      <c r="I36" s="153"/>
    </row>
    <row r="37" spans="1:9" ht="20.100000000000001" customHeight="1" x14ac:dyDescent="0.2">
      <c r="A37" s="171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Seventy and NO/100 -----------</v>
      </c>
      <c r="C37" s="185"/>
      <c r="D37" s="172"/>
      <c r="E37" s="172"/>
      <c r="F37" s="172"/>
      <c r="G37" s="221"/>
      <c r="H37" s="221"/>
      <c r="I37" s="153"/>
    </row>
    <row r="38" spans="1:9" ht="20.100000000000001" customHeight="1" x14ac:dyDescent="0.2">
      <c r="A38" s="197"/>
      <c r="B38" s="103"/>
      <c r="C38" s="103"/>
      <c r="D38" s="156"/>
      <c r="E38" s="156"/>
      <c r="F38" s="156"/>
      <c r="G38" s="221"/>
      <c r="H38" s="221"/>
      <c r="I38" s="153"/>
    </row>
    <row r="39" spans="1:9" ht="25.5" x14ac:dyDescent="0.2">
      <c r="A39" s="169" t="s">
        <v>4046</v>
      </c>
      <c r="B39" s="153"/>
      <c r="C39" s="153"/>
      <c r="D39" s="153"/>
      <c r="E39" s="153"/>
      <c r="F39" s="218" t="s">
        <v>3975</v>
      </c>
      <c r="G39" s="219"/>
      <c r="H39" s="220"/>
    </row>
    <row r="40" spans="1:9" x14ac:dyDescent="0.2">
      <c r="A40" s="153"/>
      <c r="B40" s="153"/>
      <c r="C40" s="153"/>
      <c r="D40" s="153"/>
      <c r="E40" s="153"/>
      <c r="F40" s="228"/>
      <c r="G40" s="229"/>
      <c r="H40" s="229"/>
    </row>
    <row r="41" spans="1:9" x14ac:dyDescent="0.2">
      <c r="B41" s="153"/>
      <c r="C41" s="153"/>
      <c r="D41" s="173"/>
      <c r="E41" s="173"/>
      <c r="F41" s="153"/>
      <c r="G41" s="153"/>
      <c r="H41" s="153"/>
    </row>
    <row r="42" spans="1:9" x14ac:dyDescent="0.2">
      <c r="A42" s="153"/>
      <c r="B42" s="153"/>
      <c r="C42" s="153"/>
      <c r="D42" s="173"/>
      <c r="E42" s="173"/>
      <c r="F42" s="153"/>
      <c r="G42" s="153"/>
      <c r="H42" s="153"/>
    </row>
    <row r="43" spans="1:9" x14ac:dyDescent="0.2">
      <c r="A43" s="174"/>
      <c r="B43" s="174"/>
      <c r="C43" s="153"/>
      <c r="D43" s="153"/>
      <c r="E43" s="153"/>
      <c r="F43" s="153"/>
      <c r="G43" s="153"/>
      <c r="H43" s="153"/>
    </row>
    <row r="44" spans="1:9" x14ac:dyDescent="0.2">
      <c r="B44" s="153"/>
      <c r="C44" s="153"/>
      <c r="D44" s="153"/>
      <c r="E44" s="153"/>
      <c r="F44" s="153"/>
      <c r="G44" s="153"/>
      <c r="H44" s="153"/>
    </row>
    <row r="45" spans="1:9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9" x14ac:dyDescent="0.2">
      <c r="A46" s="153"/>
      <c r="B46" s="153"/>
      <c r="C46" s="153"/>
      <c r="D46" s="153"/>
      <c r="E46" s="153"/>
      <c r="F46" s="153"/>
      <c r="G46" s="153"/>
      <c r="H46" s="153"/>
    </row>
    <row r="47" spans="1:9" x14ac:dyDescent="0.2">
      <c r="A47" s="153"/>
      <c r="B47" s="153"/>
      <c r="C47" s="153"/>
      <c r="D47" s="153"/>
      <c r="E47" s="153"/>
      <c r="F47" s="153"/>
      <c r="G47" s="153"/>
      <c r="H47" s="153"/>
    </row>
    <row r="48" spans="1:9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153" t="s">
        <v>4066</v>
      </c>
      <c r="B50" s="177"/>
      <c r="C50" s="177"/>
      <c r="D50" s="153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2-000000000000}">
  <sheetPr codeName="Sheet184">
    <pageSetUpPr fitToPage="1"/>
  </sheetPr>
  <dimension ref="A1:I61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1" style="91" customWidth="1"/>
    <col min="4" max="4" width="21" style="91" customWidth="1"/>
    <col min="5" max="5" width="1.5703125" style="91" customWidth="1"/>
    <col min="6" max="6" width="16.42578125" style="91" customWidth="1"/>
    <col min="7" max="7" width="8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1563</v>
      </c>
      <c r="G9" s="61" t="s">
        <v>6162</v>
      </c>
    </row>
    <row r="10" spans="1:8" x14ac:dyDescent="0.2">
      <c r="A10" s="91" t="s">
        <v>6177</v>
      </c>
      <c r="F10" s="92" t="s">
        <v>1356</v>
      </c>
      <c r="G10" s="113" t="s">
        <v>6145</v>
      </c>
    </row>
    <row r="11" spans="1:8" x14ac:dyDescent="0.2">
      <c r="F11" s="92" t="s">
        <v>1364</v>
      </c>
      <c r="G11" s="113" t="s">
        <v>1220</v>
      </c>
    </row>
    <row r="12" spans="1:8" x14ac:dyDescent="0.2">
      <c r="F12" s="92" t="s">
        <v>1224</v>
      </c>
      <c r="G12" s="113" t="s">
        <v>6176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9" x14ac:dyDescent="0.2">
      <c r="A18" s="93"/>
      <c r="B18" s="93"/>
      <c r="C18" s="93"/>
      <c r="D18" s="2" t="s">
        <v>6163</v>
      </c>
      <c r="E18" s="2"/>
      <c r="I18" s="193"/>
    </row>
    <row r="19" spans="1:9" x14ac:dyDescent="0.2">
      <c r="D19" s="2"/>
      <c r="E19" s="2"/>
    </row>
    <row r="20" spans="1:9" x14ac:dyDescent="0.2">
      <c r="A20" s="93" t="s">
        <v>6146</v>
      </c>
      <c r="B20" s="93" t="s">
        <v>6164</v>
      </c>
      <c r="C20" s="93"/>
      <c r="D20" s="91" t="s">
        <v>6165</v>
      </c>
      <c r="H20" s="91">
        <v>1500</v>
      </c>
    </row>
    <row r="21" spans="1:9" x14ac:dyDescent="0.2">
      <c r="A21" s="93"/>
      <c r="B21" s="93"/>
      <c r="C21" s="93"/>
      <c r="D21" s="91" t="s">
        <v>2147</v>
      </c>
      <c r="H21" s="91">
        <f>H20*6%</f>
        <v>90</v>
      </c>
    </row>
    <row r="22" spans="1:9" x14ac:dyDescent="0.2">
      <c r="A22" s="93"/>
      <c r="B22" s="99"/>
      <c r="C22" s="99"/>
    </row>
    <row r="23" spans="1:9" x14ac:dyDescent="0.2">
      <c r="D23" s="2" t="s">
        <v>5305</v>
      </c>
      <c r="E23" s="2"/>
    </row>
    <row r="24" spans="1:9" x14ac:dyDescent="0.2">
      <c r="A24" s="93"/>
      <c r="B24" s="99"/>
      <c r="C24" s="99"/>
    </row>
    <row r="25" spans="1:9" x14ac:dyDescent="0.2">
      <c r="A25" s="93" t="s">
        <v>6146</v>
      </c>
      <c r="B25" s="93" t="s">
        <v>6166</v>
      </c>
      <c r="C25" s="93"/>
      <c r="D25" s="91" t="s">
        <v>6167</v>
      </c>
      <c r="H25" s="91">
        <v>912</v>
      </c>
    </row>
    <row r="26" spans="1:9" x14ac:dyDescent="0.2">
      <c r="A26" s="142"/>
      <c r="B26" s="93"/>
      <c r="C26" s="93"/>
      <c r="D26" s="91" t="s">
        <v>2147</v>
      </c>
      <c r="H26" s="91">
        <f>H25*6%</f>
        <v>54.72</v>
      </c>
    </row>
    <row r="27" spans="1:9" x14ac:dyDescent="0.2">
      <c r="A27" s="93"/>
      <c r="B27" s="93"/>
      <c r="C27" s="93"/>
    </row>
    <row r="28" spans="1:9" x14ac:dyDescent="0.2">
      <c r="A28" s="93"/>
      <c r="B28" s="99"/>
      <c r="C28" s="99"/>
      <c r="D28" s="2" t="s">
        <v>6168</v>
      </c>
      <c r="E28" s="2"/>
    </row>
    <row r="30" spans="1:9" x14ac:dyDescent="0.2">
      <c r="A30" s="93" t="s">
        <v>6146</v>
      </c>
      <c r="B30" s="93" t="s">
        <v>6169</v>
      </c>
      <c r="C30" s="93"/>
      <c r="D30" s="91" t="s">
        <v>6170</v>
      </c>
      <c r="H30" s="91">
        <v>4200</v>
      </c>
    </row>
    <row r="31" spans="1:9" x14ac:dyDescent="0.2">
      <c r="A31" s="93"/>
      <c r="B31" s="93"/>
      <c r="C31" s="93"/>
      <c r="D31" s="91" t="s">
        <v>2147</v>
      </c>
      <c r="H31" s="91">
        <f>H30*6%</f>
        <v>252</v>
      </c>
    </row>
    <row r="32" spans="1:9" x14ac:dyDescent="0.2">
      <c r="A32" s="93"/>
      <c r="B32" s="93"/>
      <c r="C32" s="93"/>
    </row>
    <row r="33" spans="1:8" x14ac:dyDescent="0.2">
      <c r="A33" s="93" t="s">
        <v>6146</v>
      </c>
      <c r="B33" s="93" t="s">
        <v>6171</v>
      </c>
      <c r="C33" s="93"/>
      <c r="D33" s="91" t="s">
        <v>6172</v>
      </c>
      <c r="H33" s="91">
        <v>4200</v>
      </c>
    </row>
    <row r="34" spans="1:8" x14ac:dyDescent="0.2">
      <c r="A34" s="93"/>
      <c r="B34" s="93"/>
      <c r="C34" s="93"/>
      <c r="D34" s="91" t="s">
        <v>2147</v>
      </c>
      <c r="H34" s="91">
        <f>H33*6%</f>
        <v>252</v>
      </c>
    </row>
    <row r="35" spans="1:8" x14ac:dyDescent="0.2">
      <c r="A35" s="93"/>
      <c r="B35" s="93"/>
      <c r="C35" s="93"/>
      <c r="D35" s="2"/>
      <c r="E35" s="2"/>
    </row>
    <row r="36" spans="1:8" x14ac:dyDescent="0.2">
      <c r="A36" s="93"/>
      <c r="B36" s="93"/>
      <c r="C36" s="93"/>
      <c r="D36" s="2" t="s">
        <v>6173</v>
      </c>
      <c r="E36" s="2"/>
    </row>
    <row r="37" spans="1:8" x14ac:dyDescent="0.2">
      <c r="A37" s="93"/>
      <c r="B37" s="93"/>
      <c r="C37" s="93"/>
      <c r="D37" s="2"/>
      <c r="E37" s="2"/>
    </row>
    <row r="38" spans="1:8" x14ac:dyDescent="0.2">
      <c r="A38" s="93" t="s">
        <v>6146</v>
      </c>
      <c r="B38" s="93" t="s">
        <v>6174</v>
      </c>
      <c r="C38" s="93"/>
      <c r="D38" s="91" t="s">
        <v>6175</v>
      </c>
      <c r="H38" s="91">
        <v>9230</v>
      </c>
    </row>
    <row r="39" spans="1:8" x14ac:dyDescent="0.2">
      <c r="D39" s="91" t="s">
        <v>2147</v>
      </c>
      <c r="H39" s="91">
        <f>H38*6%</f>
        <v>553.79999999999995</v>
      </c>
    </row>
    <row r="40" spans="1:8" x14ac:dyDescent="0.2">
      <c r="A40" s="142"/>
      <c r="B40" s="142"/>
      <c r="C40" s="142"/>
    </row>
    <row r="42" spans="1:8" ht="13.5" thickBot="1" x14ac:dyDescent="0.25">
      <c r="H42" s="107">
        <f>SUM(H19:H40)</f>
        <v>21244.52</v>
      </c>
    </row>
    <row r="43" spans="1:8" ht="13.5" thickTop="1" x14ac:dyDescent="0.2"/>
    <row r="44" spans="1:8" ht="20.100000000000001" customHeight="1" x14ac:dyDescent="0.2">
      <c r="A44" s="96" t="s">
        <v>122</v>
      </c>
      <c r="B44" s="185" t="str">
        <f>IF(OR(H42&gt;1000000,H42&lt;=0),"",IF(H42&lt;1000,"",IF(MOD(H42,1000000)&gt;=100000,INDEX(numbers,TRUNC(MOD(H42,1000000)/100000,0)+1)&amp;" Hundred","")&amp;IF(MOD(H42,100000)&gt;=20000," "&amp;INDEX(tens,TRUNC(MOD(H42,100000)/10000,0)+1)&amp;IF(MOD(MOD(H42,100000),10000)&gt;=1000,"-"&amp;INDEX(numbers,TRUNC(MOD(MOD(H42,100000),10000)/1000,0)+1),""),IF(MOD(H42,100000)&gt;=1000," "&amp;INDEX(numbers,TRUNC(MOD(H42,100000)/1000,0)+1),""))&amp;" Thousand") &amp; IF(H42&lt;1,"Zero Dollars",IF(MOD(H42,1000)&gt;=100," "&amp;INDEX(numbers,TRUNC(MOD(H42,1000)/100,0)+1)&amp;" Hundred","")&amp;IF(MOD(H42,100)&gt;=20," "&amp;INDEX(tens,TRUNC(MOD(H42,100)/10,0)+1)&amp;IF(MOD(MOD(H42,100),10)&gt;=1,"-"&amp;INDEX(numbers,TRUNC(MOD(MOD(H42,100),10),0)+1),""),IF(MOD(H42,100)&gt;=1," "&amp;INDEX(numbers,TRUNC(MOD(H42,100),0)+1),""))&amp;"") &amp; " and " &amp; IF(MOD(H42,1)&lt;0.005,"NO",ROUND(MOD(H42,1)*100,0)) &amp; "/100 -----------")</f>
        <v xml:space="preserve"> Twenty-One Thousand Two Hundred Forty-Four and 52/100 -----------</v>
      </c>
      <c r="C44" s="185"/>
      <c r="D44" s="97"/>
      <c r="E44" s="222"/>
      <c r="F44" s="222"/>
      <c r="G44" s="222"/>
      <c r="H44" s="222"/>
    </row>
    <row r="45" spans="1:8" ht="20.100000000000001" customHeight="1" x14ac:dyDescent="0.2">
      <c r="A45" s="113"/>
      <c r="B45" s="103"/>
      <c r="C45" s="103"/>
      <c r="D45" s="61"/>
      <c r="E45" s="61"/>
      <c r="F45" s="222"/>
      <c r="G45" s="222"/>
      <c r="H45" s="222"/>
    </row>
    <row r="46" spans="1:8" ht="25.5" x14ac:dyDescent="0.2">
      <c r="A46" s="113" t="s">
        <v>3973</v>
      </c>
      <c r="F46" s="218" t="s">
        <v>3975</v>
      </c>
      <c r="G46" s="219"/>
      <c r="H46" s="220"/>
    </row>
    <row r="47" spans="1:8" x14ac:dyDescent="0.2">
      <c r="F47" s="228"/>
      <c r="G47" s="229"/>
      <c r="H47" s="229"/>
    </row>
    <row r="48" spans="1:8" x14ac:dyDescent="0.2">
      <c r="D48" s="99"/>
      <c r="E48" s="99"/>
    </row>
    <row r="49" spans="1:8" x14ac:dyDescent="0.2">
      <c r="D49" s="99"/>
      <c r="E49" s="99"/>
    </row>
    <row r="50" spans="1:8" x14ac:dyDescent="0.2">
      <c r="A50" s="101"/>
      <c r="B50" s="101"/>
    </row>
    <row r="52" spans="1:8" x14ac:dyDescent="0.2">
      <c r="A52" s="98" t="s">
        <v>8</v>
      </c>
      <c r="D52" s="98" t="s">
        <v>8</v>
      </c>
      <c r="F52" s="98" t="s">
        <v>7</v>
      </c>
      <c r="H52" s="102"/>
    </row>
    <row r="56" spans="1:8" x14ac:dyDescent="0.2">
      <c r="A56" s="101"/>
      <c r="B56" s="101"/>
      <c r="D56" s="101"/>
      <c r="F56" s="101"/>
      <c r="G56" s="101"/>
      <c r="H56" s="101"/>
    </row>
    <row r="57" spans="1:8" s="61" customFormat="1" ht="17.100000000000001" customHeight="1" x14ac:dyDescent="0.2">
      <c r="A57" s="91" t="s">
        <v>4066</v>
      </c>
      <c r="B57" s="104"/>
      <c r="C57" s="104"/>
      <c r="D57" s="91" t="s">
        <v>50</v>
      </c>
      <c r="F57" s="61" t="s">
        <v>3</v>
      </c>
    </row>
    <row r="58" spans="1:8" x14ac:dyDescent="0.2">
      <c r="F58" s="91" t="s">
        <v>2</v>
      </c>
    </row>
    <row r="60" spans="1:8" x14ac:dyDescent="0.2">
      <c r="F60" s="2" t="s">
        <v>1</v>
      </c>
    </row>
    <row r="61" spans="1:8" x14ac:dyDescent="0.2">
      <c r="F6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79" orientation="portrait" r:id="rId2"/>
  <headerFooter alignWithMargins="0"/>
</worksheet>
</file>

<file path=xl/worksheets/sheet6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2-000000000000}">
  <sheetPr codeName="Sheet185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42578125" style="91" customWidth="1"/>
    <col min="3" max="3" width="21" style="91" customWidth="1"/>
    <col min="4" max="4" width="16.42578125" style="91" customWidth="1"/>
    <col min="5" max="5" width="10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2053</v>
      </c>
    </row>
    <row r="10" spans="1:6" x14ac:dyDescent="0.2">
      <c r="A10" s="91" t="s">
        <v>2042</v>
      </c>
      <c r="D10" s="92" t="s">
        <v>1357</v>
      </c>
      <c r="E10" s="92" t="s">
        <v>2054</v>
      </c>
    </row>
    <row r="11" spans="1:6" x14ac:dyDescent="0.2">
      <c r="A11" s="91" t="s">
        <v>2043</v>
      </c>
      <c r="D11" s="92" t="s">
        <v>1376</v>
      </c>
      <c r="E11" s="92" t="s">
        <v>1220</v>
      </c>
    </row>
    <row r="12" spans="1:6" x14ac:dyDescent="0.2">
      <c r="D12" s="92" t="s">
        <v>1224</v>
      </c>
      <c r="E12" s="92" t="s">
        <v>2055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2044</v>
      </c>
    </row>
    <row r="19" spans="1:6" x14ac:dyDescent="0.2">
      <c r="A19" s="93"/>
      <c r="B19" s="93"/>
    </row>
    <row r="20" spans="1:6" x14ac:dyDescent="0.2">
      <c r="A20" s="93" t="s">
        <v>2045</v>
      </c>
      <c r="B20" s="93" t="s">
        <v>2046</v>
      </c>
      <c r="C20" s="91" t="s">
        <v>2047</v>
      </c>
      <c r="F20" s="91">
        <v>280</v>
      </c>
    </row>
    <row r="22" spans="1:6" x14ac:dyDescent="0.2">
      <c r="C22" s="91" t="s">
        <v>2048</v>
      </c>
      <c r="F22" s="91">
        <v>180</v>
      </c>
    </row>
    <row r="24" spans="1:6" x14ac:dyDescent="0.2">
      <c r="C24" s="94" t="s">
        <v>2050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460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2049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2-000000000000}">
  <sheetPr codeName="Sheet186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42578125" style="91" customWidth="1"/>
    <col min="3" max="3" width="21" style="91" customWidth="1"/>
    <col min="4" max="4" width="16.42578125" style="91" customWidth="1"/>
    <col min="5" max="5" width="10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2053</v>
      </c>
    </row>
    <row r="10" spans="1:6" x14ac:dyDescent="0.2">
      <c r="A10" s="91" t="s">
        <v>2042</v>
      </c>
      <c r="D10" s="92" t="s">
        <v>1357</v>
      </c>
      <c r="E10" s="92" t="s">
        <v>2054</v>
      </c>
    </row>
    <row r="11" spans="1:6" x14ac:dyDescent="0.2">
      <c r="A11" s="91" t="s">
        <v>2043</v>
      </c>
      <c r="D11" s="92" t="s">
        <v>1376</v>
      </c>
      <c r="E11" s="92" t="s">
        <v>1220</v>
      </c>
    </row>
    <row r="12" spans="1:6" x14ac:dyDescent="0.2">
      <c r="D12" s="92" t="s">
        <v>1224</v>
      </c>
      <c r="E12" s="92" t="s">
        <v>2055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2044</v>
      </c>
    </row>
    <row r="19" spans="1:6" x14ac:dyDescent="0.2">
      <c r="A19" s="93"/>
      <c r="B19" s="93"/>
    </row>
    <row r="20" spans="1:6" x14ac:dyDescent="0.2">
      <c r="A20" s="93" t="s">
        <v>2045</v>
      </c>
      <c r="B20" s="93" t="s">
        <v>2046</v>
      </c>
      <c r="C20" s="91" t="s">
        <v>2047</v>
      </c>
      <c r="F20" s="91">
        <v>280</v>
      </c>
    </row>
    <row r="22" spans="1:6" x14ac:dyDescent="0.2">
      <c r="C22" s="91" t="s">
        <v>2048</v>
      </c>
      <c r="F22" s="91">
        <v>180</v>
      </c>
    </row>
    <row r="24" spans="1:6" x14ac:dyDescent="0.2">
      <c r="C24" s="94" t="s">
        <v>2050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460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2049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2-000000000000}">
  <sheetPr codeName="Sheet13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1968</v>
      </c>
      <c r="D9" s="92" t="s">
        <v>1300</v>
      </c>
      <c r="E9" s="61" t="s">
        <v>1994</v>
      </c>
    </row>
    <row r="10" spans="1:6" x14ac:dyDescent="0.2">
      <c r="A10" s="91" t="s">
        <v>1969</v>
      </c>
      <c r="D10" s="92" t="s">
        <v>1356</v>
      </c>
      <c r="E10" s="113" t="s">
        <v>1990</v>
      </c>
    </row>
    <row r="11" spans="1:6" x14ac:dyDescent="0.2">
      <c r="D11" s="92" t="s">
        <v>1364</v>
      </c>
      <c r="E11" s="113" t="s">
        <v>1220</v>
      </c>
    </row>
    <row r="12" spans="1:6" x14ac:dyDescent="0.2">
      <c r="D12" s="92" t="s">
        <v>1224</v>
      </c>
      <c r="E12" s="113" t="s">
        <v>1995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1230</v>
      </c>
    </row>
    <row r="19" spans="1:6" x14ac:dyDescent="0.2">
      <c r="A19" s="106"/>
      <c r="C19" s="2" t="s">
        <v>1966</v>
      </c>
    </row>
    <row r="21" spans="1:6" x14ac:dyDescent="0.2">
      <c r="A21" s="105" t="s">
        <v>1965</v>
      </c>
      <c r="C21" s="91" t="s">
        <v>1967</v>
      </c>
    </row>
    <row r="22" spans="1:6" x14ac:dyDescent="0.2">
      <c r="A22" s="137"/>
      <c r="C22" s="91" t="s">
        <v>1993</v>
      </c>
      <c r="F22" s="91">
        <v>191.9</v>
      </c>
    </row>
    <row r="23" spans="1:6" x14ac:dyDescent="0.2">
      <c r="A23" s="106"/>
    </row>
    <row r="24" spans="1:6" x14ac:dyDescent="0.2">
      <c r="A24" s="137"/>
    </row>
    <row r="25" spans="1:6" x14ac:dyDescent="0.2">
      <c r="A25" s="106"/>
      <c r="C25" s="143"/>
    </row>
    <row r="26" spans="1:6" x14ac:dyDescent="0.2">
      <c r="A26" s="106"/>
    </row>
    <row r="28" spans="1:6" x14ac:dyDescent="0.2">
      <c r="A28" s="106"/>
    </row>
    <row r="29" spans="1:6" x14ac:dyDescent="0.2">
      <c r="A29" s="106"/>
    </row>
    <row r="31" spans="1:6" x14ac:dyDescent="0.2">
      <c r="A31" s="106"/>
    </row>
    <row r="32" spans="1:6" ht="13.5" thickBot="1" x14ac:dyDescent="0.25">
      <c r="A32" s="106"/>
      <c r="F32" s="107">
        <f>SUM(F19:F31)</f>
        <v>191.9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96" t="s">
        <v>1992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2-000000000000}">
  <sheetPr codeName="Sheet13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4512</v>
      </c>
    </row>
    <row r="10" spans="1:6" x14ac:dyDescent="0.2">
      <c r="A10" s="91" t="s">
        <v>1609</v>
      </c>
      <c r="D10" s="92" t="s">
        <v>1357</v>
      </c>
      <c r="E10" s="98" t="s">
        <v>4486</v>
      </c>
    </row>
    <row r="11" spans="1:6" x14ac:dyDescent="0.2">
      <c r="A11" s="91" t="s">
        <v>1610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4" t="s">
        <v>4513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14" t="s">
        <v>4514</v>
      </c>
    </row>
    <row r="19" spans="1:6" x14ac:dyDescent="0.2">
      <c r="A19" s="93"/>
      <c r="B19" s="99"/>
      <c r="C19" s="14" t="s">
        <v>4515</v>
      </c>
    </row>
    <row r="21" spans="1:6" x14ac:dyDescent="0.2">
      <c r="A21" s="93" t="s">
        <v>4516</v>
      </c>
      <c r="B21" s="93" t="s">
        <v>4517</v>
      </c>
      <c r="C21" s="91" t="s">
        <v>4518</v>
      </c>
      <c r="F21" s="91">
        <v>350</v>
      </c>
    </row>
    <row r="23" spans="1:6" x14ac:dyDescent="0.2">
      <c r="A23" s="99"/>
      <c r="B23" s="93"/>
    </row>
    <row r="24" spans="1:6" x14ac:dyDescent="0.2">
      <c r="A24" s="99"/>
      <c r="B24" s="93"/>
    </row>
    <row r="25" spans="1:6" x14ac:dyDescent="0.2">
      <c r="A25" s="99"/>
      <c r="B25" s="93"/>
    </row>
    <row r="26" spans="1:6" x14ac:dyDescent="0.2">
      <c r="A26" s="93"/>
      <c r="B26" s="93"/>
    </row>
    <row r="27" spans="1:6" x14ac:dyDescent="0.2">
      <c r="A27" s="99"/>
      <c r="B27" s="99"/>
    </row>
    <row r="28" spans="1:6" x14ac:dyDescent="0.2">
      <c r="A28" s="93"/>
      <c r="B28" s="93"/>
      <c r="C28" s="2"/>
    </row>
    <row r="29" spans="1:6" x14ac:dyDescent="0.2">
      <c r="F29" s="2"/>
    </row>
    <row r="30" spans="1:6" x14ac:dyDescent="0.2">
      <c r="A30" s="93"/>
      <c r="B30" s="93"/>
    </row>
    <row r="31" spans="1:6" x14ac:dyDescent="0.2">
      <c r="B31" s="94"/>
    </row>
    <row r="33" spans="1:6" ht="13.5" thickBot="1" x14ac:dyDescent="0.25">
      <c r="F33" s="95">
        <f>SUM(F18:F32)</f>
        <v>350</v>
      </c>
    </row>
    <row r="34" spans="1:6" ht="13.5" thickTop="1" x14ac:dyDescent="0.2"/>
    <row r="35" spans="1:6" ht="20.100000000000001" customHeight="1" x14ac:dyDescent="0.2">
      <c r="A35" s="96" t="s">
        <v>336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Hundred Fifty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8" t="s">
        <v>10</v>
      </c>
      <c r="D37" s="218" t="s">
        <v>3975</v>
      </c>
      <c r="E37" s="219"/>
      <c r="F37" s="220"/>
    </row>
    <row r="38" spans="1:6" x14ac:dyDescent="0.2">
      <c r="A38" s="98"/>
    </row>
    <row r="39" spans="1:6" x14ac:dyDescent="0.2">
      <c r="A39" s="98"/>
      <c r="D39" s="227"/>
      <c r="E39" s="227"/>
      <c r="F39" s="227"/>
    </row>
    <row r="40" spans="1:6" x14ac:dyDescent="0.2">
      <c r="A40" s="98"/>
      <c r="C40" s="99"/>
      <c r="D40" s="228"/>
      <c r="E40" s="229"/>
      <c r="F40" s="229"/>
    </row>
    <row r="41" spans="1:6" x14ac:dyDescent="0.2">
      <c r="A41" s="101"/>
      <c r="B41" s="101"/>
    </row>
    <row r="42" spans="1:6" x14ac:dyDescent="0.2">
      <c r="A42" s="98"/>
    </row>
    <row r="43" spans="1:6" x14ac:dyDescent="0.2">
      <c r="A43" s="98" t="s">
        <v>8</v>
      </c>
      <c r="D43" s="98" t="s">
        <v>7</v>
      </c>
      <c r="F43" s="102"/>
    </row>
    <row r="44" spans="1:6" x14ac:dyDescent="0.2">
      <c r="A44" s="98"/>
    </row>
    <row r="45" spans="1:6" x14ac:dyDescent="0.2">
      <c r="A45" s="98"/>
    </row>
    <row r="46" spans="1:6" x14ac:dyDescent="0.2">
      <c r="A46" s="98"/>
    </row>
    <row r="47" spans="1:6" x14ac:dyDescent="0.2">
      <c r="A47" s="100"/>
      <c r="B47" s="101"/>
      <c r="D47" s="101"/>
      <c r="E47" s="101"/>
      <c r="F47" s="101"/>
    </row>
    <row r="48" spans="1:6" s="61" customFormat="1" ht="17.100000000000001" customHeight="1" x14ac:dyDescent="0.2">
      <c r="A48" s="98" t="s">
        <v>4066</v>
      </c>
      <c r="B48" s="104"/>
      <c r="D48" s="61" t="s">
        <v>3</v>
      </c>
    </row>
    <row r="49" spans="1:4" x14ac:dyDescent="0.2">
      <c r="A49" s="98"/>
      <c r="D49" s="91" t="s">
        <v>2</v>
      </c>
    </row>
    <row r="50" spans="1:4" x14ac:dyDescent="0.2">
      <c r="A50" s="98"/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2-000000000000}">
  <sheetPr codeName="Sheet188"/>
  <dimension ref="A1:O55"/>
  <sheetViews>
    <sheetView view="pageBreakPreview" topLeftCell="A7" zoomScaleNormal="100" zoomScaleSheetLayoutView="100" workbookViewId="0">
      <selection activeCell="K18" sqref="K18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5703125" style="91" customWidth="1"/>
    <col min="6" max="6" width="15" style="91" customWidth="1"/>
    <col min="7" max="7" width="9" style="91" customWidth="1"/>
    <col min="8" max="8" width="13.28515625" style="91" customWidth="1"/>
    <col min="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</row>
    <row r="9" spans="1:15" x14ac:dyDescent="0.2">
      <c r="F9" s="92" t="s">
        <v>1317</v>
      </c>
      <c r="G9" s="91" t="s">
        <v>8901</v>
      </c>
    </row>
    <row r="10" spans="1:15" x14ac:dyDescent="0.2">
      <c r="A10" s="91" t="s">
        <v>2097</v>
      </c>
      <c r="F10" s="92" t="s">
        <v>1329</v>
      </c>
      <c r="G10" s="94" t="s">
        <v>8898</v>
      </c>
    </row>
    <row r="11" spans="1:15" x14ac:dyDescent="0.2">
      <c r="F11" s="92" t="s">
        <v>1330</v>
      </c>
      <c r="G11" s="91" t="s">
        <v>1220</v>
      </c>
    </row>
    <row r="12" spans="1:15" x14ac:dyDescent="0.2">
      <c r="F12" s="92" t="s">
        <v>1377</v>
      </c>
      <c r="G12" s="91" t="s">
        <v>8902</v>
      </c>
    </row>
    <row r="13" spans="1:15" x14ac:dyDescent="0.2">
      <c r="G13" s="91" t="s">
        <v>7762</v>
      </c>
      <c r="K13" s="1" t="s">
        <v>8938</v>
      </c>
      <c r="O13" s="1">
        <v>812.9032258064517</v>
      </c>
    </row>
    <row r="14" spans="1:15" x14ac:dyDescent="0.2">
      <c r="K14" s="1" t="s">
        <v>8939</v>
      </c>
    </row>
    <row r="16" spans="1:15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K16" s="14" t="s">
        <v>8940</v>
      </c>
      <c r="O16" s="14">
        <v>-91</v>
      </c>
    </row>
    <row r="17" spans="1:15" x14ac:dyDescent="0.2">
      <c r="A17" s="106"/>
      <c r="K17" s="1" t="s">
        <v>8941</v>
      </c>
      <c r="O17" s="1">
        <v>-4.25</v>
      </c>
    </row>
    <row r="18" spans="1:15" x14ac:dyDescent="0.2">
      <c r="D18" s="91" t="s">
        <v>8903</v>
      </c>
      <c r="K18" s="1" t="s">
        <v>8942</v>
      </c>
      <c r="O18" s="1">
        <v>-1.7</v>
      </c>
    </row>
    <row r="19" spans="1:15" x14ac:dyDescent="0.2">
      <c r="A19" s="106"/>
    </row>
    <row r="20" spans="1:15" x14ac:dyDescent="0.2">
      <c r="A20" s="92"/>
      <c r="B20" s="93"/>
      <c r="C20" s="93"/>
      <c r="D20" s="91" t="s">
        <v>2098</v>
      </c>
    </row>
    <row r="21" spans="1:15" x14ac:dyDescent="0.2">
      <c r="A21" s="106"/>
      <c r="D21" s="94" t="s">
        <v>2099</v>
      </c>
      <c r="E21" s="94"/>
      <c r="F21" s="1"/>
      <c r="G21" s="1"/>
      <c r="H21" s="91">
        <f>9348+107</f>
        <v>9455</v>
      </c>
    </row>
    <row r="22" spans="1:15" x14ac:dyDescent="0.2">
      <c r="A22" s="106"/>
      <c r="D22" s="94" t="s">
        <v>2100</v>
      </c>
      <c r="E22" s="94"/>
      <c r="H22" s="91">
        <f>8263+91</f>
        <v>8354</v>
      </c>
    </row>
    <row r="23" spans="1:15" x14ac:dyDescent="0.2">
      <c r="A23" s="106"/>
    </row>
    <row r="24" spans="1:15" x14ac:dyDescent="0.2">
      <c r="D24" s="91" t="s">
        <v>2823</v>
      </c>
    </row>
    <row r="25" spans="1:15" x14ac:dyDescent="0.2">
      <c r="A25" s="93"/>
      <c r="B25" s="93"/>
      <c r="C25" s="93"/>
      <c r="D25" s="94" t="s">
        <v>2099</v>
      </c>
      <c r="E25" s="94"/>
      <c r="H25" s="91">
        <v>867</v>
      </c>
      <c r="I25" s="91"/>
    </row>
    <row r="26" spans="1:15" x14ac:dyDescent="0.2">
      <c r="A26" s="1"/>
      <c r="B26" s="1"/>
      <c r="C26" s="1"/>
      <c r="D26" s="94" t="s">
        <v>2100</v>
      </c>
      <c r="E26" s="94"/>
      <c r="H26" s="91">
        <v>676</v>
      </c>
    </row>
    <row r="27" spans="1:15" x14ac:dyDescent="0.2">
      <c r="A27" s="1"/>
      <c r="B27" s="1"/>
      <c r="C27" s="1"/>
    </row>
    <row r="28" spans="1:15" x14ac:dyDescent="0.2">
      <c r="A28" s="1"/>
      <c r="B28" s="1"/>
      <c r="C28" s="1"/>
    </row>
    <row r="29" spans="1:15" x14ac:dyDescent="0.2">
      <c r="A29" s="1"/>
      <c r="B29" s="1"/>
      <c r="C29" s="1"/>
    </row>
    <row r="30" spans="1:15" x14ac:dyDescent="0.2">
      <c r="A30" s="106"/>
    </row>
    <row r="31" spans="1:15" x14ac:dyDescent="0.2">
      <c r="A31" s="106"/>
    </row>
    <row r="32" spans="1:15" x14ac:dyDescent="0.2">
      <c r="A32" s="106"/>
    </row>
    <row r="33" spans="1:8" x14ac:dyDescent="0.2">
      <c r="A33" s="106"/>
    </row>
    <row r="34" spans="1:8" x14ac:dyDescent="0.2">
      <c r="A34" s="106"/>
    </row>
    <row r="35" spans="1:8" ht="13.5" thickBot="1" x14ac:dyDescent="0.25">
      <c r="A35" s="106"/>
      <c r="H35" s="107">
        <f>SUM(H18:H27)</f>
        <v>19352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Nineteen Thousand Three Hundred Fifty-Two and NO/100 -----------</v>
      </c>
      <c r="C37" s="185"/>
      <c r="D37" s="97"/>
      <c r="E37" s="97"/>
      <c r="F37" s="236"/>
      <c r="G37" s="232"/>
      <c r="H37" s="232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0" spans="1:8" x14ac:dyDescent="0.2">
      <c r="F40" s="227"/>
      <c r="G40" s="227"/>
      <c r="H40" s="227"/>
    </row>
    <row r="41" spans="1:8" x14ac:dyDescent="0.2">
      <c r="F41" s="228"/>
      <c r="G41" s="229"/>
      <c r="H41" s="229"/>
    </row>
    <row r="42" spans="1:8" x14ac:dyDescent="0.2">
      <c r="A42" s="1"/>
    </row>
    <row r="43" spans="1:8" x14ac:dyDescent="0.2">
      <c r="A43" s="101"/>
      <c r="B43" s="101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 t="s">
        <v>120</v>
      </c>
      <c r="B50" s="101"/>
      <c r="D50" s="101" t="s">
        <v>120</v>
      </c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6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2-000000000000}">
  <sheetPr codeName="Sheet267">
    <pageSetUpPr fitToPage="1"/>
  </sheetPr>
  <dimension ref="A1:G57"/>
  <sheetViews>
    <sheetView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5.7109375" style="152" customWidth="1"/>
    <col min="3" max="3" width="23" style="152" customWidth="1"/>
    <col min="4" max="4" width="16.4257812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91" t="s">
        <v>2594</v>
      </c>
      <c r="F9" s="153"/>
    </row>
    <row r="10" spans="1:6" x14ac:dyDescent="0.2">
      <c r="A10" s="153" t="s">
        <v>2595</v>
      </c>
      <c r="B10" s="153"/>
      <c r="C10" s="153"/>
      <c r="D10" s="155" t="s">
        <v>1357</v>
      </c>
      <c r="E10" s="92" t="s">
        <v>2579</v>
      </c>
      <c r="F10" s="153"/>
    </row>
    <row r="11" spans="1:6" x14ac:dyDescent="0.2">
      <c r="A11" s="153" t="s">
        <v>2596</v>
      </c>
      <c r="B11" s="153"/>
      <c r="C11" s="153"/>
      <c r="D11" s="155" t="s">
        <v>1330</v>
      </c>
      <c r="E11" s="92" t="s">
        <v>1220</v>
      </c>
      <c r="F11" s="153"/>
    </row>
    <row r="12" spans="1:6" x14ac:dyDescent="0.2">
      <c r="A12" s="153" t="s">
        <v>2597</v>
      </c>
      <c r="B12" s="153"/>
      <c r="C12" s="153"/>
      <c r="D12" s="155" t="s">
        <v>1377</v>
      </c>
      <c r="E12" s="92" t="s">
        <v>770</v>
      </c>
      <c r="F12" s="153"/>
    </row>
    <row r="13" spans="1:6" x14ac:dyDescent="0.2">
      <c r="A13" s="153"/>
      <c r="B13" s="153"/>
      <c r="C13" s="153"/>
      <c r="D13" s="153"/>
      <c r="E13" s="91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7" x14ac:dyDescent="0.2">
      <c r="A17" s="153"/>
      <c r="B17" s="153"/>
      <c r="C17" s="153"/>
      <c r="D17" s="153"/>
      <c r="E17" s="153"/>
      <c r="F17" s="153"/>
    </row>
    <row r="18" spans="1:7" x14ac:dyDescent="0.2">
      <c r="A18" s="153"/>
      <c r="B18" s="153"/>
      <c r="C18" s="163" t="s">
        <v>2584</v>
      </c>
      <c r="D18" s="153"/>
      <c r="E18" s="153"/>
      <c r="F18" s="153"/>
    </row>
    <row r="19" spans="1:7" x14ac:dyDescent="0.2">
      <c r="A19" s="153"/>
      <c r="B19" s="153"/>
      <c r="C19" s="163" t="s">
        <v>2585</v>
      </c>
      <c r="D19" s="153"/>
      <c r="E19" s="153"/>
      <c r="F19" s="153"/>
      <c r="G19" s="153"/>
    </row>
    <row r="20" spans="1:7" x14ac:dyDescent="0.2">
      <c r="A20" s="164"/>
      <c r="B20" s="153"/>
      <c r="C20" s="163"/>
      <c r="D20" s="153"/>
      <c r="E20" s="153"/>
      <c r="F20" s="153"/>
      <c r="G20" s="153"/>
    </row>
    <row r="21" spans="1:7" x14ac:dyDescent="0.2">
      <c r="A21" s="168" t="s">
        <v>2444</v>
      </c>
      <c r="B21" s="173" t="s">
        <v>2598</v>
      </c>
      <c r="C21" s="153" t="s">
        <v>2599</v>
      </c>
      <c r="D21" s="153"/>
      <c r="E21" s="153"/>
      <c r="F21" s="153">
        <v>4200</v>
      </c>
      <c r="G21" s="153"/>
    </row>
    <row r="22" spans="1:7" x14ac:dyDescent="0.2">
      <c r="C22" s="153" t="s">
        <v>2600</v>
      </c>
      <c r="D22" s="153"/>
      <c r="E22" s="153"/>
      <c r="F22" s="153">
        <v>3220</v>
      </c>
      <c r="G22" s="153"/>
    </row>
    <row r="23" spans="1:7" x14ac:dyDescent="0.2">
      <c r="A23" s="168"/>
      <c r="B23" s="173"/>
    </row>
    <row r="24" spans="1:7" x14ac:dyDescent="0.2">
      <c r="A24" s="168" t="s">
        <v>2444</v>
      </c>
      <c r="B24" s="173" t="s">
        <v>2601</v>
      </c>
      <c r="C24" s="153" t="s">
        <v>2602</v>
      </c>
      <c r="F24" s="153">
        <v>1150</v>
      </c>
      <c r="G24" s="153"/>
    </row>
    <row r="25" spans="1:7" x14ac:dyDescent="0.2">
      <c r="A25" s="168"/>
      <c r="B25" s="173"/>
      <c r="C25" s="153" t="s">
        <v>2603</v>
      </c>
      <c r="F25" s="153">
        <v>700</v>
      </c>
      <c r="G25" s="153"/>
    </row>
    <row r="26" spans="1:7" x14ac:dyDescent="0.2">
      <c r="G26" s="153"/>
    </row>
    <row r="27" spans="1:7" x14ac:dyDescent="0.2">
      <c r="A27" s="168" t="s">
        <v>2444</v>
      </c>
      <c r="B27" s="173" t="s">
        <v>2604</v>
      </c>
      <c r="C27" s="153" t="s">
        <v>2605</v>
      </c>
      <c r="F27" s="153">
        <v>330</v>
      </c>
      <c r="G27" s="153"/>
    </row>
    <row r="28" spans="1:7" x14ac:dyDescent="0.2">
      <c r="A28" s="168"/>
      <c r="B28" s="169"/>
      <c r="C28" s="153" t="s">
        <v>2606</v>
      </c>
      <c r="D28" s="153"/>
      <c r="E28" s="153"/>
      <c r="F28" s="153">
        <v>450</v>
      </c>
      <c r="G28" s="153"/>
    </row>
    <row r="29" spans="1:7" x14ac:dyDescent="0.2">
      <c r="A29" s="168"/>
      <c r="B29" s="169"/>
      <c r="C29" s="153"/>
      <c r="D29" s="153"/>
      <c r="E29" s="153"/>
      <c r="F29" s="153"/>
      <c r="G29" s="153"/>
    </row>
    <row r="30" spans="1:7" x14ac:dyDescent="0.2">
      <c r="A30" s="168" t="s">
        <v>2444</v>
      </c>
      <c r="B30" s="173" t="s">
        <v>2607</v>
      </c>
      <c r="C30" s="153" t="s">
        <v>2608</v>
      </c>
      <c r="D30" s="153"/>
      <c r="E30" s="153"/>
      <c r="F30" s="153">
        <v>330</v>
      </c>
      <c r="G30" s="153"/>
    </row>
    <row r="31" spans="1:7" x14ac:dyDescent="0.2">
      <c r="A31" s="168"/>
      <c r="B31" s="169"/>
      <c r="C31" s="153" t="s">
        <v>2609</v>
      </c>
      <c r="D31" s="153"/>
      <c r="E31" s="153"/>
      <c r="F31" s="153">
        <v>450</v>
      </c>
      <c r="G31" s="153"/>
    </row>
    <row r="32" spans="1:7" x14ac:dyDescent="0.2">
      <c r="A32" s="168"/>
      <c r="B32" s="169"/>
      <c r="C32" s="153"/>
      <c r="D32" s="153"/>
      <c r="E32" s="153"/>
      <c r="F32" s="153"/>
      <c r="G32" s="153"/>
    </row>
    <row r="33" spans="1:7" x14ac:dyDescent="0.2">
      <c r="A33" s="168"/>
      <c r="B33" s="169"/>
      <c r="C33" s="153" t="s">
        <v>52</v>
      </c>
      <c r="D33" s="153"/>
      <c r="E33" s="153"/>
      <c r="F33" s="153">
        <v>20</v>
      </c>
      <c r="G33" s="153"/>
    </row>
    <row r="34" spans="1:7" ht="13.5" thickBot="1" x14ac:dyDescent="0.25">
      <c r="F34" s="204"/>
      <c r="G34" s="153"/>
    </row>
    <row r="35" spans="1:7" ht="13.5" thickTop="1" x14ac:dyDescent="0.2">
      <c r="A35" s="153"/>
      <c r="B35" s="153"/>
      <c r="C35" s="153"/>
      <c r="D35" s="153"/>
      <c r="E35" s="153"/>
      <c r="G35" s="153"/>
    </row>
    <row r="36" spans="1:7" ht="25.5" x14ac:dyDescent="0.2">
      <c r="A36" s="153"/>
      <c r="B36" s="153"/>
      <c r="C36" s="153"/>
      <c r="D36" s="218" t="s">
        <v>3975</v>
      </c>
      <c r="E36" s="219"/>
      <c r="F36" s="220"/>
      <c r="G36" s="153"/>
    </row>
    <row r="37" spans="1:7" x14ac:dyDescent="0.2">
      <c r="A37" s="153"/>
      <c r="B37" s="153"/>
      <c r="C37" s="153"/>
      <c r="D37" s="153"/>
      <c r="E37" s="153"/>
      <c r="F37" s="153"/>
      <c r="G37" s="153"/>
    </row>
    <row r="38" spans="1:7" x14ac:dyDescent="0.2">
      <c r="A38" s="153"/>
      <c r="B38" s="153"/>
      <c r="C38" s="153"/>
      <c r="D38" s="153"/>
      <c r="E38" s="153"/>
      <c r="F38" s="153"/>
      <c r="G38" s="153"/>
    </row>
    <row r="39" spans="1:7" x14ac:dyDescent="0.2">
      <c r="A39" s="171" t="s">
        <v>122</v>
      </c>
      <c r="B39" s="171" t="s">
        <v>2610</v>
      </c>
      <c r="C39" s="172"/>
      <c r="D39" s="227"/>
      <c r="E39" s="227"/>
      <c r="F39" s="227"/>
      <c r="G39" s="153"/>
    </row>
    <row r="40" spans="1:7" x14ac:dyDescent="0.2">
      <c r="A40" s="153" t="s">
        <v>10</v>
      </c>
      <c r="B40" s="153"/>
      <c r="C40" s="153"/>
      <c r="D40" s="228"/>
      <c r="E40" s="229"/>
      <c r="F40" s="229"/>
    </row>
    <row r="41" spans="1:7" x14ac:dyDescent="0.2">
      <c r="B41" s="153"/>
      <c r="C41" s="153"/>
      <c r="D41" s="153"/>
      <c r="E41" s="153"/>
      <c r="F41" s="153"/>
    </row>
    <row r="42" spans="1:7" x14ac:dyDescent="0.2">
      <c r="A42" s="153"/>
      <c r="B42" s="153"/>
      <c r="C42" s="153"/>
      <c r="D42" s="153"/>
      <c r="E42" s="153"/>
      <c r="F42" s="153"/>
    </row>
    <row r="43" spans="1:7" x14ac:dyDescent="0.2">
      <c r="A43" s="153"/>
      <c r="B43" s="153"/>
      <c r="C43" s="173"/>
      <c r="D43" s="153"/>
      <c r="E43" s="153"/>
      <c r="F43" s="153"/>
    </row>
    <row r="44" spans="1:7" x14ac:dyDescent="0.2">
      <c r="A44" s="174"/>
      <c r="B44" s="174"/>
      <c r="C44" s="153"/>
      <c r="D44" s="153"/>
      <c r="E44" s="153"/>
      <c r="F44" s="153"/>
    </row>
    <row r="45" spans="1:7" x14ac:dyDescent="0.2">
      <c r="B45" s="153"/>
      <c r="C45" s="153"/>
      <c r="D45" s="153"/>
      <c r="E45" s="153"/>
      <c r="F45" s="153"/>
    </row>
    <row r="46" spans="1:7" x14ac:dyDescent="0.2">
      <c r="A46" s="175" t="s">
        <v>8</v>
      </c>
      <c r="C46" s="153"/>
      <c r="D46" s="175" t="s">
        <v>7</v>
      </c>
      <c r="E46" s="153"/>
      <c r="F46" s="176"/>
    </row>
    <row r="47" spans="1:7" x14ac:dyDescent="0.2">
      <c r="A47" s="153" t="s">
        <v>3972</v>
      </c>
      <c r="B47" s="153"/>
      <c r="C47" s="153"/>
      <c r="D47" s="153"/>
      <c r="E47" s="153"/>
      <c r="F47" s="153"/>
    </row>
    <row r="48" spans="1:7" x14ac:dyDescent="0.2">
      <c r="A48" s="153"/>
      <c r="B48" s="153"/>
      <c r="C48" s="153"/>
      <c r="D48" s="153"/>
      <c r="E48" s="153"/>
      <c r="F48" s="153"/>
    </row>
    <row r="49" spans="1:6" x14ac:dyDescent="0.2">
      <c r="A49" s="153" t="s">
        <v>4066</v>
      </c>
      <c r="B49" s="153"/>
      <c r="C49" s="153"/>
      <c r="D49" s="153"/>
      <c r="E49" s="153"/>
      <c r="F49" s="153"/>
    </row>
    <row r="50" spans="1:6" x14ac:dyDescent="0.2">
      <c r="A50" s="174"/>
      <c r="B50" s="174"/>
      <c r="C50" s="153"/>
      <c r="D50" s="174"/>
      <c r="E50" s="174"/>
      <c r="F50" s="174"/>
    </row>
    <row r="51" spans="1:6" s="178" customFormat="1" ht="17.100000000000001" customHeight="1" x14ac:dyDescent="0.2">
      <c r="A51" s="177" t="s">
        <v>35</v>
      </c>
      <c r="B51" s="177"/>
      <c r="C51" s="156"/>
      <c r="D51" s="156" t="s">
        <v>3</v>
      </c>
      <c r="E51" s="156"/>
      <c r="F51" s="156"/>
    </row>
    <row r="52" spans="1:6" x14ac:dyDescent="0.2">
      <c r="A52" s="153"/>
      <c r="B52" s="153"/>
      <c r="C52" s="153"/>
      <c r="D52" s="153" t="s">
        <v>2</v>
      </c>
      <c r="E52" s="153"/>
      <c r="F52" s="153"/>
    </row>
    <row r="53" spans="1:6" x14ac:dyDescent="0.2">
      <c r="A53" s="153"/>
      <c r="B53" s="153"/>
      <c r="C53" s="153"/>
      <c r="D53" s="153"/>
      <c r="E53" s="153"/>
      <c r="F53" s="153"/>
    </row>
    <row r="54" spans="1:6" x14ac:dyDescent="0.2">
      <c r="A54" s="153"/>
      <c r="B54" s="153"/>
      <c r="C54" s="153"/>
      <c r="D54" s="163" t="s">
        <v>1</v>
      </c>
      <c r="E54" s="153"/>
      <c r="F54" s="153"/>
    </row>
    <row r="55" spans="1:6" x14ac:dyDescent="0.2">
      <c r="A55" s="153"/>
      <c r="B55" s="153"/>
      <c r="C55" s="153"/>
      <c r="D55" s="163" t="s">
        <v>0</v>
      </c>
      <c r="E55" s="153"/>
      <c r="F55" s="153"/>
    </row>
    <row r="56" spans="1:6" x14ac:dyDescent="0.2">
      <c r="A56" s="153"/>
      <c r="B56" s="153"/>
      <c r="C56" s="153"/>
      <c r="D56" s="153"/>
      <c r="E56" s="153"/>
      <c r="F56" s="153"/>
    </row>
    <row r="57" spans="1:6" x14ac:dyDescent="0.2">
      <c r="A57" s="153"/>
      <c r="B57" s="153"/>
      <c r="C57" s="153"/>
      <c r="D57" s="153"/>
      <c r="E57" s="153"/>
      <c r="F57" s="153"/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2-000000000000}">
  <sheetPr codeName="Sheet246"/>
  <dimension ref="A1:H55"/>
  <sheetViews>
    <sheetView topLeftCell="A7" workbookViewId="0">
      <selection activeCell="H33" sqref="H33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.85546875" style="1" customWidth="1"/>
    <col min="6" max="6" width="14.5703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8904</v>
      </c>
      <c r="H9" s="91"/>
    </row>
    <row r="10" spans="1:8" x14ac:dyDescent="0.2">
      <c r="A10" s="91" t="s">
        <v>2556</v>
      </c>
      <c r="B10" s="91"/>
      <c r="C10" s="91"/>
      <c r="D10" s="91"/>
      <c r="E10" s="91"/>
      <c r="F10" s="92" t="s">
        <v>1357</v>
      </c>
      <c r="G10" s="94" t="s">
        <v>8898</v>
      </c>
      <c r="H10" s="91"/>
    </row>
    <row r="11" spans="1:8" x14ac:dyDescent="0.2">
      <c r="A11" s="91"/>
      <c r="B11" s="91"/>
      <c r="C11" s="91"/>
      <c r="D11" s="91"/>
      <c r="E11" s="91"/>
      <c r="F11" s="92" t="s">
        <v>1330</v>
      </c>
      <c r="G11" s="91" t="s">
        <v>1220</v>
      </c>
      <c r="H11" s="91"/>
    </row>
    <row r="12" spans="1:8" x14ac:dyDescent="0.2">
      <c r="A12" s="91"/>
      <c r="B12" s="91"/>
      <c r="C12" s="91"/>
      <c r="D12" s="91"/>
      <c r="E12" s="91"/>
      <c r="F12" s="92" t="s">
        <v>1377</v>
      </c>
      <c r="G12" s="91" t="s">
        <v>8905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A18" s="91"/>
      <c r="B18" s="91"/>
      <c r="C18" s="91"/>
      <c r="D18" s="91" t="s">
        <v>8906</v>
      </c>
      <c r="E18" s="91"/>
      <c r="F18" s="91"/>
      <c r="G18" s="91"/>
      <c r="H18" s="91"/>
    </row>
    <row r="19" spans="1:8" x14ac:dyDescent="0.2">
      <c r="A19" s="93"/>
      <c r="B19" s="93"/>
      <c r="C19" s="93"/>
      <c r="D19" s="91"/>
      <c r="E19" s="91"/>
      <c r="F19" s="91"/>
      <c r="G19" s="91"/>
      <c r="H19" s="91"/>
    </row>
    <row r="20" spans="1:8" x14ac:dyDescent="0.2">
      <c r="A20" s="93"/>
      <c r="B20" s="93"/>
      <c r="C20" s="93"/>
      <c r="D20" s="91" t="s">
        <v>2098</v>
      </c>
      <c r="E20" s="91"/>
      <c r="F20" s="91"/>
      <c r="G20" s="91"/>
      <c r="H20" s="91"/>
    </row>
    <row r="21" spans="1:8" x14ac:dyDescent="0.2">
      <c r="A21" s="93"/>
      <c r="B21" s="94"/>
      <c r="C21" s="94"/>
      <c r="D21" s="94" t="s">
        <v>2099</v>
      </c>
      <c r="E21" s="94"/>
      <c r="F21" s="91"/>
      <c r="G21" s="91"/>
      <c r="H21" s="94">
        <f>839.7+14.85</f>
        <v>854.55000000000007</v>
      </c>
    </row>
    <row r="22" spans="1:8" x14ac:dyDescent="0.2">
      <c r="A22" s="93"/>
      <c r="B22" s="94"/>
      <c r="C22" s="94"/>
      <c r="D22" s="94" t="s">
        <v>2100</v>
      </c>
      <c r="E22" s="94"/>
      <c r="F22" s="91"/>
      <c r="G22" s="91"/>
      <c r="H22" s="91">
        <f>240+4.25</f>
        <v>244.25</v>
      </c>
    </row>
    <row r="23" spans="1:8" x14ac:dyDescent="0.2">
      <c r="A23" s="93"/>
      <c r="B23" s="94"/>
      <c r="C23" s="94"/>
      <c r="D23" s="91"/>
      <c r="E23" s="91"/>
      <c r="F23" s="91"/>
      <c r="G23" s="91"/>
      <c r="H23" s="91"/>
    </row>
    <row r="24" spans="1:8" x14ac:dyDescent="0.2">
      <c r="A24" s="93"/>
      <c r="B24" s="94"/>
      <c r="C24" s="94"/>
      <c r="D24" s="91" t="s">
        <v>2823</v>
      </c>
      <c r="E24" s="91"/>
      <c r="F24" s="91"/>
      <c r="G24" s="91"/>
      <c r="H24" s="91"/>
    </row>
    <row r="25" spans="1:8" x14ac:dyDescent="0.2">
      <c r="A25" s="93"/>
      <c r="B25" s="94"/>
      <c r="C25" s="94"/>
      <c r="D25" s="94" t="s">
        <v>2099</v>
      </c>
      <c r="E25" s="94"/>
      <c r="F25" s="91"/>
      <c r="G25" s="91"/>
      <c r="H25" s="91">
        <v>126.45</v>
      </c>
    </row>
    <row r="26" spans="1:8" x14ac:dyDescent="0.2">
      <c r="A26" s="93"/>
      <c r="B26" s="94"/>
      <c r="C26" s="94"/>
      <c r="D26" s="94" t="s">
        <v>2100</v>
      </c>
      <c r="E26" s="94"/>
      <c r="F26" s="91"/>
      <c r="G26" s="91"/>
      <c r="H26" s="91">
        <v>30.25</v>
      </c>
    </row>
    <row r="27" spans="1:8" x14ac:dyDescent="0.2">
      <c r="A27" s="93"/>
      <c r="B27" s="94"/>
      <c r="C27" s="94"/>
      <c r="D27" s="91"/>
      <c r="E27" s="91"/>
      <c r="F27" s="91"/>
      <c r="G27" s="91"/>
      <c r="H27" s="91"/>
    </row>
    <row r="28" spans="1:8" x14ac:dyDescent="0.2">
      <c r="A28" s="93"/>
      <c r="B28" s="94"/>
      <c r="C28" s="94"/>
    </row>
    <row r="29" spans="1:8" x14ac:dyDescent="0.2">
      <c r="A29" s="93">
        <v>1236.4000000000001</v>
      </c>
      <c r="B29" s="94"/>
      <c r="C29" s="94"/>
      <c r="D29" s="91"/>
      <c r="E29" s="91"/>
      <c r="F29" s="91"/>
      <c r="G29" s="91"/>
      <c r="H29" s="91"/>
    </row>
    <row r="30" spans="1:8" x14ac:dyDescent="0.2">
      <c r="A30" s="93"/>
      <c r="B30" s="94"/>
      <c r="C30" s="94"/>
      <c r="D30" s="91"/>
      <c r="E30" s="91"/>
      <c r="F30" s="91"/>
      <c r="G30" s="91"/>
      <c r="H30" s="91"/>
    </row>
    <row r="31" spans="1:8" x14ac:dyDescent="0.2">
      <c r="A31" s="93"/>
      <c r="B31" s="94"/>
      <c r="C31" s="94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</row>
    <row r="33" spans="1:8" ht="13.5" thickBot="1" x14ac:dyDescent="0.25">
      <c r="A33" s="91"/>
      <c r="B33" s="91"/>
      <c r="C33" s="91"/>
      <c r="D33" s="91"/>
      <c r="E33" s="91"/>
      <c r="F33" s="91"/>
      <c r="G33" s="91"/>
      <c r="H33" s="107">
        <f>SUM(H18:H31)</f>
        <v>1255.5000000000002</v>
      </c>
    </row>
    <row r="34" spans="1:8" ht="13.5" thickTop="1" x14ac:dyDescent="0.2">
      <c r="A34" s="91"/>
      <c r="B34" s="91"/>
      <c r="C34" s="91"/>
      <c r="D34" s="91"/>
      <c r="E34" s="91"/>
    </row>
    <row r="35" spans="1:8" ht="20.100000000000001" customHeight="1" x14ac:dyDescent="0.2">
      <c r="A35" s="96" t="s">
        <v>122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Two Hundred Fifty-Five and 50/100 -----------</v>
      </c>
      <c r="C35" s="185"/>
      <c r="D35" s="97"/>
      <c r="E35" s="97"/>
      <c r="F35" s="97"/>
      <c r="G35" s="222"/>
      <c r="H35" s="97"/>
    </row>
    <row r="36" spans="1:8" ht="20.100000000000001" customHeight="1" x14ac:dyDescent="0.2">
      <c r="A36" s="113"/>
      <c r="B36" s="103"/>
      <c r="C36" s="103"/>
      <c r="D36" s="61"/>
      <c r="E36" s="61"/>
      <c r="F36" s="61"/>
      <c r="G36" s="222"/>
      <c r="H36" s="61"/>
    </row>
    <row r="37" spans="1:8" ht="25.5" x14ac:dyDescent="0.2">
      <c r="A37" s="94" t="s">
        <v>4045</v>
      </c>
      <c r="B37" s="91"/>
      <c r="C37" s="91"/>
      <c r="D37" s="98"/>
      <c r="E37" s="91"/>
      <c r="F37" s="218" t="s">
        <v>3975</v>
      </c>
      <c r="G37" s="219"/>
      <c r="H37" s="220"/>
    </row>
    <row r="38" spans="1:8" x14ac:dyDescent="0.2">
      <c r="A38" s="91"/>
      <c r="B38" s="91"/>
      <c r="C38" s="91"/>
      <c r="D38" s="91"/>
      <c r="E38" s="91"/>
      <c r="F38" s="228"/>
      <c r="G38" s="229"/>
      <c r="H38" s="229"/>
    </row>
    <row r="39" spans="1:8" x14ac:dyDescent="0.2">
      <c r="B39" s="91"/>
      <c r="C39" s="91"/>
      <c r="D39" s="91"/>
      <c r="E39" s="99"/>
      <c r="F39" s="91"/>
      <c r="G39" s="91"/>
      <c r="H39" s="91"/>
    </row>
    <row r="40" spans="1:8" x14ac:dyDescent="0.2">
      <c r="A40" s="91"/>
      <c r="B40" s="91"/>
      <c r="C40" s="91"/>
      <c r="D40" s="91"/>
      <c r="E40" s="99"/>
      <c r="F40" s="91"/>
      <c r="G40" s="91"/>
      <c r="H40" s="91"/>
    </row>
    <row r="41" spans="1:8" x14ac:dyDescent="0.2">
      <c r="A41" s="101"/>
      <c r="B41" s="101"/>
      <c r="C41" s="91"/>
      <c r="D41" s="91"/>
      <c r="E41" s="91"/>
      <c r="F41" s="91"/>
      <c r="G41" s="91"/>
      <c r="H41" s="91"/>
    </row>
    <row r="42" spans="1:8" x14ac:dyDescent="0.2">
      <c r="B42" s="91"/>
      <c r="C42" s="91"/>
      <c r="D42" s="91"/>
      <c r="E42" s="91"/>
      <c r="F42" s="91"/>
      <c r="G42" s="91"/>
      <c r="H42" s="91"/>
    </row>
    <row r="43" spans="1:8" x14ac:dyDescent="0.2">
      <c r="B43" s="91"/>
      <c r="C43" s="91"/>
      <c r="D43" s="91"/>
      <c r="E43" s="91"/>
      <c r="F43" s="91"/>
      <c r="G43" s="91"/>
      <c r="H43" s="91"/>
    </row>
    <row r="44" spans="1:8" x14ac:dyDescent="0.2">
      <c r="A44" s="98" t="s">
        <v>8</v>
      </c>
      <c r="D44" s="98" t="s">
        <v>8</v>
      </c>
      <c r="E44" s="91"/>
      <c r="F44" s="98" t="s">
        <v>7</v>
      </c>
      <c r="G44" s="91"/>
      <c r="H44" s="102"/>
    </row>
    <row r="45" spans="1:8" x14ac:dyDescent="0.2">
      <c r="A45" s="91"/>
      <c r="B45" s="91"/>
      <c r="C45" s="91"/>
      <c r="D45" s="91"/>
      <c r="E45" s="91"/>
      <c r="F45" s="91"/>
      <c r="G45" s="91"/>
      <c r="H45" s="91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101"/>
      <c r="B48" s="101"/>
      <c r="C48" s="91"/>
      <c r="D48" s="101"/>
      <c r="E48" s="91"/>
      <c r="F48" s="101"/>
      <c r="G48" s="101"/>
      <c r="H48" s="101"/>
    </row>
    <row r="49" spans="1:8" s="3" customFormat="1" ht="17.100000000000001" customHeight="1" x14ac:dyDescent="0.2">
      <c r="A49" s="209" t="s">
        <v>4066</v>
      </c>
      <c r="B49" s="104"/>
      <c r="C49" s="104"/>
      <c r="D49" s="209" t="s">
        <v>50</v>
      </c>
      <c r="E49" s="61"/>
      <c r="F49" s="61" t="s">
        <v>3</v>
      </c>
      <c r="G49" s="61"/>
      <c r="H49" s="61"/>
    </row>
    <row r="50" spans="1:8" x14ac:dyDescent="0.2">
      <c r="A50" s="91"/>
      <c r="B50" s="91"/>
      <c r="C50" s="91"/>
      <c r="D50" s="91"/>
      <c r="E50" s="91"/>
      <c r="F50" s="91" t="s">
        <v>2</v>
      </c>
      <c r="G50" s="91"/>
      <c r="H50" s="91"/>
    </row>
    <row r="51" spans="1:8" x14ac:dyDescent="0.2">
      <c r="A51" s="91"/>
      <c r="B51" s="91"/>
      <c r="C51" s="91"/>
      <c r="D51" s="91"/>
      <c r="E51" s="91"/>
      <c r="F51" s="91"/>
      <c r="G51" s="91"/>
      <c r="H51" s="91"/>
    </row>
    <row r="52" spans="1:8" x14ac:dyDescent="0.2">
      <c r="A52" s="91"/>
      <c r="B52" s="91"/>
      <c r="C52" s="91"/>
      <c r="D52" s="91"/>
      <c r="E52" s="91"/>
      <c r="F52" s="2" t="s">
        <v>1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0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2-000000000000}">
  <sheetPr codeName="Sheet643">
    <pageSetUpPr fitToPage="1"/>
  </sheetPr>
  <dimension ref="A1:H57"/>
  <sheetViews>
    <sheetView topLeftCell="A22" workbookViewId="0">
      <selection activeCell="H35" sqref="H35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.855468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8907</v>
      </c>
      <c r="H9" s="91"/>
    </row>
    <row r="10" spans="1:8" x14ac:dyDescent="0.2">
      <c r="A10" s="91" t="s">
        <v>2556</v>
      </c>
      <c r="B10" s="91"/>
      <c r="C10" s="91"/>
      <c r="D10" s="91"/>
      <c r="E10" s="91"/>
      <c r="F10" s="92" t="s">
        <v>1357</v>
      </c>
      <c r="G10" s="94" t="s">
        <v>8898</v>
      </c>
      <c r="H10" s="91"/>
    </row>
    <row r="11" spans="1:8" x14ac:dyDescent="0.2">
      <c r="A11" s="91"/>
      <c r="B11" s="91"/>
      <c r="C11" s="91"/>
      <c r="D11" s="91"/>
      <c r="E11" s="91"/>
      <c r="F11" s="92" t="s">
        <v>1330</v>
      </c>
      <c r="G11" s="91" t="s">
        <v>1220</v>
      </c>
      <c r="H11" s="91"/>
    </row>
    <row r="12" spans="1:8" x14ac:dyDescent="0.2">
      <c r="A12" s="91"/>
      <c r="B12" s="91"/>
      <c r="C12" s="91"/>
      <c r="D12" s="91"/>
      <c r="E12" s="91"/>
      <c r="F12" s="92" t="s">
        <v>1377</v>
      </c>
      <c r="G12" s="91" t="s">
        <v>8908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A18" s="91"/>
      <c r="B18" s="91"/>
      <c r="C18" s="91"/>
      <c r="D18" s="91" t="s">
        <v>8912</v>
      </c>
      <c r="E18" s="91"/>
      <c r="F18" s="91"/>
      <c r="G18" s="91"/>
      <c r="H18" s="91"/>
    </row>
    <row r="19" spans="1:8" x14ac:dyDescent="0.2">
      <c r="A19" s="93"/>
      <c r="B19" s="93"/>
      <c r="C19" s="93"/>
      <c r="D19" s="91"/>
      <c r="E19" s="91"/>
      <c r="F19" s="91"/>
      <c r="G19" s="91"/>
      <c r="H19" s="91"/>
    </row>
    <row r="20" spans="1:8" x14ac:dyDescent="0.2">
      <c r="A20" s="93"/>
      <c r="B20" s="93"/>
      <c r="C20" s="93"/>
      <c r="D20" s="91" t="s">
        <v>2098</v>
      </c>
      <c r="E20" s="91"/>
      <c r="F20" s="91"/>
      <c r="G20" s="91"/>
      <c r="H20" s="91"/>
    </row>
    <row r="21" spans="1:8" x14ac:dyDescent="0.2">
      <c r="A21" s="93"/>
      <c r="B21" s="94"/>
      <c r="C21" s="94"/>
      <c r="D21" s="94" t="s">
        <v>2099</v>
      </c>
      <c r="E21" s="94"/>
      <c r="F21" s="91"/>
      <c r="G21" s="91"/>
      <c r="H21" s="91">
        <f>96+1.7</f>
        <v>97.7</v>
      </c>
    </row>
    <row r="22" spans="1:8" x14ac:dyDescent="0.2">
      <c r="A22" s="93"/>
      <c r="B22" s="94"/>
      <c r="C22" s="94"/>
      <c r="D22" s="94" t="s">
        <v>2100</v>
      </c>
      <c r="E22" s="94"/>
      <c r="F22" s="91"/>
      <c r="G22" s="91"/>
      <c r="H22" s="91">
        <f>96+1.7</f>
        <v>97.7</v>
      </c>
    </row>
    <row r="23" spans="1:8" x14ac:dyDescent="0.2">
      <c r="A23" s="93"/>
      <c r="B23" s="94"/>
      <c r="C23" s="94"/>
      <c r="D23" s="91"/>
      <c r="E23" s="91"/>
      <c r="F23" s="91"/>
      <c r="G23" s="91"/>
      <c r="H23" s="91"/>
    </row>
    <row r="24" spans="1:8" x14ac:dyDescent="0.2">
      <c r="A24" s="93"/>
      <c r="B24" s="94"/>
      <c r="C24" s="94"/>
      <c r="D24" s="91" t="s">
        <v>2823</v>
      </c>
      <c r="E24" s="91"/>
      <c r="F24" s="91"/>
      <c r="G24" s="91"/>
      <c r="H24" s="91"/>
    </row>
    <row r="25" spans="1:8" x14ac:dyDescent="0.2">
      <c r="A25" s="93"/>
      <c r="B25" s="94"/>
      <c r="C25" s="94"/>
      <c r="D25" s="94" t="s">
        <v>2099</v>
      </c>
      <c r="E25" s="94"/>
      <c r="F25" s="91"/>
      <c r="G25" s="91"/>
      <c r="H25" s="91">
        <v>12.1</v>
      </c>
    </row>
    <row r="26" spans="1:8" x14ac:dyDescent="0.2">
      <c r="A26" s="93"/>
      <c r="B26" s="94"/>
      <c r="C26" s="94"/>
      <c r="D26" s="94" t="s">
        <v>2100</v>
      </c>
      <c r="E26" s="94"/>
      <c r="F26" s="91"/>
      <c r="G26" s="91"/>
      <c r="H26" s="91">
        <v>12.1</v>
      </c>
    </row>
    <row r="27" spans="1:8" x14ac:dyDescent="0.2">
      <c r="A27" s="93"/>
      <c r="B27" s="94"/>
      <c r="C27" s="94"/>
      <c r="D27" s="91"/>
      <c r="E27" s="91"/>
      <c r="F27" s="91"/>
      <c r="G27" s="91"/>
      <c r="H27" s="91"/>
    </row>
    <row r="28" spans="1:8" x14ac:dyDescent="0.2">
      <c r="A28" s="93"/>
      <c r="B28" s="94"/>
      <c r="C28" s="94"/>
    </row>
    <row r="29" spans="1:8" x14ac:dyDescent="0.2">
      <c r="A29" s="93"/>
      <c r="B29" s="94"/>
      <c r="C29" s="94"/>
      <c r="D29" s="91"/>
      <c r="E29" s="91"/>
      <c r="F29" s="91"/>
      <c r="G29" s="91"/>
      <c r="H29" s="91"/>
    </row>
    <row r="30" spans="1:8" x14ac:dyDescent="0.2">
      <c r="A30" s="93"/>
      <c r="B30" s="94"/>
      <c r="C30" s="94"/>
      <c r="D30" s="91"/>
      <c r="E30" s="91"/>
      <c r="F30" s="91"/>
      <c r="G30" s="91"/>
      <c r="H30" s="91"/>
    </row>
    <row r="31" spans="1:8" x14ac:dyDescent="0.2">
      <c r="A31" s="93"/>
      <c r="B31" s="94"/>
      <c r="C31" s="94"/>
      <c r="D31" s="91"/>
      <c r="E31" s="91"/>
      <c r="F31" s="91"/>
      <c r="G31" s="91"/>
      <c r="H31" s="91"/>
    </row>
    <row r="32" spans="1:8" x14ac:dyDescent="0.2">
      <c r="A32" s="93"/>
      <c r="B32" s="94"/>
      <c r="C32" s="94"/>
      <c r="D32" s="91"/>
      <c r="E32" s="91"/>
      <c r="F32" s="91"/>
      <c r="G32" s="91"/>
      <c r="H32" s="91"/>
    </row>
    <row r="33" spans="1:8" x14ac:dyDescent="0.2">
      <c r="A33" s="93"/>
      <c r="B33" s="94"/>
      <c r="C33" s="94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219.6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Nineteen and 60/100 -----------</v>
      </c>
      <c r="C37" s="185"/>
      <c r="D37" s="97"/>
      <c r="E37" s="97"/>
      <c r="F37" s="97"/>
      <c r="G37" s="222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222"/>
      <c r="H38" s="61"/>
    </row>
    <row r="39" spans="1:8" ht="25.5" x14ac:dyDescent="0.2">
      <c r="A39" s="94" t="s">
        <v>4045</v>
      </c>
      <c r="B39" s="91"/>
      <c r="C39" s="91"/>
      <c r="D39" s="98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9"/>
      <c r="F41" s="91"/>
      <c r="G41" s="91"/>
      <c r="H41" s="91"/>
    </row>
    <row r="42" spans="1:8" x14ac:dyDescent="0.2">
      <c r="A42" s="91"/>
      <c r="B42" s="91"/>
      <c r="C42" s="91"/>
      <c r="D42" s="91"/>
      <c r="E42" s="99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B44" s="91"/>
      <c r="C44" s="91"/>
      <c r="D44" s="91"/>
      <c r="E44" s="91"/>
      <c r="F44" s="91"/>
      <c r="G44" s="91"/>
      <c r="H44" s="91"/>
    </row>
    <row r="45" spans="1:8" x14ac:dyDescent="0.2">
      <c r="B45" s="91"/>
      <c r="C45" s="91"/>
      <c r="D45" s="91"/>
      <c r="E45" s="91"/>
      <c r="F45" s="91"/>
      <c r="G45" s="91"/>
      <c r="H45" s="91"/>
    </row>
    <row r="46" spans="1:8" x14ac:dyDescent="0.2">
      <c r="A46" s="98" t="s">
        <v>8</v>
      </c>
      <c r="D46" s="98" t="s">
        <v>8</v>
      </c>
      <c r="E46" s="91"/>
      <c r="F46" s="98" t="s">
        <v>7</v>
      </c>
      <c r="G46" s="91"/>
      <c r="H46" s="102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101"/>
      <c r="B50" s="101"/>
      <c r="C50" s="91"/>
      <c r="D50" s="101"/>
      <c r="E50" s="91"/>
      <c r="F50" s="101"/>
      <c r="G50" s="101"/>
      <c r="H50" s="101"/>
    </row>
    <row r="51" spans="1:8" s="3" customFormat="1" ht="17.100000000000001" customHeight="1" x14ac:dyDescent="0.2">
      <c r="A51" s="209" t="s">
        <v>4066</v>
      </c>
      <c r="B51" s="104"/>
      <c r="C51" s="104"/>
      <c r="D51" s="209" t="s">
        <v>50</v>
      </c>
      <c r="E51" s="61"/>
      <c r="F51" s="61" t="s">
        <v>3</v>
      </c>
      <c r="G51" s="61"/>
      <c r="H51" s="61"/>
    </row>
    <row r="52" spans="1:8" x14ac:dyDescent="0.2">
      <c r="A52" s="91"/>
      <c r="B52" s="91"/>
      <c r="C52" s="91"/>
      <c r="D52" s="91"/>
      <c r="E52" s="91"/>
      <c r="F52" s="91" t="s">
        <v>2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47">
    <pageSetUpPr fitToPage="1"/>
  </sheetPr>
  <dimension ref="A1:F54"/>
  <sheetViews>
    <sheetView topLeftCell="A25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4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2720</v>
      </c>
      <c r="D9" s="92" t="s">
        <v>1358</v>
      </c>
      <c r="E9" s="91" t="s">
        <v>7133</v>
      </c>
    </row>
    <row r="10" spans="1:6" x14ac:dyDescent="0.2">
      <c r="A10" s="91" t="s">
        <v>2721</v>
      </c>
      <c r="D10" s="92" t="s">
        <v>1357</v>
      </c>
      <c r="E10" s="92" t="s">
        <v>7134</v>
      </c>
    </row>
    <row r="11" spans="1:6" x14ac:dyDescent="0.2">
      <c r="A11" s="91" t="s">
        <v>2722</v>
      </c>
      <c r="D11" s="92" t="s">
        <v>1330</v>
      </c>
      <c r="E11" s="92" t="s">
        <v>1220</v>
      </c>
    </row>
    <row r="12" spans="1:6" x14ac:dyDescent="0.2">
      <c r="A12" s="91" t="s">
        <v>1015</v>
      </c>
      <c r="D12" s="92" t="s">
        <v>1224</v>
      </c>
      <c r="E12" s="92" t="s">
        <v>7132</v>
      </c>
    </row>
    <row r="13" spans="1:6" x14ac:dyDescent="0.2">
      <c r="A13" s="91" t="s">
        <v>2723</v>
      </c>
    </row>
    <row r="14" spans="1:6" x14ac:dyDescent="0.2">
      <c r="A14" s="91" t="s">
        <v>2724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/>
    </row>
    <row r="19" spans="1:6" x14ac:dyDescent="0.2">
      <c r="A19" s="94" t="s">
        <v>7071</v>
      </c>
      <c r="B19" s="93" t="s">
        <v>7135</v>
      </c>
      <c r="C19" s="91" t="s">
        <v>7136</v>
      </c>
      <c r="F19" s="91">
        <v>450</v>
      </c>
    </row>
    <row r="20" spans="1:6" x14ac:dyDescent="0.2">
      <c r="A20" s="93"/>
      <c r="B20" s="93"/>
      <c r="C20" s="91" t="s">
        <v>7137</v>
      </c>
    </row>
    <row r="21" spans="1:6" x14ac:dyDescent="0.2">
      <c r="A21" s="93"/>
      <c r="B21" s="93"/>
    </row>
    <row r="22" spans="1:6" x14ac:dyDescent="0.2">
      <c r="A22" s="93"/>
      <c r="B22" s="93"/>
    </row>
    <row r="23" spans="1:6" x14ac:dyDescent="0.2">
      <c r="B23" s="99"/>
    </row>
    <row r="24" spans="1:6" x14ac:dyDescent="0.2">
      <c r="B24" s="93"/>
    </row>
    <row r="25" spans="1:6" x14ac:dyDescent="0.2">
      <c r="B25" s="99"/>
    </row>
    <row r="26" spans="1:6" x14ac:dyDescent="0.2">
      <c r="B26" s="99"/>
    </row>
    <row r="27" spans="1:6" x14ac:dyDescent="0.2">
      <c r="B27" s="93"/>
    </row>
    <row r="28" spans="1:6" x14ac:dyDescent="0.2">
      <c r="B28" s="99"/>
    </row>
    <row r="29" spans="1:6" x14ac:dyDescent="0.2">
      <c r="B29" s="99"/>
      <c r="F29" s="2"/>
    </row>
    <row r="30" spans="1:6" x14ac:dyDescent="0.2">
      <c r="B30" s="93"/>
    </row>
    <row r="31" spans="1:6" x14ac:dyDescent="0.2">
      <c r="B31" s="94"/>
    </row>
    <row r="33" spans="1:6" ht="13.5" thickBot="1" x14ac:dyDescent="0.25">
      <c r="F33" s="95">
        <f>SUM(F18:F32)</f>
        <v>450</v>
      </c>
    </row>
    <row r="34" spans="1:6" ht="13.5" thickTop="1" x14ac:dyDescent="0.2"/>
    <row r="35" spans="1:6" ht="20.100000000000001" customHeight="1" x14ac:dyDescent="0.2">
      <c r="A35" s="96" t="s">
        <v>336</v>
      </c>
      <c r="B35" s="96"/>
      <c r="C35" s="97"/>
      <c r="D35" s="97"/>
      <c r="E35" s="97"/>
      <c r="F35" s="97"/>
    </row>
    <row r="36" spans="1:6" x14ac:dyDescent="0.2">
      <c r="A36" s="94"/>
      <c r="F36" s="209"/>
    </row>
    <row r="37" spans="1:6" ht="25.5" x14ac:dyDescent="0.2">
      <c r="A37" s="103" t="s">
        <v>10</v>
      </c>
      <c r="D37" s="218" t="s">
        <v>3975</v>
      </c>
      <c r="E37" s="219"/>
      <c r="F37" s="220"/>
    </row>
    <row r="38" spans="1:6" x14ac:dyDescent="0.2">
      <c r="A38" s="98"/>
    </row>
    <row r="39" spans="1:6" x14ac:dyDescent="0.2">
      <c r="A39" s="98"/>
    </row>
    <row r="40" spans="1:6" x14ac:dyDescent="0.2">
      <c r="A40" s="98"/>
    </row>
    <row r="41" spans="1:6" x14ac:dyDescent="0.2">
      <c r="A41" s="98"/>
      <c r="C41" s="99"/>
      <c r="D41" s="227"/>
      <c r="E41" s="227"/>
      <c r="F41" s="227"/>
    </row>
    <row r="42" spans="1:6" x14ac:dyDescent="0.2">
      <c r="A42" s="100"/>
      <c r="B42" s="101"/>
      <c r="D42" s="228"/>
      <c r="E42" s="229"/>
      <c r="F42" s="229"/>
    </row>
    <row r="44" spans="1:6" x14ac:dyDescent="0.2">
      <c r="A44" s="91" t="s">
        <v>4302</v>
      </c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2-000000000000}">
  <sheetPr codeName="Sheet187"/>
  <dimension ref="A1:M53"/>
  <sheetViews>
    <sheetView view="pageBreakPreview" topLeftCell="A4" zoomScaleNormal="100" zoomScaleSheetLayoutView="100" workbookViewId="0">
      <selection activeCell="F18" sqref="F18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5703125" style="91" customWidth="1"/>
    <col min="4" max="4" width="21" style="91" customWidth="1"/>
    <col min="5" max="5" width="1.42578125" style="91" customWidth="1"/>
    <col min="6" max="6" width="14" style="91" customWidth="1"/>
    <col min="7" max="7" width="8" style="91" customWidth="1"/>
    <col min="8" max="8" width="12.85546875" style="91" customWidth="1"/>
    <col min="9" max="12" width="9.140625" style="1"/>
    <col min="13" max="13" width="9.42578125" style="1" bestFit="1" customWidth="1"/>
    <col min="14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8910</v>
      </c>
    </row>
    <row r="10" spans="1:8" x14ac:dyDescent="0.2">
      <c r="A10" s="91" t="s">
        <v>2101</v>
      </c>
      <c r="F10" s="92" t="s">
        <v>1329</v>
      </c>
      <c r="G10" s="94" t="s">
        <v>8898</v>
      </c>
    </row>
    <row r="11" spans="1:8" x14ac:dyDescent="0.2">
      <c r="F11" s="92" t="s">
        <v>1330</v>
      </c>
      <c r="G11" s="91" t="s">
        <v>1220</v>
      </c>
    </row>
    <row r="12" spans="1:8" x14ac:dyDescent="0.2">
      <c r="F12" s="92" t="s">
        <v>1377</v>
      </c>
      <c r="G12" s="91" t="s">
        <v>8911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91" t="s">
        <v>3950</v>
      </c>
    </row>
    <row r="19" spans="1:8" x14ac:dyDescent="0.2">
      <c r="A19" s="106"/>
      <c r="D19" s="91" t="s">
        <v>8909</v>
      </c>
    </row>
    <row r="20" spans="1:8" x14ac:dyDescent="0.2">
      <c r="A20" s="92"/>
      <c r="B20" s="93"/>
      <c r="C20" s="93"/>
    </row>
    <row r="21" spans="1:8" x14ac:dyDescent="0.2">
      <c r="A21" s="106"/>
      <c r="D21" s="94" t="s">
        <v>2098</v>
      </c>
      <c r="E21" s="94"/>
      <c r="H21" s="91">
        <v>5043.8</v>
      </c>
    </row>
    <row r="22" spans="1:8" x14ac:dyDescent="0.2">
      <c r="A22" s="106"/>
    </row>
    <row r="23" spans="1:8" x14ac:dyDescent="0.2">
      <c r="A23" s="93"/>
      <c r="B23" s="93"/>
      <c r="C23" s="93"/>
    </row>
    <row r="24" spans="1:8" x14ac:dyDescent="0.2">
      <c r="A24" s="93"/>
      <c r="B24" s="93"/>
      <c r="C24" s="93"/>
    </row>
    <row r="25" spans="1:8" x14ac:dyDescent="0.2">
      <c r="A25" s="1"/>
      <c r="B25" s="1"/>
      <c r="C25" s="1"/>
      <c r="D25" s="94"/>
      <c r="E25" s="94"/>
    </row>
    <row r="26" spans="1:8" x14ac:dyDescent="0.2">
      <c r="A26" s="1"/>
      <c r="B26" s="1"/>
      <c r="C26" s="1"/>
    </row>
    <row r="27" spans="1:8" x14ac:dyDescent="0.2">
      <c r="A27" s="1"/>
      <c r="B27" s="1"/>
      <c r="C27" s="1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13" ht="13.5" thickBot="1" x14ac:dyDescent="0.25">
      <c r="A33" s="106"/>
      <c r="H33" s="107">
        <f>SUM(H19:H31)</f>
        <v>5043.8</v>
      </c>
    </row>
    <row r="34" spans="1:13" ht="13.5" thickTop="1" x14ac:dyDescent="0.2">
      <c r="A34" s="106"/>
    </row>
    <row r="35" spans="1:13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Thousand Forty-Three and 80/100 -----------</v>
      </c>
      <c r="C35" s="185"/>
      <c r="D35" s="97"/>
      <c r="E35" s="97"/>
      <c r="F35" s="97"/>
      <c r="G35" s="222"/>
      <c r="H35" s="222"/>
      <c r="L35" s="26"/>
      <c r="M35" s="26"/>
    </row>
    <row r="36" spans="1:13" ht="20.100000000000001" customHeight="1" x14ac:dyDescent="0.2">
      <c r="A36" s="113"/>
      <c r="B36" s="103"/>
      <c r="C36" s="103"/>
      <c r="D36" s="61"/>
      <c r="E36" s="61"/>
      <c r="F36" s="61"/>
      <c r="G36" s="222"/>
      <c r="H36" s="222"/>
    </row>
    <row r="37" spans="1:13" ht="25.5" x14ac:dyDescent="0.2">
      <c r="A37" s="94" t="s">
        <v>3973</v>
      </c>
      <c r="F37" s="218" t="s">
        <v>3975</v>
      </c>
      <c r="G37" s="219"/>
      <c r="H37" s="220"/>
    </row>
    <row r="38" spans="1:13" x14ac:dyDescent="0.2">
      <c r="F38" s="228"/>
      <c r="G38" s="229"/>
      <c r="H38" s="229"/>
    </row>
    <row r="39" spans="1:13" x14ac:dyDescent="0.2">
      <c r="A39" s="1"/>
      <c r="E39" s="99"/>
    </row>
    <row r="40" spans="1:13" x14ac:dyDescent="0.2">
      <c r="A40" s="91" t="s">
        <v>120</v>
      </c>
      <c r="E40" s="99"/>
    </row>
    <row r="41" spans="1:13" x14ac:dyDescent="0.2">
      <c r="A41" s="101"/>
      <c r="B41" s="101"/>
    </row>
    <row r="44" spans="1:13" x14ac:dyDescent="0.2">
      <c r="A44" s="91" t="s">
        <v>8</v>
      </c>
      <c r="D44" s="91" t="s">
        <v>8</v>
      </c>
      <c r="F44" s="98" t="s">
        <v>7</v>
      </c>
      <c r="H44" s="102"/>
    </row>
    <row r="48" spans="1:13" x14ac:dyDescent="0.2">
      <c r="A48" s="101"/>
      <c r="B48" s="101"/>
      <c r="D48" s="101"/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2-000000000000}">
  <sheetPr codeName="Sheet268">
    <pageSetUpPr fitToPage="1"/>
  </sheetPr>
  <dimension ref="A1:P52"/>
  <sheetViews>
    <sheetView view="pageBreakPreview" zoomScale="115" zoomScaleNormal="100" zoomScaleSheetLayoutView="115" workbookViewId="0">
      <selection activeCell="B23" sqref="B2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F9" s="92" t="s">
        <v>1317</v>
      </c>
      <c r="G9" s="91" t="s">
        <v>6450</v>
      </c>
      <c r="J9" s="1" t="s">
        <v>5969</v>
      </c>
      <c r="K9" s="1">
        <v>43004</v>
      </c>
      <c r="M9" s="1" t="s">
        <v>5968</v>
      </c>
    </row>
    <row r="10" spans="1:13" x14ac:dyDescent="0.2">
      <c r="A10" s="91" t="s">
        <v>2101</v>
      </c>
      <c r="F10" s="92" t="s">
        <v>1329</v>
      </c>
      <c r="G10" s="92" t="s">
        <v>6448</v>
      </c>
    </row>
    <row r="11" spans="1:13" x14ac:dyDescent="0.2">
      <c r="F11" s="92" t="s">
        <v>1330</v>
      </c>
      <c r="G11" s="92" t="s">
        <v>1220</v>
      </c>
    </row>
    <row r="12" spans="1:13" x14ac:dyDescent="0.2">
      <c r="F12" s="92" t="s">
        <v>1377</v>
      </c>
      <c r="G12" s="92" t="s">
        <v>6449</v>
      </c>
    </row>
    <row r="16" spans="1:13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L16" s="14" t="s">
        <v>4643</v>
      </c>
    </row>
    <row r="17" spans="1:16" x14ac:dyDescent="0.2">
      <c r="A17" s="106"/>
    </row>
    <row r="18" spans="1:16" x14ac:dyDescent="0.2">
      <c r="D18" s="2" t="s">
        <v>4643</v>
      </c>
      <c r="E18" s="2"/>
      <c r="L18" s="1" t="s">
        <v>4644</v>
      </c>
      <c r="P18" s="1">
        <v>22000</v>
      </c>
    </row>
    <row r="19" spans="1:16" x14ac:dyDescent="0.2">
      <c r="A19" s="106"/>
      <c r="L19" s="1" t="s">
        <v>4645</v>
      </c>
    </row>
    <row r="20" spans="1:16" x14ac:dyDescent="0.2">
      <c r="A20" s="92"/>
      <c r="B20" s="93"/>
      <c r="C20" s="93"/>
      <c r="D20" s="94" t="s">
        <v>5970</v>
      </c>
      <c r="E20" s="94"/>
      <c r="H20" s="91">
        <v>9500.35</v>
      </c>
    </row>
    <row r="21" spans="1:16" x14ac:dyDescent="0.2">
      <c r="A21" s="92"/>
      <c r="B21" s="93"/>
      <c r="C21" s="93"/>
      <c r="D21" s="94" t="s">
        <v>5971</v>
      </c>
      <c r="E21" s="94"/>
      <c r="L21" s="1" t="s">
        <v>5629</v>
      </c>
    </row>
    <row r="22" spans="1:16" x14ac:dyDescent="0.2">
      <c r="A22" s="92"/>
      <c r="B22" s="93"/>
      <c r="C22" s="93"/>
      <c r="D22" s="94"/>
      <c r="E22" s="94"/>
    </row>
    <row r="23" spans="1:16" x14ac:dyDescent="0.2">
      <c r="A23" s="92"/>
      <c r="B23" s="93"/>
      <c r="C23" s="93"/>
      <c r="D23" s="94" t="s">
        <v>5972</v>
      </c>
      <c r="E23" s="94"/>
    </row>
    <row r="24" spans="1:16" x14ac:dyDescent="0.2">
      <c r="A24" s="106"/>
      <c r="D24" s="94"/>
      <c r="E24" s="94"/>
    </row>
    <row r="25" spans="1:16" x14ac:dyDescent="0.2">
      <c r="A25" s="106"/>
    </row>
    <row r="26" spans="1:16" x14ac:dyDescent="0.2">
      <c r="A26" s="106"/>
    </row>
    <row r="28" spans="1:16" x14ac:dyDescent="0.2">
      <c r="A28" s="93"/>
      <c r="B28" s="93"/>
      <c r="C28" s="93"/>
    </row>
    <row r="29" spans="1:16" x14ac:dyDescent="0.2">
      <c r="A29" s="1"/>
      <c r="B29" s="1"/>
      <c r="C29" s="1"/>
      <c r="D29" s="94"/>
      <c r="E29" s="94"/>
    </row>
    <row r="30" spans="1:16" x14ac:dyDescent="0.2">
      <c r="A30" s="1"/>
      <c r="B30" s="1"/>
      <c r="C30" s="1"/>
      <c r="D30" s="94"/>
      <c r="E30" s="94"/>
    </row>
    <row r="31" spans="1:16" x14ac:dyDescent="0.2">
      <c r="A31" s="1"/>
      <c r="B31" s="1"/>
      <c r="C31" s="1"/>
    </row>
    <row r="32" spans="1:16" x14ac:dyDescent="0.2">
      <c r="A32" s="106"/>
    </row>
    <row r="33" spans="1:8" ht="13.5" thickBot="1" x14ac:dyDescent="0.25">
      <c r="A33" s="106"/>
      <c r="H33" s="107">
        <f>SUM(H19:H31)</f>
        <v>9500.35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Nine Thousand Five Hundred and 35/100 -----------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1"/>
      <c r="G39" s="1"/>
      <c r="H39" s="1"/>
    </row>
    <row r="40" spans="1:8" x14ac:dyDescent="0.2">
      <c r="A40" s="91" t="s">
        <v>120</v>
      </c>
      <c r="D40" s="99"/>
      <c r="E40" s="99"/>
    </row>
    <row r="41" spans="1:8" x14ac:dyDescent="0.2">
      <c r="A41" s="101"/>
      <c r="B41" s="101"/>
      <c r="D41" s="99"/>
      <c r="E41" s="99"/>
    </row>
    <row r="42" spans="1:8" x14ac:dyDescent="0.2">
      <c r="F42" s="227"/>
      <c r="G42" s="227"/>
      <c r="H42" s="227"/>
    </row>
    <row r="43" spans="1:8" x14ac:dyDescent="0.2">
      <c r="A43" s="91" t="s">
        <v>8</v>
      </c>
      <c r="D43" s="91" t="s">
        <v>8</v>
      </c>
      <c r="F43" s="98" t="s">
        <v>7</v>
      </c>
      <c r="G43" s="229"/>
      <c r="H43" s="229"/>
    </row>
    <row r="44" spans="1:8" x14ac:dyDescent="0.2">
      <c r="A44" s="1"/>
      <c r="D44" s="1"/>
    </row>
    <row r="47" spans="1:8" x14ac:dyDescent="0.2">
      <c r="A47" s="101" t="s">
        <v>120</v>
      </c>
      <c r="B47" s="101"/>
      <c r="D47" s="101" t="s">
        <v>120</v>
      </c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2-000000000000}">
  <sheetPr codeName="Sheet613">
    <pageSetUpPr fitToPage="1"/>
  </sheetPr>
  <dimension ref="A1:P53"/>
  <sheetViews>
    <sheetView view="pageBreakPreview" topLeftCell="A10" zoomScale="115" zoomScaleNormal="100" zoomScaleSheetLayoutView="115" workbookViewId="0">
      <selection activeCell="I13" sqref="I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4" x14ac:dyDescent="0.2">
      <c r="A8" s="91" t="s">
        <v>32</v>
      </c>
      <c r="F8" s="22" t="s">
        <v>31</v>
      </c>
    </row>
    <row r="9" spans="1:14" x14ac:dyDescent="0.2">
      <c r="F9" s="92" t="s">
        <v>1317</v>
      </c>
      <c r="G9" s="91" t="s">
        <v>7983</v>
      </c>
      <c r="J9" s="1" t="s">
        <v>7983</v>
      </c>
      <c r="K9" s="1">
        <v>43770</v>
      </c>
      <c r="M9" s="1" t="s">
        <v>7984</v>
      </c>
    </row>
    <row r="10" spans="1:14" x14ac:dyDescent="0.2">
      <c r="A10" s="91" t="s">
        <v>2101</v>
      </c>
      <c r="F10" s="92" t="s">
        <v>1329</v>
      </c>
      <c r="G10" s="92" t="s">
        <v>7982</v>
      </c>
      <c r="J10" s="1" t="s">
        <v>7710</v>
      </c>
      <c r="K10" s="1">
        <v>43678</v>
      </c>
      <c r="M10" s="1" t="s">
        <v>7711</v>
      </c>
    </row>
    <row r="11" spans="1:14" x14ac:dyDescent="0.2">
      <c r="F11" s="92" t="s">
        <v>1330</v>
      </c>
      <c r="G11" s="92" t="s">
        <v>1220</v>
      </c>
    </row>
    <row r="12" spans="1:14" x14ac:dyDescent="0.2">
      <c r="F12" s="92" t="s">
        <v>1377</v>
      </c>
      <c r="G12" s="92" t="s">
        <v>7985</v>
      </c>
      <c r="K12" s="1" t="s">
        <v>6902</v>
      </c>
      <c r="L12" s="1">
        <v>43382</v>
      </c>
      <c r="N12" s="1" t="s">
        <v>6903</v>
      </c>
    </row>
    <row r="16" spans="1:14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L16" s="14" t="s">
        <v>4643</v>
      </c>
    </row>
    <row r="17" spans="1:16" x14ac:dyDescent="0.2">
      <c r="A17" s="106"/>
    </row>
    <row r="18" spans="1:16" x14ac:dyDescent="0.2">
      <c r="D18" s="2" t="s">
        <v>4643</v>
      </c>
      <c r="E18" s="2"/>
      <c r="L18" s="1" t="s">
        <v>4644</v>
      </c>
      <c r="P18" s="1">
        <v>22000</v>
      </c>
    </row>
    <row r="19" spans="1:16" x14ac:dyDescent="0.2">
      <c r="A19" s="106"/>
      <c r="L19" s="1" t="s">
        <v>4645</v>
      </c>
    </row>
    <row r="20" spans="1:16" x14ac:dyDescent="0.2">
      <c r="A20" s="92"/>
      <c r="B20" s="93"/>
      <c r="C20" s="93"/>
      <c r="D20" s="94" t="s">
        <v>4644</v>
      </c>
      <c r="E20" s="94"/>
      <c r="H20" s="91">
        <v>7182.33</v>
      </c>
    </row>
    <row r="21" spans="1:16" x14ac:dyDescent="0.2">
      <c r="A21" s="92"/>
      <c r="B21" s="93"/>
      <c r="C21" s="93"/>
      <c r="D21" s="94" t="s">
        <v>4645</v>
      </c>
      <c r="E21" s="94"/>
      <c r="L21" s="1" t="s">
        <v>5629</v>
      </c>
    </row>
    <row r="22" spans="1:16" x14ac:dyDescent="0.2">
      <c r="A22" s="92"/>
      <c r="B22" s="93"/>
      <c r="C22" s="93"/>
      <c r="D22" s="94"/>
      <c r="E22" s="94"/>
    </row>
    <row r="23" spans="1:16" x14ac:dyDescent="0.2">
      <c r="A23" s="92"/>
      <c r="B23" s="93"/>
      <c r="C23" s="93"/>
      <c r="D23" s="94" t="s">
        <v>7986</v>
      </c>
      <c r="E23" s="94"/>
    </row>
    <row r="24" spans="1:16" x14ac:dyDescent="0.2">
      <c r="A24" s="106"/>
      <c r="D24" s="94"/>
      <c r="E24" s="94"/>
    </row>
    <row r="25" spans="1:16" x14ac:dyDescent="0.2">
      <c r="A25" s="106"/>
    </row>
    <row r="26" spans="1:16" x14ac:dyDescent="0.2">
      <c r="A26" s="106"/>
    </row>
    <row r="28" spans="1:16" x14ac:dyDescent="0.2">
      <c r="A28" s="93"/>
      <c r="B28" s="93"/>
      <c r="C28" s="93"/>
    </row>
    <row r="29" spans="1:16" x14ac:dyDescent="0.2">
      <c r="A29" s="1"/>
      <c r="B29" s="1"/>
      <c r="C29" s="1"/>
      <c r="D29" s="94"/>
      <c r="E29" s="94"/>
    </row>
    <row r="30" spans="1:16" x14ac:dyDescent="0.2">
      <c r="A30" s="1"/>
      <c r="B30" s="1"/>
      <c r="C30" s="1"/>
      <c r="D30" s="94"/>
      <c r="E30" s="94"/>
    </row>
    <row r="31" spans="1:16" x14ac:dyDescent="0.2">
      <c r="A31" s="1"/>
      <c r="B31" s="1"/>
      <c r="C31" s="1"/>
    </row>
    <row r="32" spans="1:16" x14ac:dyDescent="0.2">
      <c r="A32" s="106"/>
    </row>
    <row r="33" spans="1:8" ht="13.5" thickBot="1" x14ac:dyDescent="0.25">
      <c r="A33" s="106"/>
      <c r="H33" s="107">
        <f>SUM(H19:H31)</f>
        <v>7182.33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 Thousand One Hundred Eighty-Two and 33/100 -----------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8" spans="1:8" x14ac:dyDescent="0.2">
      <c r="D38" s="1"/>
    </row>
    <row r="39" spans="1:8" x14ac:dyDescent="0.2">
      <c r="F39" s="1"/>
      <c r="G39" s="1"/>
      <c r="H39" s="1"/>
    </row>
    <row r="40" spans="1:8" x14ac:dyDescent="0.2">
      <c r="A40" s="91" t="s">
        <v>120</v>
      </c>
      <c r="E40" s="99"/>
    </row>
    <row r="41" spans="1:8" x14ac:dyDescent="0.2">
      <c r="A41" s="101"/>
      <c r="B41" s="101"/>
      <c r="E41" s="99"/>
    </row>
    <row r="42" spans="1:8" x14ac:dyDescent="0.2">
      <c r="F42" s="227"/>
      <c r="G42" s="227"/>
      <c r="H42" s="227"/>
    </row>
    <row r="43" spans="1:8" x14ac:dyDescent="0.2">
      <c r="F43" s="227"/>
      <c r="G43" s="227"/>
      <c r="H43" s="227"/>
    </row>
    <row r="44" spans="1:8" x14ac:dyDescent="0.2">
      <c r="A44" s="91" t="s">
        <v>8</v>
      </c>
      <c r="D44" s="91" t="s">
        <v>8</v>
      </c>
      <c r="F44" s="98" t="s">
        <v>7</v>
      </c>
      <c r="G44" s="229"/>
      <c r="H44" s="229"/>
    </row>
    <row r="45" spans="1:8" x14ac:dyDescent="0.2">
      <c r="A45" s="1"/>
      <c r="D45" s="1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2-000000000000}">
  <sheetPr codeName="Sheet206">
    <pageSetUpPr fitToPage="1"/>
  </sheetPr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6714</v>
      </c>
    </row>
    <row r="10" spans="1:6" x14ac:dyDescent="0.2">
      <c r="A10" s="91" t="s">
        <v>5419</v>
      </c>
      <c r="D10" s="92" t="s">
        <v>1329</v>
      </c>
      <c r="E10" s="92" t="s">
        <v>6682</v>
      </c>
    </row>
    <row r="11" spans="1:6" x14ac:dyDescent="0.2">
      <c r="A11" s="91" t="s">
        <v>5420</v>
      </c>
      <c r="D11" s="92" t="s">
        <v>1330</v>
      </c>
      <c r="E11" s="92" t="s">
        <v>1220</v>
      </c>
    </row>
    <row r="12" spans="1:6" x14ac:dyDescent="0.2">
      <c r="A12" s="91" t="s">
        <v>5421</v>
      </c>
      <c r="D12" s="92" t="s">
        <v>1377</v>
      </c>
      <c r="E12" s="92" t="s">
        <v>6715</v>
      </c>
    </row>
    <row r="13" spans="1:6" x14ac:dyDescent="0.2">
      <c r="A13" s="91" t="s">
        <v>5422</v>
      </c>
    </row>
    <row r="14" spans="1:6" x14ac:dyDescent="0.2">
      <c r="A14" s="91" t="s">
        <v>5423</v>
      </c>
    </row>
    <row r="15" spans="1:6" x14ac:dyDescent="0.2">
      <c r="A15" s="91" t="s">
        <v>701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9" spans="1:6" x14ac:dyDescent="0.2">
      <c r="A19" s="106"/>
      <c r="C19" s="2" t="s">
        <v>3317</v>
      </c>
    </row>
    <row r="20" spans="1:6" x14ac:dyDescent="0.2">
      <c r="A20" s="92"/>
      <c r="B20" s="93"/>
      <c r="C20" s="2" t="s">
        <v>6716</v>
      </c>
    </row>
    <row r="21" spans="1:6" x14ac:dyDescent="0.2">
      <c r="A21" s="106"/>
      <c r="C21" s="94"/>
    </row>
    <row r="22" spans="1:6" x14ac:dyDescent="0.2">
      <c r="A22" s="286" t="s">
        <v>5427</v>
      </c>
      <c r="C22" s="94" t="s">
        <v>5424</v>
      </c>
      <c r="F22" s="91">
        <v>183.34</v>
      </c>
    </row>
    <row r="23" spans="1:6" x14ac:dyDescent="0.2">
      <c r="A23" s="287"/>
      <c r="C23" s="91" t="s">
        <v>5425</v>
      </c>
    </row>
    <row r="24" spans="1:6" x14ac:dyDescent="0.2">
      <c r="A24" s="287"/>
    </row>
    <row r="25" spans="1:6" x14ac:dyDescent="0.2">
      <c r="A25" s="286" t="s">
        <v>5428</v>
      </c>
      <c r="C25" s="94" t="s">
        <v>5424</v>
      </c>
      <c r="F25" s="91">
        <v>178.75</v>
      </c>
    </row>
    <row r="26" spans="1:6" x14ac:dyDescent="0.2">
      <c r="A26" s="287"/>
      <c r="C26" s="91" t="s">
        <v>5426</v>
      </c>
    </row>
    <row r="27" spans="1:6" x14ac:dyDescent="0.2">
      <c r="A27" s="106"/>
    </row>
    <row r="28" spans="1:6" x14ac:dyDescent="0.2">
      <c r="A28" s="106"/>
    </row>
    <row r="30" spans="1:6" x14ac:dyDescent="0.2">
      <c r="A30" s="93"/>
      <c r="B30" s="93"/>
      <c r="C30" s="94"/>
    </row>
    <row r="31" spans="1:6" x14ac:dyDescent="0.2">
      <c r="A31" s="1"/>
      <c r="B31" s="1"/>
      <c r="C31" s="94"/>
    </row>
    <row r="32" spans="1:6" x14ac:dyDescent="0.2">
      <c r="A32" s="1"/>
      <c r="B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06"/>
      <c r="F34" s="1"/>
    </row>
    <row r="35" spans="1:6" ht="13.5" thickBot="1" x14ac:dyDescent="0.25">
      <c r="A35" s="106"/>
      <c r="F35" s="107">
        <f>SUM(F19:F33)</f>
        <v>362.09000000000003</v>
      </c>
    </row>
    <row r="36" spans="1:6" ht="13.5" thickTop="1" x14ac:dyDescent="0.2">
      <c r="A36" s="106"/>
    </row>
    <row r="37" spans="1:6" ht="20.100000000000001" customHeight="1" x14ac:dyDescent="0.2">
      <c r="A37" s="96" t="s">
        <v>1248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Sixty-Two and 9/100 -----------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94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3" customFormat="1" ht="17.100000000000001" customHeight="1" x14ac:dyDescent="0.2">
      <c r="A50" s="91" t="s">
        <v>4066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2-000000000000}">
  <sheetPr codeName="Sheet295">
    <pageSetUpPr fitToPage="1"/>
  </sheetPr>
  <dimension ref="A1:H52"/>
  <sheetViews>
    <sheetView tabSelected="1" workbookViewId="0">
      <selection activeCell="J19" sqref="J19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7109375" style="91" customWidth="1"/>
    <col min="4" max="4" width="21" style="91" customWidth="1"/>
    <col min="5" max="5" width="1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10" t="s">
        <v>8998</v>
      </c>
    </row>
    <row r="10" spans="1:8" x14ac:dyDescent="0.2">
      <c r="A10" s="91" t="s">
        <v>2101</v>
      </c>
      <c r="F10" s="92" t="s">
        <v>1329</v>
      </c>
      <c r="G10" s="370" t="s">
        <v>9000</v>
      </c>
    </row>
    <row r="11" spans="1:8" x14ac:dyDescent="0.2">
      <c r="F11" s="92" t="s">
        <v>1330</v>
      </c>
      <c r="G11" s="370" t="s">
        <v>1220</v>
      </c>
    </row>
    <row r="12" spans="1:8" x14ac:dyDescent="0.2">
      <c r="F12" s="92" t="s">
        <v>1377</v>
      </c>
      <c r="G12" s="370" t="s">
        <v>8999</v>
      </c>
    </row>
    <row r="13" spans="1:8" x14ac:dyDescent="0.2">
      <c r="G13" s="91" t="s">
        <v>7762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1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9" spans="1:8" x14ac:dyDescent="0.2">
      <c r="A19" s="106"/>
      <c r="D19" s="91" t="s">
        <v>8543</v>
      </c>
    </row>
    <row r="20" spans="1:8" x14ac:dyDescent="0.2">
      <c r="A20" s="92"/>
      <c r="B20" s="93"/>
      <c r="C20" s="93"/>
      <c r="D20" s="94"/>
      <c r="E20" s="94"/>
    </row>
    <row r="21" spans="1:8" x14ac:dyDescent="0.2">
      <c r="A21" s="92"/>
      <c r="B21" s="93"/>
      <c r="C21" s="93"/>
      <c r="D21" s="94" t="s">
        <v>8997</v>
      </c>
      <c r="E21" s="94"/>
      <c r="H21" s="91">
        <v>132</v>
      </c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132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Thirty-Two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B37" s="91" t="s">
        <v>658</v>
      </c>
      <c r="F37" s="218" t="s">
        <v>3975</v>
      </c>
      <c r="G37" s="219"/>
      <c r="H37" s="220"/>
    </row>
    <row r="39" spans="1:8" x14ac:dyDescent="0.2">
      <c r="F39" s="227"/>
      <c r="G39" s="227"/>
      <c r="H39" s="227"/>
    </row>
    <row r="40" spans="1:8" x14ac:dyDescent="0.2">
      <c r="A40" s="91" t="s">
        <v>120</v>
      </c>
      <c r="D40" s="99"/>
      <c r="E40" s="412"/>
      <c r="F40" s="228"/>
      <c r="G40" s="229"/>
      <c r="H40" s="229"/>
    </row>
    <row r="41" spans="1:8" x14ac:dyDescent="0.2">
      <c r="A41" s="23"/>
      <c r="B41" s="101"/>
      <c r="C41" s="386"/>
    </row>
    <row r="43" spans="1:8" x14ac:dyDescent="0.2">
      <c r="A43" s="91" t="s">
        <v>8</v>
      </c>
      <c r="D43" s="91" t="s">
        <v>8</v>
      </c>
      <c r="F43" s="98" t="s">
        <v>7</v>
      </c>
      <c r="H43" s="102"/>
    </row>
    <row r="47" spans="1:8" x14ac:dyDescent="0.2">
      <c r="A47" s="101"/>
      <c r="B47" s="101"/>
      <c r="C47" s="386"/>
      <c r="D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2-000000000000}">
  <sheetPr codeName="Sheet296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5721</v>
      </c>
    </row>
    <row r="10" spans="1:6" x14ac:dyDescent="0.2">
      <c r="A10" s="91" t="s">
        <v>2101</v>
      </c>
      <c r="D10" s="92" t="s">
        <v>1329</v>
      </c>
      <c r="E10" s="92" t="s">
        <v>5703</v>
      </c>
    </row>
    <row r="11" spans="1:6" x14ac:dyDescent="0.2">
      <c r="D11" s="92" t="s">
        <v>1330</v>
      </c>
      <c r="E11" s="92" t="s">
        <v>1220</v>
      </c>
    </row>
    <row r="12" spans="1:6" x14ac:dyDescent="0.2">
      <c r="D12" s="92" t="s">
        <v>1377</v>
      </c>
      <c r="E12" s="92" t="s">
        <v>5722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9" spans="1:6" x14ac:dyDescent="0.2">
      <c r="A19" s="106"/>
      <c r="C19" s="91" t="s">
        <v>3032</v>
      </c>
      <c r="F19" s="91">
        <v>52.04</v>
      </c>
    </row>
    <row r="20" spans="1:6" x14ac:dyDescent="0.2">
      <c r="A20" s="92"/>
      <c r="B20" s="93"/>
      <c r="C20" s="94" t="s">
        <v>5723</v>
      </c>
    </row>
    <row r="21" spans="1:6" x14ac:dyDescent="0.2">
      <c r="A21" s="92"/>
      <c r="B21" s="93"/>
      <c r="C21" s="94"/>
    </row>
    <row r="22" spans="1:6" x14ac:dyDescent="0.2">
      <c r="A22" s="92"/>
      <c r="B22" s="93"/>
      <c r="C22" s="94"/>
    </row>
    <row r="23" spans="1:6" x14ac:dyDescent="0.2">
      <c r="A23" s="92"/>
      <c r="B23" s="93"/>
      <c r="C23" s="94"/>
    </row>
    <row r="24" spans="1:6" x14ac:dyDescent="0.2">
      <c r="A24" s="92"/>
      <c r="B24" s="93"/>
      <c r="C24" s="94"/>
    </row>
    <row r="25" spans="1:6" x14ac:dyDescent="0.2">
      <c r="A25" s="106"/>
      <c r="C25" s="94"/>
    </row>
    <row r="26" spans="1:6" x14ac:dyDescent="0.2">
      <c r="A26" s="106"/>
    </row>
    <row r="27" spans="1:6" x14ac:dyDescent="0.2">
      <c r="A27" s="106"/>
    </row>
    <row r="29" spans="1:6" x14ac:dyDescent="0.2">
      <c r="A29" s="93"/>
      <c r="B29" s="93"/>
    </row>
    <row r="30" spans="1:6" x14ac:dyDescent="0.2">
      <c r="A30" s="1"/>
      <c r="B30" s="1"/>
      <c r="C30" s="94"/>
    </row>
    <row r="31" spans="1:6" x14ac:dyDescent="0.2">
      <c r="A31" s="1"/>
      <c r="B31" s="1"/>
      <c r="C31" s="94"/>
    </row>
    <row r="32" spans="1:6" x14ac:dyDescent="0.2">
      <c r="A32" s="1"/>
      <c r="B32" s="1"/>
    </row>
    <row r="33" spans="1:6" x14ac:dyDescent="0.2">
      <c r="A33" s="106"/>
    </row>
    <row r="34" spans="1:6" ht="13.5" thickBot="1" x14ac:dyDescent="0.25">
      <c r="A34" s="106"/>
      <c r="F34" s="107">
        <f>SUM(F19:F32)</f>
        <v>52.04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Fifty-Two and 4/100 -----------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6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2-000000000000}">
  <sheetPr codeName="Sheet587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5724</v>
      </c>
    </row>
    <row r="10" spans="1:6" x14ac:dyDescent="0.2">
      <c r="A10" s="91" t="s">
        <v>2101</v>
      </c>
      <c r="D10" s="92" t="s">
        <v>1329</v>
      </c>
      <c r="E10" s="92" t="s">
        <v>5703</v>
      </c>
    </row>
    <row r="11" spans="1:6" x14ac:dyDescent="0.2">
      <c r="D11" s="92" t="s">
        <v>1330</v>
      </c>
      <c r="E11" s="92" t="s">
        <v>1220</v>
      </c>
    </row>
    <row r="12" spans="1:6" x14ac:dyDescent="0.2">
      <c r="D12" s="92" t="s">
        <v>1377</v>
      </c>
      <c r="E12" s="92" t="s">
        <v>5725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9" spans="1:6" x14ac:dyDescent="0.2">
      <c r="A19" s="106"/>
      <c r="C19" s="91" t="s">
        <v>5726</v>
      </c>
      <c r="F19" s="91">
        <v>1486.12</v>
      </c>
    </row>
    <row r="20" spans="1:6" x14ac:dyDescent="0.2">
      <c r="A20" s="92"/>
      <c r="B20" s="93"/>
      <c r="C20" s="94"/>
    </row>
    <row r="21" spans="1:6" x14ac:dyDescent="0.2">
      <c r="A21" s="92"/>
      <c r="B21" s="93"/>
      <c r="C21" s="94"/>
    </row>
    <row r="22" spans="1:6" x14ac:dyDescent="0.2">
      <c r="A22" s="92"/>
      <c r="B22" s="93"/>
      <c r="C22" s="94"/>
    </row>
    <row r="23" spans="1:6" x14ac:dyDescent="0.2">
      <c r="A23" s="92"/>
      <c r="B23" s="93"/>
      <c r="C23" s="94"/>
    </row>
    <row r="24" spans="1:6" x14ac:dyDescent="0.2">
      <c r="A24" s="92"/>
      <c r="B24" s="93"/>
      <c r="C24" s="94"/>
    </row>
    <row r="25" spans="1:6" x14ac:dyDescent="0.2">
      <c r="A25" s="106"/>
      <c r="C25" s="94"/>
    </row>
    <row r="26" spans="1:6" x14ac:dyDescent="0.2">
      <c r="A26" s="106"/>
    </row>
    <row r="27" spans="1:6" x14ac:dyDescent="0.2">
      <c r="A27" s="106"/>
    </row>
    <row r="29" spans="1:6" x14ac:dyDescent="0.2">
      <c r="A29" s="93"/>
      <c r="B29" s="93"/>
    </row>
    <row r="30" spans="1:6" x14ac:dyDescent="0.2">
      <c r="A30" s="1"/>
      <c r="B30" s="1"/>
      <c r="C30" s="94"/>
    </row>
    <row r="31" spans="1:6" x14ac:dyDescent="0.2">
      <c r="A31" s="1"/>
      <c r="B31" s="1"/>
      <c r="C31" s="94"/>
    </row>
    <row r="32" spans="1:6" x14ac:dyDescent="0.2">
      <c r="A32" s="1"/>
      <c r="B32" s="1"/>
    </row>
    <row r="33" spans="1:6" x14ac:dyDescent="0.2">
      <c r="A33" s="106"/>
    </row>
    <row r="34" spans="1:6" ht="13.5" thickBot="1" x14ac:dyDescent="0.25">
      <c r="A34" s="106"/>
      <c r="F34" s="107">
        <f>SUM(F19:F32)</f>
        <v>1486.12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Four Hundred Eighty-Six and 12/100 -----------</v>
      </c>
      <c r="C36" s="97"/>
      <c r="D36" s="206"/>
      <c r="E36" s="206"/>
      <c r="F36" s="206"/>
    </row>
    <row r="37" spans="1:6" x14ac:dyDescent="0.2">
      <c r="A37" s="94"/>
    </row>
    <row r="38" spans="1:6" ht="25.5" x14ac:dyDescent="0.2">
      <c r="A38" s="91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</row>
    <row r="42" spans="1:6" x14ac:dyDescent="0.2">
      <c r="A42" s="101"/>
      <c r="B42" s="101"/>
    </row>
    <row r="44" spans="1:6" x14ac:dyDescent="0.2">
      <c r="A44" s="91" t="s">
        <v>8</v>
      </c>
      <c r="D44" s="98" t="s">
        <v>7</v>
      </c>
      <c r="F44" s="102"/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6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2-000000000000}">
  <sheetPr codeName="Sheet140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2003</v>
      </c>
    </row>
    <row r="10" spans="1:6" x14ac:dyDescent="0.2">
      <c r="A10" s="91" t="s">
        <v>1880</v>
      </c>
      <c r="D10" s="92" t="s">
        <v>1357</v>
      </c>
      <c r="E10" s="92" t="s">
        <v>2002</v>
      </c>
    </row>
    <row r="11" spans="1:6" x14ac:dyDescent="0.2">
      <c r="A11" s="91" t="s">
        <v>1881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2004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2005</v>
      </c>
    </row>
    <row r="19" spans="1:6" x14ac:dyDescent="0.2">
      <c r="A19" s="94"/>
      <c r="C19" s="2" t="s">
        <v>2006</v>
      </c>
    </row>
    <row r="20" spans="1:6" x14ac:dyDescent="0.2">
      <c r="A20" s="92"/>
      <c r="B20" s="93"/>
      <c r="C20" s="2" t="s">
        <v>2007</v>
      </c>
    </row>
    <row r="22" spans="1:6" x14ac:dyDescent="0.2">
      <c r="A22" s="92" t="s">
        <v>2008</v>
      </c>
      <c r="B22" s="93"/>
      <c r="C22" s="91" t="s">
        <v>2009</v>
      </c>
    </row>
    <row r="23" spans="1:6" x14ac:dyDescent="0.2">
      <c r="C23" s="91" t="s">
        <v>2010</v>
      </c>
      <c r="F23" s="91">
        <f>7*60</f>
        <v>420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420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2011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6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2-000000000000}">
  <sheetPr codeName="Sheet14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4.7109375" style="1" customWidth="1"/>
    <col min="2" max="2" width="15.85546875" style="1" customWidth="1"/>
    <col min="3" max="3" width="21" style="1" customWidth="1"/>
    <col min="4" max="4" width="16.42578125" style="1" customWidth="1"/>
    <col min="5" max="5" width="12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1221</v>
      </c>
      <c r="E9" s="80" t="s">
        <v>1240</v>
      </c>
    </row>
    <row r="10" spans="1:6" x14ac:dyDescent="0.2">
      <c r="A10" s="80" t="s">
        <v>1239</v>
      </c>
      <c r="D10" s="20" t="s">
        <v>1222</v>
      </c>
      <c r="E10" s="79">
        <v>40617</v>
      </c>
    </row>
    <row r="11" spans="1:6" x14ac:dyDescent="0.2">
      <c r="A11" s="21" t="s">
        <v>1228</v>
      </c>
      <c r="D11" s="20" t="s">
        <v>1223</v>
      </c>
      <c r="E11" s="20" t="s">
        <v>1220</v>
      </c>
    </row>
    <row r="12" spans="1:6" x14ac:dyDescent="0.2">
      <c r="A12" s="21" t="s">
        <v>1229</v>
      </c>
      <c r="D12" s="20" t="s">
        <v>1224</v>
      </c>
      <c r="E12" s="81" t="s">
        <v>1241</v>
      </c>
    </row>
    <row r="16" spans="1:6" s="14" customFormat="1" ht="20.100000000000001" customHeight="1" x14ac:dyDescent="0.2">
      <c r="A16" s="17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B18" s="75"/>
    </row>
    <row r="19" spans="1:6" x14ac:dyDescent="0.2">
      <c r="B19" s="77"/>
      <c r="C19" s="21" t="s">
        <v>1230</v>
      </c>
    </row>
    <row r="20" spans="1:6" x14ac:dyDescent="0.2">
      <c r="B20" s="77"/>
      <c r="C20" s="21" t="s">
        <v>1231</v>
      </c>
    </row>
    <row r="21" spans="1:6" x14ac:dyDescent="0.2">
      <c r="B21" s="77"/>
      <c r="C21" s="21" t="s">
        <v>1232</v>
      </c>
    </row>
    <row r="22" spans="1:6" x14ac:dyDescent="0.2">
      <c r="B22" s="77"/>
    </row>
    <row r="23" spans="1:6" x14ac:dyDescent="0.2">
      <c r="A23" s="21" t="s">
        <v>1233</v>
      </c>
      <c r="B23" s="77"/>
      <c r="C23" s="21" t="s">
        <v>1234</v>
      </c>
      <c r="F23" s="1">
        <v>300</v>
      </c>
    </row>
    <row r="24" spans="1:6" x14ac:dyDescent="0.2">
      <c r="B24" s="77"/>
      <c r="C24" s="21" t="s">
        <v>1235</v>
      </c>
    </row>
    <row r="25" spans="1:6" x14ac:dyDescent="0.2">
      <c r="B25" s="77"/>
    </row>
    <row r="26" spans="1:6" x14ac:dyDescent="0.2">
      <c r="B26" s="78"/>
    </row>
    <row r="27" spans="1:6" x14ac:dyDescent="0.2">
      <c r="B27" s="78"/>
    </row>
    <row r="28" spans="1:6" x14ac:dyDescent="0.2">
      <c r="B28" s="78"/>
    </row>
    <row r="29" spans="1:6" x14ac:dyDescent="0.2">
      <c r="B29" s="78"/>
    </row>
    <row r="30" spans="1:6" x14ac:dyDescent="0.2">
      <c r="B30" s="77"/>
    </row>
    <row r="31" spans="1:6" x14ac:dyDescent="0.2">
      <c r="B31" s="77"/>
    </row>
    <row r="32" spans="1:6" ht="13.5" thickBot="1" x14ac:dyDescent="0.25">
      <c r="B32" s="77"/>
      <c r="F32" s="11">
        <f>SUM(F20:F31)</f>
        <v>300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1225</v>
      </c>
      <c r="B35" s="24" t="s">
        <v>1236</v>
      </c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23" t="s">
        <v>3972</v>
      </c>
      <c r="B47" s="23"/>
      <c r="D47" s="23"/>
      <c r="E47" s="23"/>
      <c r="F47" s="23"/>
    </row>
    <row r="48" spans="1:6" s="3" customFormat="1" ht="17.100000000000001" customHeight="1" x14ac:dyDescent="0.2">
      <c r="A48" s="72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2-000000000000}">
  <sheetPr codeName="Sheet142"/>
  <dimension ref="A1:R55"/>
  <sheetViews>
    <sheetView view="pageBreakPreview" topLeftCell="A14" zoomScaleNormal="100" zoomScaleSheetLayoutView="100" workbookViewId="0">
      <selection activeCell="G25" sqref="G25"/>
    </sheetView>
  </sheetViews>
  <sheetFormatPr defaultRowHeight="12.75" x14ac:dyDescent="0.2"/>
  <cols>
    <col min="1" max="1" width="16.7109375" style="91" customWidth="1"/>
    <col min="2" max="2" width="14" style="91" customWidth="1"/>
    <col min="3" max="3" width="1.42578125" style="91" customWidth="1"/>
    <col min="4" max="4" width="21" style="91" customWidth="1"/>
    <col min="5" max="5" width="0.5703125" style="91" customWidth="1"/>
    <col min="6" max="6" width="16.42578125" style="91" customWidth="1"/>
    <col min="7" max="7" width="10.28515625" style="91" customWidth="1"/>
    <col min="8" max="8" width="13.28515625" style="91" customWidth="1"/>
    <col min="9" max="11" width="9.7109375" style="91" bestFit="1" customWidth="1"/>
    <col min="12" max="16384" width="9.140625" style="91"/>
  </cols>
  <sheetData>
    <row r="1" spans="1:1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8" x14ac:dyDescent="0.2">
      <c r="A8" s="91" t="s">
        <v>32</v>
      </c>
      <c r="F8" s="22" t="s">
        <v>31</v>
      </c>
    </row>
    <row r="9" spans="1:18" x14ac:dyDescent="0.2">
      <c r="F9" s="92" t="s">
        <v>1358</v>
      </c>
      <c r="G9" s="91" t="s">
        <v>8781</v>
      </c>
      <c r="H9" s="153"/>
    </row>
    <row r="10" spans="1:18" x14ac:dyDescent="0.2">
      <c r="A10" s="91" t="s">
        <v>3511</v>
      </c>
      <c r="F10" s="92" t="s">
        <v>1357</v>
      </c>
      <c r="G10" s="92" t="s">
        <v>8783</v>
      </c>
      <c r="H10" s="153"/>
    </row>
    <row r="11" spans="1:18" x14ac:dyDescent="0.2">
      <c r="A11" s="91" t="s">
        <v>1566</v>
      </c>
      <c r="F11" s="92" t="s">
        <v>1330</v>
      </c>
      <c r="G11" s="92" t="s">
        <v>1220</v>
      </c>
      <c r="H11" s="153"/>
    </row>
    <row r="12" spans="1:18" x14ac:dyDescent="0.2">
      <c r="A12" s="91" t="s">
        <v>1284</v>
      </c>
      <c r="F12" s="92" t="s">
        <v>1224</v>
      </c>
      <c r="G12" s="92" t="s">
        <v>8782</v>
      </c>
      <c r="H12" s="153"/>
    </row>
    <row r="13" spans="1:18" x14ac:dyDescent="0.2">
      <c r="A13" s="91" t="s">
        <v>3932</v>
      </c>
      <c r="G13" s="91" t="s">
        <v>7762</v>
      </c>
      <c r="K13" s="93"/>
      <c r="L13" s="93"/>
      <c r="M13" s="93"/>
      <c r="N13" s="2"/>
      <c r="O13" s="2"/>
    </row>
    <row r="14" spans="1:18" x14ac:dyDescent="0.2">
      <c r="A14" s="91" t="s">
        <v>3933</v>
      </c>
      <c r="K14" s="93"/>
      <c r="L14" s="93"/>
      <c r="M14" s="93"/>
    </row>
    <row r="15" spans="1:18" x14ac:dyDescent="0.2">
      <c r="K15" s="93"/>
      <c r="L15" s="93"/>
      <c r="M15" s="93"/>
      <c r="N15" s="91" t="s">
        <v>3958</v>
      </c>
      <c r="R15" s="91">
        <v>2024</v>
      </c>
    </row>
    <row r="16" spans="1:18" s="14" customFormat="1" ht="20.100000000000001" customHeight="1" x14ac:dyDescent="0.2">
      <c r="A16" s="17" t="s">
        <v>1261</v>
      </c>
      <c r="B16" s="31" t="s">
        <v>1262</v>
      </c>
      <c r="C16" s="31"/>
      <c r="D16" s="18" t="s">
        <v>19</v>
      </c>
      <c r="E16" s="18"/>
      <c r="F16" s="17"/>
      <c r="G16" s="16"/>
      <c r="H16" s="15" t="s">
        <v>18</v>
      </c>
      <c r="K16" s="91"/>
      <c r="L16" s="91"/>
      <c r="M16" s="91"/>
      <c r="N16" s="143"/>
      <c r="O16" s="143"/>
      <c r="P16" s="91"/>
      <c r="Q16" s="91"/>
      <c r="R16" s="91"/>
    </row>
    <row r="17" spans="1:18" x14ac:dyDescent="0.2">
      <c r="N17" s="91" t="s">
        <v>2147</v>
      </c>
      <c r="R17" s="91">
        <f>R15*6%</f>
        <v>121.44</v>
      </c>
    </row>
    <row r="18" spans="1:18" x14ac:dyDescent="0.2">
      <c r="A18" s="93"/>
      <c r="B18" s="93"/>
      <c r="C18" s="93"/>
      <c r="D18" s="2" t="s">
        <v>8785</v>
      </c>
      <c r="E18" s="2"/>
      <c r="K18" s="93"/>
    </row>
    <row r="19" spans="1:18" x14ac:dyDescent="0.2">
      <c r="A19" s="93"/>
      <c r="B19" s="93"/>
      <c r="C19" s="93"/>
      <c r="K19" s="93"/>
      <c r="L19" s="93"/>
      <c r="M19" s="93"/>
      <c r="N19" s="91" t="s">
        <v>1958</v>
      </c>
      <c r="R19" s="91">
        <v>4499.2</v>
      </c>
    </row>
    <row r="20" spans="1:18" x14ac:dyDescent="0.2">
      <c r="A20" s="93" t="s">
        <v>8784</v>
      </c>
      <c r="B20" s="93"/>
      <c r="C20" s="93"/>
      <c r="D20" s="91" t="s">
        <v>3958</v>
      </c>
      <c r="H20" s="91">
        <v>2024</v>
      </c>
    </row>
    <row r="21" spans="1:18" x14ac:dyDescent="0.2">
      <c r="B21" s="99"/>
      <c r="E21" s="143"/>
      <c r="N21" s="91" t="s">
        <v>2126</v>
      </c>
      <c r="R21" s="91">
        <v>1708.8</v>
      </c>
    </row>
    <row r="22" spans="1:18" x14ac:dyDescent="0.2">
      <c r="A22" s="93" t="s">
        <v>8784</v>
      </c>
      <c r="B22" s="93"/>
      <c r="C22" s="93"/>
      <c r="D22" s="91" t="s">
        <v>1958</v>
      </c>
      <c r="H22" s="91">
        <v>4499.2</v>
      </c>
    </row>
    <row r="23" spans="1:18" x14ac:dyDescent="0.2">
      <c r="B23" s="99"/>
      <c r="N23" s="91" t="s">
        <v>2127</v>
      </c>
      <c r="R23" s="91">
        <v>1832</v>
      </c>
    </row>
    <row r="24" spans="1:18" x14ac:dyDescent="0.2">
      <c r="B24" s="99"/>
      <c r="D24" s="91" t="s">
        <v>2126</v>
      </c>
      <c r="H24" s="91">
        <v>1708.8</v>
      </c>
      <c r="R24" s="2"/>
    </row>
    <row r="25" spans="1:18" x14ac:dyDescent="0.2">
      <c r="L25" s="94"/>
      <c r="M25" s="94"/>
      <c r="N25" s="91" t="s">
        <v>2147</v>
      </c>
      <c r="R25" s="91">
        <f>SUM(R19:R23)*6%</f>
        <v>482.4</v>
      </c>
    </row>
    <row r="26" spans="1:18" x14ac:dyDescent="0.2">
      <c r="D26" s="91" t="s">
        <v>2127</v>
      </c>
      <c r="H26" s="91">
        <v>1832</v>
      </c>
      <c r="L26" s="94"/>
      <c r="M26" s="94"/>
    </row>
    <row r="27" spans="1:18" x14ac:dyDescent="0.2">
      <c r="H27" s="2"/>
    </row>
    <row r="28" spans="1:18" x14ac:dyDescent="0.2">
      <c r="H28" s="2"/>
    </row>
    <row r="29" spans="1:18" x14ac:dyDescent="0.2">
      <c r="H29" s="2"/>
    </row>
    <row r="32" spans="1:18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6" spans="1:8" ht="13.5" thickBot="1" x14ac:dyDescent="0.25">
      <c r="H36" s="95">
        <f>SUM(H18:H35)</f>
        <v>10064</v>
      </c>
    </row>
    <row r="37" spans="1:8" ht="13.5" thickTop="1" x14ac:dyDescent="0.2"/>
    <row r="38" spans="1:8" ht="20.100000000000001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Ten Thousand Sixty-Four and NO/100 -----------</v>
      </c>
      <c r="C38" s="185"/>
      <c r="D38" s="97"/>
      <c r="E38" s="97"/>
      <c r="F38" s="236"/>
      <c r="G38" s="232"/>
      <c r="H38" s="232"/>
    </row>
    <row r="39" spans="1:8" x14ac:dyDescent="0.2">
      <c r="A39" s="94"/>
    </row>
    <row r="40" spans="1:8" ht="25.5" x14ac:dyDescent="0.2">
      <c r="A40" s="98" t="s">
        <v>10</v>
      </c>
      <c r="F40" s="218" t="s">
        <v>3975</v>
      </c>
      <c r="G40" s="219"/>
      <c r="H40" s="220"/>
    </row>
    <row r="41" spans="1:8" x14ac:dyDescent="0.2">
      <c r="A41" s="98"/>
      <c r="F41" s="227"/>
      <c r="G41" s="227"/>
      <c r="H41" s="227"/>
    </row>
    <row r="42" spans="1:8" x14ac:dyDescent="0.2">
      <c r="A42" s="98"/>
      <c r="F42" s="228"/>
      <c r="G42" s="229"/>
      <c r="H42" s="229"/>
    </row>
    <row r="44" spans="1:8" x14ac:dyDescent="0.2">
      <c r="A44" s="100"/>
      <c r="B44" s="101"/>
    </row>
    <row r="45" spans="1:8" x14ac:dyDescent="0.2">
      <c r="A45" s="98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D50" s="100"/>
      <c r="F50" s="101"/>
      <c r="G50" s="101"/>
      <c r="H50" s="101"/>
    </row>
    <row r="51" spans="1:8" s="61" customFormat="1" ht="17.100000000000001" customHeight="1" x14ac:dyDescent="0.2">
      <c r="A51" s="98" t="s">
        <v>4066</v>
      </c>
      <c r="B51" s="104"/>
      <c r="C51" s="104"/>
      <c r="D51" s="98" t="s">
        <v>50</v>
      </c>
      <c r="F51" s="61" t="s">
        <v>3</v>
      </c>
    </row>
    <row r="52" spans="1:8" x14ac:dyDescent="0.2">
      <c r="A52" s="98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76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2860</v>
      </c>
      <c r="D9" s="92" t="s">
        <v>1317</v>
      </c>
      <c r="E9" s="91" t="s">
        <v>2857</v>
      </c>
    </row>
    <row r="10" spans="1:6" x14ac:dyDescent="0.2">
      <c r="A10" s="91" t="s">
        <v>2861</v>
      </c>
      <c r="D10" s="92" t="s">
        <v>1329</v>
      </c>
      <c r="E10" s="98" t="s">
        <v>2858</v>
      </c>
    </row>
    <row r="11" spans="1:6" x14ac:dyDescent="0.2">
      <c r="A11" s="91" t="s">
        <v>1337</v>
      </c>
      <c r="D11" s="92" t="s">
        <v>1330</v>
      </c>
      <c r="E11" s="92" t="s">
        <v>1220</v>
      </c>
    </row>
    <row r="12" spans="1:6" x14ac:dyDescent="0.2">
      <c r="A12" s="91" t="s">
        <v>2862</v>
      </c>
      <c r="D12" s="92" t="s">
        <v>1331</v>
      </c>
      <c r="E12" s="92" t="s">
        <v>2859</v>
      </c>
    </row>
    <row r="13" spans="1:6" x14ac:dyDescent="0.2">
      <c r="A13" s="91" t="s">
        <v>2863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31"/>
      <c r="F16" s="15" t="s">
        <v>18</v>
      </c>
    </row>
    <row r="17" spans="1:6" x14ac:dyDescent="0.2">
      <c r="A17" s="106"/>
    </row>
    <row r="18" spans="1:6" x14ac:dyDescent="0.2">
      <c r="C18" s="2" t="s">
        <v>2864</v>
      </c>
    </row>
    <row r="19" spans="1:6" x14ac:dyDescent="0.2">
      <c r="A19" s="106"/>
      <c r="C19" s="2" t="s">
        <v>2865</v>
      </c>
    </row>
    <row r="20" spans="1:6" x14ac:dyDescent="0.2">
      <c r="A20" s="93"/>
      <c r="B20" s="93"/>
    </row>
    <row r="21" spans="1:6" x14ac:dyDescent="0.2">
      <c r="A21" s="137" t="s">
        <v>2866</v>
      </c>
      <c r="B21" s="99" t="s">
        <v>2867</v>
      </c>
      <c r="C21" s="91" t="s">
        <v>2868</v>
      </c>
      <c r="F21" s="91">
        <v>500</v>
      </c>
    </row>
    <row r="22" spans="1:6" x14ac:dyDescent="0.2">
      <c r="A22" s="106"/>
    </row>
    <row r="23" spans="1:6" x14ac:dyDescent="0.2">
      <c r="A23" s="106"/>
    </row>
    <row r="25" spans="1:6" x14ac:dyDescent="0.2">
      <c r="A25" s="93"/>
      <c r="B25" s="93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SUM(F21:F28)</f>
        <v>500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185" t="s">
        <v>1437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2-000000000000}">
  <sheetPr codeName="Sheet24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4173</v>
      </c>
    </row>
    <row r="10" spans="1:6" x14ac:dyDescent="0.2">
      <c r="A10" s="91" t="s">
        <v>3511</v>
      </c>
      <c r="D10" s="92" t="s">
        <v>1357</v>
      </c>
      <c r="E10" s="98" t="s">
        <v>4170</v>
      </c>
    </row>
    <row r="11" spans="1:6" x14ac:dyDescent="0.2">
      <c r="A11" s="91" t="s">
        <v>1566</v>
      </c>
      <c r="D11" s="92" t="s">
        <v>1330</v>
      </c>
      <c r="E11" s="98" t="s">
        <v>1220</v>
      </c>
    </row>
    <row r="12" spans="1:6" x14ac:dyDescent="0.2">
      <c r="A12" s="91" t="s">
        <v>1284</v>
      </c>
      <c r="D12" s="92" t="s">
        <v>1224</v>
      </c>
      <c r="E12" s="92" t="s">
        <v>4174</v>
      </c>
    </row>
    <row r="13" spans="1:6" x14ac:dyDescent="0.2">
      <c r="A13" s="91" t="s">
        <v>1980</v>
      </c>
    </row>
    <row r="14" spans="1:6" x14ac:dyDescent="0.2">
      <c r="A14" s="91" t="s">
        <v>3512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3971</v>
      </c>
    </row>
    <row r="19" spans="1:6" x14ac:dyDescent="0.2">
      <c r="A19" s="94"/>
      <c r="B19" s="240"/>
    </row>
    <row r="20" spans="1:6" x14ac:dyDescent="0.2">
      <c r="A20" s="93" t="s">
        <v>4108</v>
      </c>
      <c r="B20" s="195" t="s">
        <v>4175</v>
      </c>
      <c r="C20" s="91" t="s">
        <v>4176</v>
      </c>
      <c r="F20" s="91">
        <v>500</v>
      </c>
    </row>
    <row r="21" spans="1:6" x14ac:dyDescent="0.2">
      <c r="A21" s="93"/>
      <c r="B21" s="195"/>
    </row>
    <row r="22" spans="1:6" x14ac:dyDescent="0.2">
      <c r="A22" s="93"/>
      <c r="B22" s="195"/>
      <c r="C22" s="91" t="s">
        <v>4177</v>
      </c>
      <c r="F22" s="91">
        <v>240</v>
      </c>
    </row>
    <row r="23" spans="1:6" x14ac:dyDescent="0.2">
      <c r="B23" s="191"/>
    </row>
    <row r="24" spans="1:6" x14ac:dyDescent="0.2">
      <c r="A24" s="93"/>
      <c r="B24" s="240"/>
    </row>
    <row r="25" spans="1:6" x14ac:dyDescent="0.2">
      <c r="A25" s="94"/>
      <c r="B25" s="240"/>
    </row>
    <row r="26" spans="1:6" x14ac:dyDescent="0.2">
      <c r="A26" s="93"/>
      <c r="B26" s="195"/>
    </row>
    <row r="29" spans="1:6" x14ac:dyDescent="0.2">
      <c r="F29" s="2"/>
    </row>
    <row r="30" spans="1:6" x14ac:dyDescent="0.2">
      <c r="B30" s="94"/>
    </row>
    <row r="31" spans="1:6" x14ac:dyDescent="0.2">
      <c r="B31" s="94"/>
    </row>
    <row r="33" spans="1:6" ht="13.5" thickBot="1" x14ac:dyDescent="0.25">
      <c r="F33" s="95">
        <f>SUM(F18:F32)</f>
        <v>740</v>
      </c>
    </row>
    <row r="34" spans="1:6" ht="13.5" thickTop="1" x14ac:dyDescent="0.2"/>
    <row r="35" spans="1:6" ht="20.100000000000001" customHeight="1" x14ac:dyDescent="0.2">
      <c r="A35" s="96" t="s">
        <v>1075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Seven Hundred Forty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8" t="s">
        <v>10</v>
      </c>
      <c r="D37" s="218" t="s">
        <v>3975</v>
      </c>
      <c r="E37" s="219"/>
      <c r="F37" s="220"/>
    </row>
    <row r="38" spans="1:6" x14ac:dyDescent="0.2">
      <c r="A38" s="98"/>
    </row>
    <row r="39" spans="1:6" x14ac:dyDescent="0.2">
      <c r="A39" s="98"/>
      <c r="D39" s="227"/>
      <c r="E39" s="227"/>
      <c r="F39" s="227"/>
    </row>
    <row r="40" spans="1:6" x14ac:dyDescent="0.2">
      <c r="A40" s="98"/>
      <c r="C40" s="99"/>
      <c r="D40" s="228"/>
      <c r="E40" s="229"/>
      <c r="F40" s="229"/>
    </row>
    <row r="41" spans="1:6" x14ac:dyDescent="0.2">
      <c r="A41" s="101"/>
      <c r="B41" s="101"/>
    </row>
    <row r="42" spans="1:6" x14ac:dyDescent="0.2">
      <c r="A42" s="98"/>
    </row>
    <row r="43" spans="1:6" x14ac:dyDescent="0.2">
      <c r="A43" s="98" t="s">
        <v>8</v>
      </c>
      <c r="D43" s="98" t="s">
        <v>7</v>
      </c>
      <c r="F43" s="102"/>
    </row>
    <row r="44" spans="1:6" x14ac:dyDescent="0.2">
      <c r="A44" s="98"/>
    </row>
    <row r="45" spans="1:6" x14ac:dyDescent="0.2">
      <c r="A45" s="98"/>
    </row>
    <row r="46" spans="1:6" x14ac:dyDescent="0.2">
      <c r="A46" s="98"/>
    </row>
    <row r="47" spans="1:6" x14ac:dyDescent="0.2">
      <c r="A47" s="100"/>
      <c r="B47" s="101"/>
      <c r="D47" s="101"/>
      <c r="E47" s="101"/>
      <c r="F47" s="101"/>
    </row>
    <row r="48" spans="1:6" s="61" customFormat="1" ht="17.100000000000001" customHeight="1" x14ac:dyDescent="0.2">
      <c r="A48" s="98" t="s">
        <v>4066</v>
      </c>
      <c r="B48" s="104"/>
      <c r="D48" s="61" t="s">
        <v>3</v>
      </c>
    </row>
    <row r="49" spans="1:4" x14ac:dyDescent="0.2">
      <c r="A49" s="98"/>
      <c r="D49" s="91" t="s">
        <v>2</v>
      </c>
    </row>
    <row r="50" spans="1:4" x14ac:dyDescent="0.2">
      <c r="A50" s="98"/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6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2-000000000000}">
  <sheetPr codeName="Sheet143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1450</v>
      </c>
      <c r="D9" s="92" t="s">
        <v>1317</v>
      </c>
      <c r="E9" s="91" t="s">
        <v>1455</v>
      </c>
    </row>
    <row r="10" spans="1:6" x14ac:dyDescent="0.2">
      <c r="A10" s="91" t="s">
        <v>1451</v>
      </c>
      <c r="D10" s="92" t="s">
        <v>1329</v>
      </c>
      <c r="E10" s="105" t="s">
        <v>1449</v>
      </c>
    </row>
    <row r="11" spans="1:6" x14ac:dyDescent="0.2">
      <c r="A11" s="91" t="s">
        <v>1452</v>
      </c>
      <c r="D11" s="92" t="s">
        <v>1330</v>
      </c>
      <c r="E11" s="92" t="s">
        <v>1220</v>
      </c>
    </row>
    <row r="12" spans="1:6" x14ac:dyDescent="0.2">
      <c r="A12" s="91" t="s">
        <v>1453</v>
      </c>
      <c r="D12" s="92" t="s">
        <v>1331</v>
      </c>
      <c r="E12" s="92" t="s">
        <v>1456</v>
      </c>
    </row>
    <row r="13" spans="1:6" x14ac:dyDescent="0.2">
      <c r="A13" s="91" t="s">
        <v>1454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1457</v>
      </c>
    </row>
    <row r="19" spans="1:6" x14ac:dyDescent="0.2">
      <c r="A19" s="106"/>
      <c r="C19" s="2"/>
    </row>
    <row r="20" spans="1:6" x14ac:dyDescent="0.2">
      <c r="A20" s="142" t="s">
        <v>1458</v>
      </c>
      <c r="B20" s="142" t="s">
        <v>1459</v>
      </c>
      <c r="C20" s="91" t="s">
        <v>1460</v>
      </c>
      <c r="F20" s="91">
        <f>8000*0.022</f>
        <v>176</v>
      </c>
    </row>
    <row r="21" spans="1:6" x14ac:dyDescent="0.2">
      <c r="A21" s="106"/>
      <c r="C21" s="2"/>
    </row>
    <row r="22" spans="1:6" x14ac:dyDescent="0.2">
      <c r="A22" s="106"/>
      <c r="C22" s="91" t="s">
        <v>1460</v>
      </c>
      <c r="F22" s="91">
        <f>1000*0.23</f>
        <v>230</v>
      </c>
    </row>
    <row r="23" spans="1:6" x14ac:dyDescent="0.2">
      <c r="A23" s="106"/>
      <c r="C23" s="91" t="s">
        <v>1461</v>
      </c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406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1462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2-000000000000}">
  <sheetPr codeName="Sheet144"/>
  <dimension ref="A1:F51"/>
  <sheetViews>
    <sheetView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1.28515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5" spans="1:6" hidden="1" x14ac:dyDescent="0.2"/>
    <row r="8" spans="1:6" x14ac:dyDescent="0.2">
      <c r="A8" s="91" t="s">
        <v>32</v>
      </c>
      <c r="D8" s="22" t="s">
        <v>31</v>
      </c>
    </row>
    <row r="9" spans="1:6" x14ac:dyDescent="0.2">
      <c r="D9" s="92" t="s">
        <v>1434</v>
      </c>
      <c r="E9" s="91" t="s">
        <v>2631</v>
      </c>
    </row>
    <row r="10" spans="1:6" x14ac:dyDescent="0.2">
      <c r="A10" s="91" t="s">
        <v>2012</v>
      </c>
      <c r="D10" s="92" t="s">
        <v>1433</v>
      </c>
      <c r="E10" s="98" t="s">
        <v>2624</v>
      </c>
    </row>
    <row r="11" spans="1:6" x14ac:dyDescent="0.2">
      <c r="A11" s="91" t="s">
        <v>1432</v>
      </c>
      <c r="D11" s="92" t="s">
        <v>1431</v>
      </c>
      <c r="E11" s="92" t="s">
        <v>2625</v>
      </c>
    </row>
    <row r="12" spans="1:6" x14ac:dyDescent="0.2">
      <c r="A12" s="91" t="s">
        <v>1245</v>
      </c>
      <c r="D12" s="92" t="s">
        <v>1268</v>
      </c>
      <c r="E12" s="92" t="s">
        <v>2632</v>
      </c>
    </row>
    <row r="14" spans="1:6" x14ac:dyDescent="0.2">
      <c r="A14" s="91" t="s">
        <v>1430</v>
      </c>
    </row>
    <row r="16" spans="1:6" s="14" customFormat="1" ht="20.100000000000001" customHeight="1" x14ac:dyDescent="0.2">
      <c r="A16" s="17" t="s">
        <v>1429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2450</v>
      </c>
    </row>
    <row r="20" spans="1:6" x14ac:dyDescent="0.2">
      <c r="A20" s="111" t="s">
        <v>2630</v>
      </c>
      <c r="B20" s="93" t="s">
        <v>2633</v>
      </c>
      <c r="C20" s="91" t="s">
        <v>2634</v>
      </c>
      <c r="F20" s="110">
        <v>1800</v>
      </c>
    </row>
    <row r="21" spans="1:6" x14ac:dyDescent="0.2">
      <c r="A21" s="108"/>
      <c r="B21" s="138"/>
      <c r="C21" s="91" t="s">
        <v>2635</v>
      </c>
      <c r="F21" s="110">
        <f>550*3</f>
        <v>1650</v>
      </c>
    </row>
    <row r="22" spans="1:6" x14ac:dyDescent="0.2">
      <c r="A22" s="108"/>
      <c r="B22" s="138"/>
      <c r="C22" s="91" t="s">
        <v>2636</v>
      </c>
      <c r="F22" s="110">
        <v>1300</v>
      </c>
    </row>
    <row r="23" spans="1:6" x14ac:dyDescent="0.2">
      <c r="A23" s="108"/>
      <c r="B23" s="138"/>
      <c r="C23" s="91" t="s">
        <v>2637</v>
      </c>
      <c r="F23" s="91">
        <v>600</v>
      </c>
    </row>
    <row r="24" spans="1:6" x14ac:dyDescent="0.2">
      <c r="A24" s="108"/>
      <c r="B24" s="138"/>
      <c r="C24" s="91" t="s">
        <v>2638</v>
      </c>
      <c r="F24" s="91">
        <v>1050</v>
      </c>
    </row>
    <row r="25" spans="1:6" x14ac:dyDescent="0.2">
      <c r="A25" s="108"/>
      <c r="B25" s="94"/>
      <c r="C25" s="91" t="s">
        <v>2639</v>
      </c>
      <c r="F25" s="91">
        <v>160</v>
      </c>
    </row>
    <row r="26" spans="1:6" x14ac:dyDescent="0.2">
      <c r="A26" s="108"/>
      <c r="C26" s="91" t="s">
        <v>2640</v>
      </c>
      <c r="F26" s="91">
        <v>524.79999999999995</v>
      </c>
    </row>
    <row r="27" spans="1:6" x14ac:dyDescent="0.2">
      <c r="A27" s="108"/>
      <c r="C27" s="91" t="s">
        <v>2641</v>
      </c>
      <c r="F27" s="91">
        <v>425</v>
      </c>
    </row>
    <row r="32" spans="1:6" ht="13.5" thickBot="1" x14ac:dyDescent="0.25">
      <c r="F32" s="95">
        <f>SUM(F18:F31)</f>
        <v>7509.8</v>
      </c>
    </row>
    <row r="33" spans="1:6" ht="13.5" thickTop="1" x14ac:dyDescent="0.2"/>
    <row r="34" spans="1:6" ht="20.100000000000001" customHeight="1" thickBot="1" x14ac:dyDescent="0.25">
      <c r="A34" s="96" t="s">
        <v>336</v>
      </c>
      <c r="B34" s="96" t="s">
        <v>2642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hiddenRows="1">
      <selection activeCell="E9" sqref="E9"/>
      <pageMargins left="0.74803149606299213" right="0.7480314960629921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78740157480314965" header="0.51181102362204722" footer="0.51181102362204722"/>
  <pageSetup paperSize="9" orientation="portrait" r:id="rId2"/>
  <headerFooter alignWithMargins="0"/>
</worksheet>
</file>

<file path=xl/worksheets/sheet6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2-000000000000}">
  <sheetPr codeName="Sheet14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140625" style="91" customWidth="1"/>
    <col min="2" max="2" width="12.8554687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2541</v>
      </c>
    </row>
    <row r="10" spans="1:6" x14ac:dyDescent="0.2">
      <c r="A10" s="91" t="s">
        <v>1396</v>
      </c>
      <c r="D10" s="92" t="s">
        <v>1356</v>
      </c>
      <c r="E10" s="92" t="s">
        <v>2538</v>
      </c>
    </row>
    <row r="11" spans="1:6" x14ac:dyDescent="0.2">
      <c r="A11" s="91" t="s">
        <v>1397</v>
      </c>
      <c r="D11" s="92" t="s">
        <v>1364</v>
      </c>
      <c r="E11" s="92" t="s">
        <v>1220</v>
      </c>
    </row>
    <row r="12" spans="1:6" x14ac:dyDescent="0.2">
      <c r="D12" s="92" t="s">
        <v>1394</v>
      </c>
      <c r="E12" s="92" t="s">
        <v>2542</v>
      </c>
    </row>
    <row r="13" spans="1:6" x14ac:dyDescent="0.2">
      <c r="E13" s="153"/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2543</v>
      </c>
    </row>
    <row r="19" spans="1:6" x14ac:dyDescent="0.2">
      <c r="A19" s="108"/>
      <c r="B19" s="93"/>
      <c r="C19" s="2"/>
    </row>
    <row r="20" spans="1:6" x14ac:dyDescent="0.2">
      <c r="A20" s="109"/>
      <c r="B20" s="99"/>
      <c r="C20" s="2" t="s">
        <v>2544</v>
      </c>
    </row>
    <row r="21" spans="1:6" x14ac:dyDescent="0.2">
      <c r="A21" s="93"/>
      <c r="B21" s="109"/>
      <c r="C21" s="2"/>
    </row>
    <row r="22" spans="1:6" x14ac:dyDescent="0.2">
      <c r="A22" s="98" t="s">
        <v>2545</v>
      </c>
      <c r="B22" s="99"/>
      <c r="C22" s="91" t="s">
        <v>2547</v>
      </c>
      <c r="F22" s="91">
        <v>200</v>
      </c>
    </row>
    <row r="23" spans="1:6" x14ac:dyDescent="0.2">
      <c r="A23" s="98"/>
      <c r="B23" s="93"/>
      <c r="C23" s="91" t="s">
        <v>2546</v>
      </c>
      <c r="F23" s="91">
        <v>600</v>
      </c>
    </row>
    <row r="24" spans="1:6" x14ac:dyDescent="0.2">
      <c r="A24" s="111"/>
      <c r="B24" s="93"/>
      <c r="C24" s="91" t="s">
        <v>2548</v>
      </c>
      <c r="F24" s="91">
        <v>450</v>
      </c>
    </row>
    <row r="25" spans="1:6" x14ac:dyDescent="0.2">
      <c r="C25" s="91" t="s">
        <v>2549</v>
      </c>
      <c r="F25" s="91">
        <v>100</v>
      </c>
    </row>
    <row r="26" spans="1:6" x14ac:dyDescent="0.2">
      <c r="A26" s="109"/>
      <c r="B26" s="93"/>
      <c r="C26" s="91" t="s">
        <v>1988</v>
      </c>
      <c r="F26" s="91">
        <v>200</v>
      </c>
    </row>
    <row r="27" spans="1:6" x14ac:dyDescent="0.2">
      <c r="A27" s="109"/>
      <c r="B27" s="99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107">
        <f>SUM(F18:F31)</f>
        <v>1550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2550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2-000000000000}">
  <sheetPr codeName="Sheet146">
    <pageSetUpPr fitToPage="1"/>
  </sheetPr>
  <dimension ref="A1:G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8554687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7" width="9.140625" style="91"/>
    <col min="8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1317</v>
      </c>
      <c r="E9" s="91" t="s">
        <v>1318</v>
      </c>
    </row>
    <row r="10" spans="1:7" x14ac:dyDescent="0.2">
      <c r="A10" s="91" t="s">
        <v>1312</v>
      </c>
      <c r="D10" s="92" t="s">
        <v>1327</v>
      </c>
      <c r="E10" s="92" t="s">
        <v>1319</v>
      </c>
    </row>
    <row r="11" spans="1:7" x14ac:dyDescent="0.2">
      <c r="A11" s="91" t="s">
        <v>1313</v>
      </c>
      <c r="D11" s="92" t="s">
        <v>1328</v>
      </c>
      <c r="E11" s="92" t="s">
        <v>1220</v>
      </c>
    </row>
    <row r="12" spans="1:7" x14ac:dyDescent="0.2">
      <c r="A12" s="91" t="s">
        <v>1314</v>
      </c>
      <c r="D12" s="92" t="s">
        <v>1316</v>
      </c>
      <c r="E12" s="92" t="s">
        <v>1320</v>
      </c>
    </row>
    <row r="13" spans="1:7" x14ac:dyDescent="0.2">
      <c r="A13" s="91" t="s">
        <v>1315</v>
      </c>
    </row>
    <row r="16" spans="1:7" s="67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  <c r="G16" s="14"/>
    </row>
    <row r="18" spans="1:6" x14ac:dyDescent="0.2">
      <c r="C18" s="2" t="s">
        <v>1323</v>
      </c>
    </row>
    <row r="19" spans="1:6" x14ac:dyDescent="0.2">
      <c r="A19" s="93"/>
      <c r="B19" s="93"/>
      <c r="C19" s="2" t="s">
        <v>1324</v>
      </c>
    </row>
    <row r="21" spans="1:6" x14ac:dyDescent="0.2">
      <c r="A21" s="93" t="s">
        <v>1321</v>
      </c>
      <c r="B21" s="93" t="s">
        <v>1322</v>
      </c>
      <c r="C21" s="91" t="s">
        <v>1325</v>
      </c>
      <c r="F21" s="91">
        <v>600</v>
      </c>
    </row>
    <row r="24" spans="1:6" x14ac:dyDescent="0.2">
      <c r="C24" s="94"/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600</v>
      </c>
    </row>
    <row r="32" spans="1:6" ht="13.5" thickTop="1" x14ac:dyDescent="0.2"/>
    <row r="33" spans="1:7" ht="20.100000000000001" customHeight="1" x14ac:dyDescent="0.2">
      <c r="A33" s="96" t="s">
        <v>336</v>
      </c>
      <c r="B33" s="96" t="s">
        <v>1326</v>
      </c>
      <c r="C33" s="97"/>
      <c r="D33" s="97"/>
      <c r="E33" s="97"/>
      <c r="F33" s="97"/>
    </row>
    <row r="34" spans="1:7" ht="13.5" thickBot="1" x14ac:dyDescent="0.25">
      <c r="A34" s="94"/>
      <c r="F34" s="107"/>
    </row>
    <row r="35" spans="1:7" ht="13.5" thickTop="1" x14ac:dyDescent="0.2">
      <c r="A35" s="98" t="s">
        <v>10</v>
      </c>
    </row>
    <row r="36" spans="1:7" ht="25.5" x14ac:dyDescent="0.2">
      <c r="A36" s="98"/>
      <c r="D36" s="218" t="s">
        <v>3975</v>
      </c>
      <c r="E36" s="219"/>
      <c r="F36" s="220"/>
    </row>
    <row r="37" spans="1:7" x14ac:dyDescent="0.2">
      <c r="A37" s="98"/>
    </row>
    <row r="38" spans="1:7" x14ac:dyDescent="0.2">
      <c r="A38" s="98"/>
    </row>
    <row r="39" spans="1:7" x14ac:dyDescent="0.2">
      <c r="A39" s="98"/>
      <c r="C39" s="99"/>
      <c r="D39" s="227"/>
      <c r="E39" s="227"/>
      <c r="F39" s="227"/>
    </row>
    <row r="40" spans="1:7" x14ac:dyDescent="0.2">
      <c r="A40" s="98"/>
      <c r="D40" s="228"/>
      <c r="E40" s="229"/>
      <c r="F40" s="229"/>
    </row>
    <row r="41" spans="1:7" x14ac:dyDescent="0.2">
      <c r="A41" s="1"/>
    </row>
    <row r="42" spans="1:7" x14ac:dyDescent="0.2">
      <c r="A42" s="98"/>
    </row>
    <row r="43" spans="1:7" x14ac:dyDescent="0.2">
      <c r="A43" s="98"/>
    </row>
    <row r="44" spans="1:7" x14ac:dyDescent="0.2">
      <c r="A44" s="98"/>
    </row>
    <row r="45" spans="1:7" x14ac:dyDescent="0.2">
      <c r="A45" s="100"/>
      <c r="B45" s="101"/>
      <c r="D45" s="101"/>
      <c r="E45" s="101"/>
      <c r="F45" s="101"/>
    </row>
    <row r="46" spans="1:7" s="3" customFormat="1" ht="17.100000000000001" customHeight="1" x14ac:dyDescent="0.2">
      <c r="A46" s="103" t="s">
        <v>35</v>
      </c>
      <c r="B46" s="104"/>
      <c r="C46" s="61"/>
      <c r="D46" s="61" t="s">
        <v>3</v>
      </c>
      <c r="E46" s="61"/>
      <c r="F46" s="61"/>
      <c r="G46" s="61"/>
    </row>
    <row r="47" spans="1:7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2-000000000000}">
  <sheetPr codeName="Sheet441">
    <pageSetUpPr fitToPage="1"/>
  </sheetPr>
  <dimension ref="A1:F1201"/>
  <sheetViews>
    <sheetView topLeftCell="A7" zoomScaleNormal="75" zoomScaleSheetLayoutView="100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5" width="16.425781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31" t="s">
        <v>33</v>
      </c>
      <c r="B2" s="531"/>
      <c r="C2" s="531"/>
      <c r="D2" s="531"/>
      <c r="E2" s="531"/>
      <c r="F2" s="531"/>
    </row>
    <row r="3" spans="1:6" x14ac:dyDescent="0.2">
      <c r="A3" s="531" t="s">
        <v>1829</v>
      </c>
      <c r="B3" s="531"/>
      <c r="C3" s="531"/>
      <c r="D3" s="531"/>
      <c r="E3" s="531"/>
      <c r="F3" s="531"/>
    </row>
    <row r="4" spans="1:6" x14ac:dyDescent="0.2">
      <c r="A4" s="531" t="s">
        <v>1828</v>
      </c>
      <c r="B4" s="531"/>
      <c r="C4" s="531"/>
      <c r="D4" s="531"/>
      <c r="E4" s="531"/>
      <c r="F4" s="531"/>
    </row>
    <row r="5" spans="1:6" ht="16.5" x14ac:dyDescent="0.3">
      <c r="A5" s="37"/>
      <c r="B5" s="37"/>
      <c r="C5" s="37"/>
      <c r="D5" s="37"/>
      <c r="E5" s="37"/>
      <c r="F5" s="37"/>
    </row>
    <row r="6" spans="1:6" x14ac:dyDescent="0.2">
      <c r="A6" s="21" t="s">
        <v>32</v>
      </c>
      <c r="B6" s="21"/>
      <c r="C6" s="21"/>
      <c r="D6" s="51" t="s">
        <v>31</v>
      </c>
      <c r="E6" s="21"/>
      <c r="F6" s="21"/>
    </row>
    <row r="7" spans="1:6" x14ac:dyDescent="0.2">
      <c r="A7" s="21" t="s">
        <v>322</v>
      </c>
      <c r="B7" s="21"/>
      <c r="C7" s="21"/>
      <c r="D7" s="19" t="s">
        <v>30</v>
      </c>
      <c r="E7" s="21" t="s">
        <v>321</v>
      </c>
      <c r="F7" s="21"/>
    </row>
    <row r="8" spans="1:6" x14ac:dyDescent="0.2">
      <c r="A8" s="21" t="s">
        <v>320</v>
      </c>
      <c r="B8" s="21"/>
      <c r="C8" s="21"/>
      <c r="D8" s="19" t="s">
        <v>27</v>
      </c>
      <c r="E8" s="19" t="s">
        <v>238</v>
      </c>
      <c r="F8" s="21"/>
    </row>
    <row r="9" spans="1:6" x14ac:dyDescent="0.2">
      <c r="A9" s="21" t="s">
        <v>319</v>
      </c>
      <c r="B9" s="21"/>
      <c r="C9" s="21"/>
      <c r="D9" s="19" t="s">
        <v>24</v>
      </c>
      <c r="E9" s="19" t="s">
        <v>23</v>
      </c>
      <c r="F9" s="21"/>
    </row>
    <row r="10" spans="1:6" x14ac:dyDescent="0.2">
      <c r="A10" s="21" t="s">
        <v>318</v>
      </c>
      <c r="B10" s="21"/>
      <c r="C10" s="21"/>
      <c r="D10" s="19" t="s">
        <v>22</v>
      </c>
      <c r="E10" s="19" t="s">
        <v>317</v>
      </c>
      <c r="F10" s="21"/>
    </row>
    <row r="11" spans="1:6" x14ac:dyDescent="0.2">
      <c r="A11" s="21"/>
      <c r="B11" s="21"/>
      <c r="C11" s="21"/>
      <c r="D11" s="21"/>
      <c r="E11" s="21"/>
      <c r="F11" s="21"/>
    </row>
    <row r="12" spans="1:6" ht="16.5" x14ac:dyDescent="0.3">
      <c r="A12" s="37"/>
      <c r="B12" s="37"/>
      <c r="C12" s="37"/>
      <c r="D12" s="37"/>
      <c r="E12" s="37"/>
      <c r="F12" s="37"/>
    </row>
    <row r="13" spans="1:6" s="14" customFormat="1" ht="20.100000000000001" customHeight="1" x14ac:dyDescent="0.2">
      <c r="A13" s="49" t="s">
        <v>20</v>
      </c>
      <c r="B13" s="49"/>
      <c r="C13" s="50" t="s">
        <v>19</v>
      </c>
      <c r="D13" s="49"/>
      <c r="E13" s="48"/>
      <c r="F13" s="47" t="s">
        <v>18</v>
      </c>
    </row>
    <row r="14" spans="1:6" ht="16.5" x14ac:dyDescent="0.3">
      <c r="A14" s="37"/>
      <c r="B14" s="37"/>
      <c r="C14" s="37"/>
      <c r="D14" s="37"/>
      <c r="E14" s="37"/>
      <c r="F14" s="37"/>
    </row>
    <row r="15" spans="1:6" x14ac:dyDescent="0.2">
      <c r="A15" s="21"/>
      <c r="B15" s="21"/>
      <c r="C15" s="21"/>
      <c r="D15" s="21"/>
      <c r="E15" s="21"/>
      <c r="F15" s="21"/>
    </row>
    <row r="16" spans="1:6" x14ac:dyDescent="0.2">
      <c r="A16" s="21"/>
      <c r="B16" s="21"/>
      <c r="C16" s="13" t="s">
        <v>316</v>
      </c>
      <c r="D16" s="21"/>
      <c r="E16" s="21"/>
      <c r="F16" s="21"/>
    </row>
    <row r="17" spans="1:6" x14ac:dyDescent="0.2">
      <c r="A17" s="21"/>
      <c r="B17" s="21"/>
      <c r="C17" s="21"/>
      <c r="D17" s="21"/>
      <c r="E17" s="21"/>
      <c r="F17" s="21">
        <v>1732.5</v>
      </c>
    </row>
    <row r="18" spans="1:6" x14ac:dyDescent="0.2">
      <c r="A18" s="21" t="s">
        <v>315</v>
      </c>
      <c r="B18" s="21"/>
      <c r="C18" s="21" t="s">
        <v>314</v>
      </c>
      <c r="D18" s="21"/>
      <c r="E18" s="21"/>
      <c r="F18" s="21"/>
    </row>
    <row r="19" spans="1:6" x14ac:dyDescent="0.2">
      <c r="A19" s="21"/>
      <c r="B19" s="21"/>
      <c r="C19" s="21" t="s">
        <v>313</v>
      </c>
      <c r="D19" s="21"/>
      <c r="E19" s="21"/>
      <c r="F19" s="21"/>
    </row>
    <row r="20" spans="1:6" x14ac:dyDescent="0.2">
      <c r="A20" s="21"/>
      <c r="B20" s="21"/>
      <c r="C20" s="21"/>
      <c r="D20" s="21"/>
      <c r="E20" s="21"/>
      <c r="F20" s="21"/>
    </row>
    <row r="21" spans="1:6" x14ac:dyDescent="0.2">
      <c r="A21" s="21"/>
      <c r="B21" s="21"/>
      <c r="C21" s="21"/>
      <c r="D21" s="21"/>
      <c r="E21" s="21"/>
      <c r="F21" s="21"/>
    </row>
    <row r="22" spans="1:6" x14ac:dyDescent="0.2">
      <c r="A22" s="21"/>
      <c r="B22" s="21"/>
      <c r="C22" s="21"/>
      <c r="D22" s="21"/>
      <c r="E22" s="21"/>
      <c r="F22" s="21"/>
    </row>
    <row r="23" spans="1:6" x14ac:dyDescent="0.2">
      <c r="A23" s="21"/>
      <c r="B23" s="21"/>
      <c r="C23" s="21"/>
      <c r="D23" s="21"/>
      <c r="E23" s="21"/>
      <c r="F23" s="21"/>
    </row>
    <row r="24" spans="1:6" x14ac:dyDescent="0.2">
      <c r="A24" s="21"/>
      <c r="B24" s="21"/>
      <c r="C24" s="21"/>
      <c r="D24" s="21"/>
      <c r="E24" s="21"/>
      <c r="F24" s="21"/>
    </row>
    <row r="25" spans="1:6" x14ac:dyDescent="0.2">
      <c r="A25" s="21"/>
      <c r="B25" s="21"/>
      <c r="C25" s="21"/>
      <c r="D25" s="21"/>
      <c r="E25" s="21"/>
      <c r="F25" s="21"/>
    </row>
    <row r="26" spans="1:6" x14ac:dyDescent="0.2">
      <c r="A26" s="21"/>
      <c r="B26" s="21"/>
      <c r="C26" s="21"/>
      <c r="D26" s="21"/>
      <c r="E26" s="21"/>
      <c r="F26" s="21"/>
    </row>
    <row r="27" spans="1:6" ht="13.5" thickBot="1" x14ac:dyDescent="0.25">
      <c r="A27" s="21"/>
      <c r="B27" s="21"/>
      <c r="C27" s="21"/>
      <c r="D27" s="21"/>
      <c r="E27" s="21"/>
      <c r="F27" s="45">
        <f>SUM(F15:F26)</f>
        <v>1732.5</v>
      </c>
    </row>
    <row r="28" spans="1:6" ht="13.5" thickTop="1" x14ac:dyDescent="0.2">
      <c r="A28" s="21"/>
      <c r="B28" s="21"/>
      <c r="C28" s="21"/>
      <c r="D28" s="21"/>
      <c r="E28" s="21"/>
      <c r="F28" s="21"/>
    </row>
    <row r="29" spans="1:6" x14ac:dyDescent="0.2">
      <c r="A29" s="21"/>
      <c r="B29" s="21"/>
      <c r="C29" s="21"/>
      <c r="D29" s="21"/>
      <c r="E29" s="21"/>
      <c r="F29" s="21"/>
    </row>
    <row r="30" spans="1:6" ht="20.100000000000001" customHeight="1" x14ac:dyDescent="0.2">
      <c r="A30" s="44" t="s">
        <v>312</v>
      </c>
      <c r="B30" s="24"/>
      <c r="C30" s="43"/>
      <c r="D30" s="43"/>
      <c r="E30" s="43"/>
      <c r="F30" s="43"/>
    </row>
    <row r="31" spans="1:6" x14ac:dyDescent="0.2">
      <c r="A31" s="12" t="s">
        <v>11</v>
      </c>
      <c r="B31" s="21"/>
      <c r="C31" s="21"/>
      <c r="D31" s="21"/>
      <c r="E31" s="21"/>
      <c r="F31" s="21"/>
    </row>
    <row r="32" spans="1:6" x14ac:dyDescent="0.2">
      <c r="A32" s="21" t="s">
        <v>10</v>
      </c>
      <c r="B32" s="21"/>
      <c r="C32" s="21"/>
      <c r="D32" s="21"/>
      <c r="E32" s="21"/>
      <c r="F32" s="21"/>
    </row>
    <row r="33" spans="1:6" x14ac:dyDescent="0.2">
      <c r="A33" s="21"/>
      <c r="B33" s="21"/>
      <c r="C33" s="21"/>
      <c r="D33" s="21"/>
      <c r="E33" s="21"/>
      <c r="F33" s="21"/>
    </row>
    <row r="34" spans="1:6" ht="13.5" thickBot="1" x14ac:dyDescent="0.25">
      <c r="A34" s="21"/>
      <c r="B34" s="21"/>
      <c r="C34" s="21"/>
      <c r="D34" s="21"/>
      <c r="E34" s="21"/>
      <c r="F34" s="45"/>
    </row>
    <row r="35" spans="1:6" ht="13.5" thickTop="1" x14ac:dyDescent="0.2">
      <c r="A35" s="21" t="s">
        <v>9</v>
      </c>
      <c r="B35" s="21"/>
      <c r="C35" s="42"/>
      <c r="D35" s="21"/>
      <c r="E35" s="21"/>
      <c r="F35" s="21"/>
    </row>
    <row r="36" spans="1:6" ht="25.5" x14ac:dyDescent="0.2">
      <c r="A36" s="21"/>
      <c r="B36" s="21"/>
      <c r="C36" s="21"/>
      <c r="D36" s="218" t="s">
        <v>3975</v>
      </c>
      <c r="E36" s="219"/>
      <c r="F36" s="220"/>
    </row>
    <row r="37" spans="1:6" x14ac:dyDescent="0.2">
      <c r="A37" s="21"/>
      <c r="B37" s="21"/>
      <c r="C37" s="21"/>
      <c r="D37" s="21"/>
      <c r="E37" s="21"/>
      <c r="F37" s="21"/>
    </row>
    <row r="38" spans="1:6" x14ac:dyDescent="0.2">
      <c r="A38" s="21"/>
      <c r="B38" s="21"/>
      <c r="C38" s="21"/>
      <c r="D38" s="21"/>
      <c r="E38" s="21"/>
      <c r="F38" s="21"/>
    </row>
    <row r="39" spans="1:6" x14ac:dyDescent="0.2">
      <c r="A39" s="41" t="s">
        <v>8</v>
      </c>
      <c r="B39" s="21"/>
      <c r="C39" s="21"/>
      <c r="D39" s="227"/>
      <c r="E39" s="227"/>
      <c r="F39" s="227"/>
    </row>
    <row r="40" spans="1:6" x14ac:dyDescent="0.2">
      <c r="A40" s="21"/>
      <c r="B40" s="21"/>
      <c r="C40" s="21"/>
      <c r="D40" s="228"/>
      <c r="E40" s="229"/>
      <c r="F40" s="229"/>
    </row>
    <row r="41" spans="1:6" x14ac:dyDescent="0.2">
      <c r="B41" s="21"/>
      <c r="C41" s="21"/>
      <c r="D41" s="21" t="s">
        <v>5</v>
      </c>
      <c r="E41" s="21"/>
      <c r="F41" s="21"/>
    </row>
    <row r="42" spans="1:6" x14ac:dyDescent="0.2">
      <c r="A42" s="21" t="s">
        <v>6</v>
      </c>
      <c r="B42" s="21"/>
      <c r="C42" s="21"/>
      <c r="D42" s="21"/>
      <c r="E42" s="21"/>
      <c r="F42" s="21"/>
    </row>
    <row r="43" spans="1:6" s="3" customFormat="1" ht="17.100000000000001" customHeight="1" x14ac:dyDescent="0.2">
      <c r="A43" s="40" t="s">
        <v>35</v>
      </c>
      <c r="B43" s="40"/>
      <c r="C43" s="39"/>
      <c r="D43" s="39" t="s">
        <v>3</v>
      </c>
      <c r="E43" s="39"/>
      <c r="F43" s="39"/>
    </row>
    <row r="44" spans="1:6" x14ac:dyDescent="0.2">
      <c r="A44" s="21"/>
      <c r="B44" s="21"/>
      <c r="C44" s="21"/>
      <c r="D44" s="21" t="s">
        <v>2</v>
      </c>
      <c r="E44" s="21"/>
      <c r="F44" s="21"/>
    </row>
    <row r="45" spans="1:6" x14ac:dyDescent="0.2">
      <c r="A45" s="21"/>
      <c r="B45" s="21"/>
      <c r="C45" s="21"/>
      <c r="D45" s="21"/>
      <c r="E45" s="21"/>
      <c r="F45" s="21"/>
    </row>
    <row r="46" spans="1:6" x14ac:dyDescent="0.2">
      <c r="A46" s="21"/>
      <c r="B46" s="21"/>
      <c r="C46" s="21"/>
      <c r="D46" s="13" t="s">
        <v>1</v>
      </c>
      <c r="E46" s="21"/>
      <c r="F46" s="21"/>
    </row>
    <row r="47" spans="1:6" x14ac:dyDescent="0.2">
      <c r="A47" s="21" t="s">
        <v>3972</v>
      </c>
      <c r="B47" s="21"/>
      <c r="C47" s="21"/>
      <c r="D47" s="13" t="s">
        <v>0</v>
      </c>
      <c r="E47" s="21"/>
      <c r="F47" s="21"/>
    </row>
    <row r="48" spans="1:6" x14ac:dyDescent="0.2">
      <c r="A48" s="21"/>
      <c r="B48" s="21"/>
      <c r="C48" s="21"/>
      <c r="D48" s="21"/>
      <c r="E48" s="21"/>
      <c r="F48" s="21"/>
    </row>
    <row r="49" spans="1:6" x14ac:dyDescent="0.2">
      <c r="A49" s="21" t="s">
        <v>4066</v>
      </c>
      <c r="B49" s="21"/>
      <c r="C49" s="21"/>
      <c r="D49" s="21"/>
      <c r="E49" s="21"/>
      <c r="F49" s="21"/>
    </row>
    <row r="50" spans="1:6" x14ac:dyDescent="0.2">
      <c r="A50" s="21"/>
      <c r="B50" s="21"/>
      <c r="C50" s="21"/>
      <c r="D50" s="21"/>
      <c r="E50" s="21"/>
      <c r="F50" s="21"/>
    </row>
    <row r="51" spans="1:6" x14ac:dyDescent="0.2">
      <c r="A51" s="21"/>
      <c r="B51" s="21"/>
      <c r="C51" s="21"/>
      <c r="D51" s="21"/>
      <c r="E51" s="21"/>
      <c r="F51" s="21"/>
    </row>
    <row r="52" spans="1:6" x14ac:dyDescent="0.2">
      <c r="A52" s="21"/>
      <c r="B52" s="21"/>
      <c r="C52" s="21"/>
      <c r="D52" s="21"/>
      <c r="E52" s="21"/>
      <c r="F52" s="21"/>
    </row>
    <row r="53" spans="1:6" x14ac:dyDescent="0.2">
      <c r="A53" s="21"/>
      <c r="B53" s="21"/>
      <c r="C53" s="21"/>
      <c r="D53" s="21"/>
      <c r="E53" s="21"/>
      <c r="F53" s="21"/>
    </row>
    <row r="54" spans="1:6" x14ac:dyDescent="0.2">
      <c r="A54" s="21"/>
      <c r="B54" s="21"/>
      <c r="C54" s="21"/>
      <c r="D54" s="21"/>
      <c r="E54" s="21"/>
      <c r="F54" s="21"/>
    </row>
    <row r="55" spans="1:6" x14ac:dyDescent="0.2">
      <c r="A55" s="21"/>
      <c r="B55" s="21"/>
      <c r="C55" s="21"/>
      <c r="D55" s="21"/>
      <c r="E55" s="21"/>
      <c r="F55" s="21"/>
    </row>
    <row r="56" spans="1:6" x14ac:dyDescent="0.2">
      <c r="A56" s="21"/>
      <c r="B56" s="21"/>
      <c r="C56" s="21"/>
      <c r="D56" s="21"/>
      <c r="E56" s="21"/>
      <c r="F56" s="21"/>
    </row>
    <row r="57" spans="1:6" x14ac:dyDescent="0.2">
      <c r="A57" s="21"/>
      <c r="B57" s="21"/>
      <c r="C57" s="21"/>
      <c r="D57" s="21"/>
      <c r="E57" s="21"/>
      <c r="F57" s="21"/>
    </row>
    <row r="58" spans="1:6" x14ac:dyDescent="0.2">
      <c r="A58" s="21"/>
      <c r="B58" s="21"/>
      <c r="C58" s="21"/>
      <c r="D58" s="21"/>
      <c r="E58" s="21"/>
      <c r="F58" s="21"/>
    </row>
    <row r="59" spans="1:6" x14ac:dyDescent="0.2">
      <c r="A59" s="21"/>
      <c r="B59" s="21"/>
      <c r="C59" s="21"/>
      <c r="D59" s="21"/>
      <c r="E59" s="21"/>
      <c r="F59" s="21"/>
    </row>
    <row r="60" spans="1:6" x14ac:dyDescent="0.2">
      <c r="A60" s="21"/>
      <c r="B60" s="21"/>
      <c r="C60" s="21"/>
      <c r="D60" s="21"/>
      <c r="E60" s="21"/>
      <c r="F60" s="21"/>
    </row>
    <row r="61" spans="1:6" x14ac:dyDescent="0.2">
      <c r="A61" s="21"/>
      <c r="B61" s="21"/>
      <c r="C61" s="21"/>
      <c r="D61" s="21"/>
      <c r="E61" s="21"/>
      <c r="F61" s="21"/>
    </row>
    <row r="62" spans="1:6" x14ac:dyDescent="0.2">
      <c r="A62" s="21"/>
      <c r="B62" s="21"/>
      <c r="C62" s="21"/>
      <c r="D62" s="21"/>
      <c r="E62" s="21"/>
      <c r="F62" s="21"/>
    </row>
    <row r="63" spans="1:6" x14ac:dyDescent="0.2">
      <c r="A63" s="21"/>
      <c r="B63" s="21"/>
      <c r="C63" s="21"/>
      <c r="D63" s="21"/>
      <c r="E63" s="21"/>
      <c r="F63" s="21"/>
    </row>
    <row r="64" spans="1:6" x14ac:dyDescent="0.2">
      <c r="A64" s="21"/>
      <c r="B64" s="21"/>
      <c r="C64" s="21"/>
      <c r="D64" s="21"/>
      <c r="E64" s="21"/>
      <c r="F64" s="21"/>
    </row>
    <row r="65" spans="1:6" x14ac:dyDescent="0.2">
      <c r="A65" s="21"/>
      <c r="B65" s="21"/>
      <c r="C65" s="21"/>
      <c r="D65" s="21"/>
      <c r="E65" s="21"/>
      <c r="F65" s="21"/>
    </row>
    <row r="66" spans="1:6" x14ac:dyDescent="0.2">
      <c r="A66" s="21"/>
      <c r="B66" s="21"/>
      <c r="C66" s="21"/>
      <c r="D66" s="21"/>
      <c r="E66" s="21"/>
      <c r="F66" s="21"/>
    </row>
    <row r="67" spans="1:6" x14ac:dyDescent="0.2">
      <c r="A67" s="21"/>
      <c r="B67" s="21"/>
      <c r="C67" s="21"/>
      <c r="D67" s="21"/>
      <c r="E67" s="21"/>
      <c r="F67" s="21"/>
    </row>
    <row r="68" spans="1:6" x14ac:dyDescent="0.2">
      <c r="A68" s="21"/>
      <c r="B68" s="21"/>
      <c r="C68" s="21"/>
      <c r="D68" s="21"/>
      <c r="E68" s="21"/>
      <c r="F68" s="21"/>
    </row>
    <row r="69" spans="1:6" x14ac:dyDescent="0.2">
      <c r="A69" s="21"/>
      <c r="B69" s="21"/>
      <c r="C69" s="21"/>
      <c r="D69" s="21"/>
      <c r="E69" s="21"/>
      <c r="F69" s="21"/>
    </row>
    <row r="70" spans="1:6" x14ac:dyDescent="0.2">
      <c r="A70" s="21"/>
      <c r="B70" s="21"/>
      <c r="C70" s="21"/>
      <c r="D70" s="21"/>
      <c r="E70" s="21"/>
      <c r="F70" s="21"/>
    </row>
    <row r="71" spans="1:6" x14ac:dyDescent="0.2">
      <c r="A71" s="21"/>
      <c r="B71" s="21"/>
      <c r="C71" s="21"/>
      <c r="D71" s="21"/>
      <c r="E71" s="21"/>
      <c r="F71" s="21"/>
    </row>
    <row r="72" spans="1:6" x14ac:dyDescent="0.2">
      <c r="A72" s="21"/>
      <c r="B72" s="21"/>
      <c r="C72" s="21"/>
      <c r="D72" s="21"/>
      <c r="E72" s="21"/>
      <c r="F72" s="21"/>
    </row>
    <row r="73" spans="1:6" x14ac:dyDescent="0.2">
      <c r="A73" s="21"/>
      <c r="B73" s="21"/>
      <c r="C73" s="21"/>
      <c r="D73" s="21"/>
      <c r="E73" s="21"/>
      <c r="F73" s="21"/>
    </row>
    <row r="74" spans="1:6" x14ac:dyDescent="0.2">
      <c r="A74" s="21"/>
      <c r="B74" s="21"/>
      <c r="C74" s="21"/>
      <c r="D74" s="21"/>
      <c r="E74" s="21"/>
      <c r="F74" s="21"/>
    </row>
    <row r="75" spans="1:6" x14ac:dyDescent="0.2">
      <c r="A75" s="21"/>
      <c r="B75" s="21"/>
      <c r="C75" s="21"/>
      <c r="D75" s="21"/>
      <c r="E75" s="21"/>
      <c r="F75" s="21"/>
    </row>
    <row r="76" spans="1:6" x14ac:dyDescent="0.2">
      <c r="A76" s="21"/>
      <c r="B76" s="21"/>
      <c r="C76" s="21"/>
      <c r="D76" s="21"/>
      <c r="E76" s="21"/>
      <c r="F76" s="21"/>
    </row>
    <row r="77" spans="1:6" x14ac:dyDescent="0.2">
      <c r="A77" s="21"/>
      <c r="B77" s="21"/>
      <c r="C77" s="21"/>
      <c r="D77" s="21"/>
      <c r="E77" s="21"/>
      <c r="F77" s="21"/>
    </row>
    <row r="78" spans="1:6" x14ac:dyDescent="0.2">
      <c r="A78" s="21"/>
      <c r="B78" s="21"/>
      <c r="C78" s="21"/>
      <c r="D78" s="21"/>
      <c r="E78" s="21"/>
      <c r="F78" s="21"/>
    </row>
    <row r="79" spans="1:6" x14ac:dyDescent="0.2">
      <c r="A79" s="21"/>
      <c r="B79" s="21"/>
      <c r="C79" s="21"/>
      <c r="D79" s="21"/>
      <c r="E79" s="21"/>
      <c r="F79" s="21"/>
    </row>
    <row r="80" spans="1:6" x14ac:dyDescent="0.2">
      <c r="A80" s="21"/>
      <c r="B80" s="21"/>
      <c r="C80" s="21"/>
      <c r="D80" s="21"/>
      <c r="E80" s="21"/>
      <c r="F80" s="21"/>
    </row>
    <row r="81" spans="1:6" x14ac:dyDescent="0.2">
      <c r="A81" s="21"/>
      <c r="B81" s="21"/>
      <c r="C81" s="21"/>
      <c r="D81" s="21"/>
      <c r="E81" s="21"/>
      <c r="F81" s="21"/>
    </row>
    <row r="82" spans="1:6" x14ac:dyDescent="0.2">
      <c r="A82" s="21"/>
      <c r="B82" s="21"/>
      <c r="C82" s="21"/>
      <c r="D82" s="21"/>
      <c r="E82" s="21"/>
      <c r="F82" s="21"/>
    </row>
    <row r="83" spans="1:6" x14ac:dyDescent="0.2">
      <c r="A83" s="21"/>
      <c r="B83" s="21"/>
      <c r="C83" s="21"/>
      <c r="D83" s="21"/>
      <c r="E83" s="21"/>
      <c r="F83" s="21"/>
    </row>
    <row r="84" spans="1:6" x14ac:dyDescent="0.2">
      <c r="A84" s="21"/>
      <c r="B84" s="21"/>
      <c r="C84" s="21"/>
      <c r="D84" s="21"/>
      <c r="E84" s="21"/>
      <c r="F84" s="21"/>
    </row>
    <row r="85" spans="1:6" x14ac:dyDescent="0.2">
      <c r="A85" s="21"/>
      <c r="B85" s="21"/>
      <c r="C85" s="21"/>
      <c r="D85" s="21"/>
      <c r="E85" s="21"/>
      <c r="F85" s="21"/>
    </row>
    <row r="86" spans="1:6" x14ac:dyDescent="0.2">
      <c r="A86" s="21"/>
      <c r="B86" s="21"/>
      <c r="C86" s="21"/>
      <c r="D86" s="21"/>
      <c r="E86" s="21"/>
      <c r="F86" s="21"/>
    </row>
    <row r="87" spans="1:6" x14ac:dyDescent="0.2">
      <c r="A87" s="21"/>
      <c r="B87" s="21"/>
      <c r="C87" s="21"/>
      <c r="D87" s="21"/>
      <c r="E87" s="21"/>
      <c r="F87" s="21"/>
    </row>
    <row r="88" spans="1:6" x14ac:dyDescent="0.2">
      <c r="A88" s="21"/>
      <c r="B88" s="21"/>
      <c r="C88" s="21"/>
      <c r="D88" s="21"/>
      <c r="E88" s="21"/>
      <c r="F88" s="21"/>
    </row>
    <row r="89" spans="1:6" x14ac:dyDescent="0.2">
      <c r="A89" s="21"/>
      <c r="B89" s="21"/>
      <c r="C89" s="21"/>
      <c r="D89" s="21"/>
      <c r="E89" s="21"/>
      <c r="F89" s="21"/>
    </row>
    <row r="90" spans="1:6" x14ac:dyDescent="0.2">
      <c r="A90" s="21"/>
      <c r="B90" s="21"/>
      <c r="C90" s="21"/>
      <c r="D90" s="21"/>
      <c r="E90" s="21"/>
      <c r="F90" s="21"/>
    </row>
    <row r="91" spans="1:6" x14ac:dyDescent="0.2">
      <c r="A91" s="21"/>
      <c r="B91" s="21"/>
      <c r="C91" s="21"/>
      <c r="D91" s="21"/>
      <c r="E91" s="21"/>
      <c r="F91" s="21"/>
    </row>
    <row r="92" spans="1:6" ht="16.5" x14ac:dyDescent="0.3">
      <c r="A92" s="37"/>
      <c r="B92" s="37"/>
      <c r="C92" s="37"/>
      <c r="D92" s="37"/>
      <c r="E92" s="37"/>
      <c r="F92" s="37"/>
    </row>
    <row r="93" spans="1:6" ht="16.5" x14ac:dyDescent="0.3">
      <c r="A93" s="37"/>
      <c r="B93" s="37"/>
      <c r="C93" s="37"/>
      <c r="D93" s="37"/>
      <c r="E93" s="37"/>
      <c r="F93" s="37"/>
    </row>
    <row r="94" spans="1:6" ht="16.5" x14ac:dyDescent="0.3">
      <c r="A94" s="37"/>
      <c r="B94" s="37"/>
      <c r="C94" s="37"/>
      <c r="D94" s="37"/>
      <c r="E94" s="37"/>
      <c r="F94" s="37"/>
    </row>
    <row r="95" spans="1:6" ht="16.5" x14ac:dyDescent="0.3">
      <c r="A95" s="37"/>
      <c r="B95" s="37"/>
      <c r="C95" s="37"/>
      <c r="D95" s="37"/>
      <c r="E95" s="37"/>
      <c r="F95" s="37"/>
    </row>
    <row r="96" spans="1:6" ht="16.5" x14ac:dyDescent="0.3">
      <c r="A96" s="37"/>
      <c r="B96" s="37"/>
      <c r="C96" s="37"/>
      <c r="D96" s="37"/>
      <c r="E96" s="37"/>
      <c r="F96" s="37"/>
    </row>
    <row r="97" spans="1:6" ht="16.5" x14ac:dyDescent="0.3">
      <c r="A97" s="37"/>
      <c r="B97" s="37"/>
      <c r="C97" s="37"/>
      <c r="D97" s="37"/>
      <c r="E97" s="37"/>
      <c r="F97" s="37"/>
    </row>
    <row r="98" spans="1:6" ht="16.5" x14ac:dyDescent="0.3">
      <c r="A98" s="37"/>
      <c r="B98" s="37"/>
      <c r="C98" s="37"/>
      <c r="D98" s="37"/>
      <c r="E98" s="37"/>
      <c r="F98" s="37"/>
    </row>
    <row r="99" spans="1:6" ht="16.5" x14ac:dyDescent="0.3">
      <c r="A99" s="37"/>
      <c r="B99" s="37"/>
      <c r="C99" s="37"/>
      <c r="D99" s="37"/>
      <c r="E99" s="37"/>
      <c r="F99" s="37"/>
    </row>
    <row r="100" spans="1:6" ht="16.5" x14ac:dyDescent="0.3">
      <c r="A100" s="37"/>
      <c r="B100" s="37"/>
      <c r="C100" s="37"/>
      <c r="D100" s="37"/>
      <c r="E100" s="37"/>
      <c r="F100" s="37"/>
    </row>
    <row r="101" spans="1:6" ht="16.5" x14ac:dyDescent="0.3">
      <c r="A101" s="37"/>
      <c r="B101" s="37"/>
      <c r="C101" s="37"/>
      <c r="D101" s="37"/>
      <c r="E101" s="37"/>
      <c r="F101" s="37"/>
    </row>
    <row r="102" spans="1:6" ht="16.5" x14ac:dyDescent="0.3">
      <c r="A102" s="37"/>
      <c r="B102" s="37"/>
      <c r="C102" s="37"/>
      <c r="D102" s="37"/>
      <c r="E102" s="37"/>
      <c r="F102" s="37"/>
    </row>
    <row r="103" spans="1:6" ht="16.5" x14ac:dyDescent="0.3">
      <c r="A103" s="37"/>
      <c r="B103" s="37"/>
      <c r="C103" s="37"/>
      <c r="D103" s="37"/>
      <c r="E103" s="37"/>
      <c r="F103" s="37"/>
    </row>
    <row r="104" spans="1:6" ht="16.5" x14ac:dyDescent="0.3">
      <c r="A104" s="37"/>
      <c r="B104" s="37"/>
      <c r="C104" s="37"/>
      <c r="D104" s="37"/>
      <c r="E104" s="37"/>
      <c r="F104" s="37"/>
    </row>
    <row r="105" spans="1:6" ht="16.5" x14ac:dyDescent="0.3">
      <c r="A105" s="37"/>
      <c r="B105" s="37"/>
      <c r="C105" s="37"/>
      <c r="D105" s="37"/>
      <c r="E105" s="37"/>
      <c r="F105" s="37"/>
    </row>
    <row r="106" spans="1:6" ht="16.5" x14ac:dyDescent="0.3">
      <c r="A106" s="37"/>
      <c r="B106" s="37"/>
      <c r="C106" s="37"/>
      <c r="D106" s="37"/>
      <c r="E106" s="37"/>
      <c r="F106" s="37"/>
    </row>
    <row r="107" spans="1:6" ht="16.5" x14ac:dyDescent="0.3">
      <c r="A107" s="37"/>
      <c r="B107" s="37"/>
      <c r="C107" s="37"/>
      <c r="D107" s="37"/>
      <c r="E107" s="37"/>
      <c r="F107" s="37"/>
    </row>
    <row r="108" spans="1:6" ht="16.5" x14ac:dyDescent="0.3">
      <c r="A108" s="37"/>
      <c r="B108" s="37"/>
      <c r="C108" s="37"/>
      <c r="D108" s="37"/>
      <c r="E108" s="37"/>
      <c r="F108" s="37"/>
    </row>
    <row r="109" spans="1:6" ht="16.5" x14ac:dyDescent="0.3">
      <c r="A109" s="37"/>
      <c r="B109" s="37"/>
      <c r="C109" s="37"/>
      <c r="D109" s="37"/>
      <c r="E109" s="37"/>
      <c r="F109" s="37"/>
    </row>
    <row r="110" spans="1:6" ht="16.5" x14ac:dyDescent="0.3">
      <c r="A110" s="37"/>
      <c r="B110" s="37"/>
      <c r="C110" s="37"/>
      <c r="D110" s="37"/>
      <c r="E110" s="37"/>
      <c r="F110" s="37"/>
    </row>
    <row r="111" spans="1:6" ht="16.5" x14ac:dyDescent="0.3">
      <c r="A111" s="37"/>
      <c r="B111" s="37"/>
      <c r="C111" s="37"/>
      <c r="D111" s="37"/>
      <c r="E111" s="37"/>
      <c r="F111" s="37"/>
    </row>
    <row r="112" spans="1:6" ht="16.5" x14ac:dyDescent="0.3">
      <c r="A112" s="37"/>
      <c r="B112" s="37"/>
      <c r="C112" s="37"/>
      <c r="D112" s="37"/>
      <c r="E112" s="37"/>
      <c r="F112" s="37"/>
    </row>
    <row r="113" spans="1:6" ht="16.5" x14ac:dyDescent="0.3">
      <c r="A113" s="37"/>
      <c r="B113" s="37"/>
      <c r="C113" s="37"/>
      <c r="D113" s="37"/>
      <c r="E113" s="37"/>
      <c r="F113" s="37"/>
    </row>
    <row r="114" spans="1:6" ht="16.5" x14ac:dyDescent="0.3">
      <c r="A114" s="37"/>
      <c r="B114" s="37"/>
      <c r="C114" s="37"/>
      <c r="D114" s="37"/>
      <c r="E114" s="37"/>
      <c r="F114" s="37"/>
    </row>
    <row r="115" spans="1:6" ht="16.5" x14ac:dyDescent="0.3">
      <c r="A115" s="37"/>
      <c r="B115" s="37"/>
      <c r="C115" s="37"/>
      <c r="D115" s="37"/>
      <c r="E115" s="37"/>
      <c r="F115" s="37"/>
    </row>
    <row r="116" spans="1:6" ht="16.5" x14ac:dyDescent="0.3">
      <c r="A116" s="37"/>
      <c r="B116" s="37"/>
      <c r="C116" s="37"/>
      <c r="D116" s="37"/>
      <c r="E116" s="37"/>
      <c r="F116" s="37"/>
    </row>
    <row r="117" spans="1:6" ht="16.5" x14ac:dyDescent="0.3">
      <c r="A117" s="37"/>
      <c r="B117" s="37"/>
      <c r="C117" s="37"/>
      <c r="D117" s="37"/>
      <c r="E117" s="37"/>
      <c r="F117" s="37"/>
    </row>
    <row r="118" spans="1:6" ht="16.5" x14ac:dyDescent="0.3">
      <c r="A118" s="37"/>
      <c r="B118" s="37"/>
      <c r="C118" s="37"/>
      <c r="D118" s="37"/>
      <c r="E118" s="37"/>
      <c r="F118" s="37"/>
    </row>
    <row r="119" spans="1:6" ht="16.5" x14ac:dyDescent="0.3">
      <c r="A119" s="37"/>
      <c r="B119" s="37"/>
      <c r="C119" s="37"/>
      <c r="D119" s="37"/>
      <c r="E119" s="37"/>
      <c r="F119" s="37"/>
    </row>
    <row r="120" spans="1:6" ht="16.5" x14ac:dyDescent="0.3">
      <c r="A120" s="37"/>
      <c r="B120" s="37"/>
      <c r="C120" s="37"/>
      <c r="D120" s="37"/>
      <c r="E120" s="37"/>
      <c r="F120" s="37"/>
    </row>
    <row r="121" spans="1:6" ht="16.5" x14ac:dyDescent="0.3">
      <c r="A121" s="37"/>
      <c r="B121" s="37"/>
      <c r="C121" s="37"/>
      <c r="D121" s="37"/>
      <c r="E121" s="37"/>
      <c r="F121" s="37"/>
    </row>
    <row r="122" spans="1:6" ht="16.5" x14ac:dyDescent="0.3">
      <c r="A122" s="37"/>
      <c r="B122" s="37"/>
      <c r="C122" s="37"/>
      <c r="D122" s="37"/>
      <c r="E122" s="37"/>
      <c r="F122" s="37"/>
    </row>
    <row r="123" spans="1:6" ht="16.5" x14ac:dyDescent="0.3">
      <c r="A123" s="37"/>
      <c r="B123" s="37"/>
      <c r="C123" s="37"/>
      <c r="D123" s="37"/>
      <c r="E123" s="37"/>
      <c r="F123" s="37"/>
    </row>
    <row r="124" spans="1:6" ht="16.5" x14ac:dyDescent="0.3">
      <c r="A124" s="37"/>
      <c r="B124" s="37"/>
      <c r="C124" s="37"/>
      <c r="D124" s="37"/>
      <c r="E124" s="37"/>
      <c r="F124" s="37"/>
    </row>
    <row r="125" spans="1:6" ht="16.5" x14ac:dyDescent="0.3">
      <c r="A125" s="37"/>
      <c r="B125" s="37"/>
      <c r="C125" s="37"/>
      <c r="D125" s="37"/>
      <c r="E125" s="37"/>
      <c r="F125" s="37"/>
    </row>
    <row r="126" spans="1:6" ht="16.5" x14ac:dyDescent="0.3">
      <c r="A126" s="37"/>
      <c r="B126" s="37"/>
      <c r="C126" s="37"/>
      <c r="D126" s="37"/>
      <c r="E126" s="37"/>
      <c r="F126" s="37"/>
    </row>
    <row r="127" spans="1:6" ht="16.5" x14ac:dyDescent="0.3">
      <c r="A127" s="37"/>
      <c r="B127" s="37"/>
      <c r="C127" s="37"/>
      <c r="D127" s="37"/>
      <c r="E127" s="37"/>
      <c r="F127" s="37"/>
    </row>
    <row r="128" spans="1:6" ht="16.5" x14ac:dyDescent="0.3">
      <c r="A128" s="37"/>
      <c r="B128" s="37"/>
      <c r="C128" s="37"/>
      <c r="D128" s="37"/>
      <c r="E128" s="37"/>
      <c r="F128" s="37"/>
    </row>
    <row r="129" spans="1:6" ht="16.5" x14ac:dyDescent="0.3">
      <c r="A129" s="37"/>
      <c r="B129" s="37"/>
      <c r="C129" s="37"/>
      <c r="D129" s="37"/>
      <c r="E129" s="37"/>
      <c r="F129" s="37"/>
    </row>
    <row r="130" spans="1:6" ht="16.5" x14ac:dyDescent="0.3">
      <c r="A130" s="37"/>
      <c r="B130" s="37"/>
      <c r="C130" s="37"/>
      <c r="D130" s="37"/>
      <c r="E130" s="37"/>
      <c r="F130" s="37"/>
    </row>
    <row r="131" spans="1:6" ht="16.5" x14ac:dyDescent="0.3">
      <c r="A131" s="37"/>
      <c r="B131" s="37"/>
      <c r="C131" s="37"/>
      <c r="D131" s="37"/>
      <c r="E131" s="37"/>
      <c r="F131" s="37"/>
    </row>
    <row r="132" spans="1:6" ht="16.5" x14ac:dyDescent="0.3">
      <c r="A132" s="37"/>
      <c r="B132" s="37"/>
      <c r="C132" s="37"/>
      <c r="D132" s="37"/>
      <c r="E132" s="37"/>
      <c r="F132" s="37"/>
    </row>
    <row r="133" spans="1:6" ht="16.5" x14ac:dyDescent="0.3">
      <c r="A133" s="37"/>
      <c r="B133" s="37"/>
      <c r="C133" s="37"/>
      <c r="D133" s="37"/>
      <c r="E133" s="37"/>
      <c r="F133" s="37"/>
    </row>
    <row r="134" spans="1:6" ht="16.5" x14ac:dyDescent="0.3">
      <c r="A134" s="37"/>
      <c r="B134" s="37"/>
      <c r="C134" s="37"/>
      <c r="D134" s="37"/>
      <c r="E134" s="37"/>
      <c r="F134" s="37"/>
    </row>
    <row r="135" spans="1:6" ht="16.5" x14ac:dyDescent="0.3">
      <c r="A135" s="37"/>
      <c r="B135" s="37"/>
      <c r="C135" s="37"/>
      <c r="D135" s="37"/>
      <c r="E135" s="37"/>
      <c r="F135" s="37"/>
    </row>
    <row r="136" spans="1:6" ht="16.5" x14ac:dyDescent="0.3">
      <c r="A136" s="37"/>
      <c r="B136" s="37"/>
      <c r="C136" s="37"/>
      <c r="D136" s="37"/>
      <c r="E136" s="37"/>
      <c r="F136" s="37"/>
    </row>
    <row r="137" spans="1:6" ht="16.5" x14ac:dyDescent="0.3">
      <c r="A137" s="37"/>
      <c r="B137" s="37"/>
      <c r="C137" s="37"/>
      <c r="D137" s="37"/>
      <c r="E137" s="37"/>
      <c r="F137" s="37"/>
    </row>
    <row r="138" spans="1:6" ht="16.5" x14ac:dyDescent="0.3">
      <c r="A138" s="37"/>
      <c r="B138" s="37"/>
      <c r="C138" s="37"/>
      <c r="D138" s="37"/>
      <c r="E138" s="37"/>
      <c r="F138" s="37"/>
    </row>
    <row r="139" spans="1:6" ht="16.5" x14ac:dyDescent="0.3">
      <c r="A139" s="37"/>
      <c r="B139" s="37"/>
      <c r="C139" s="37"/>
      <c r="D139" s="37"/>
      <c r="E139" s="37"/>
      <c r="F139" s="37"/>
    </row>
    <row r="140" spans="1:6" ht="16.5" x14ac:dyDescent="0.3">
      <c r="A140" s="37"/>
      <c r="B140" s="37"/>
      <c r="C140" s="37"/>
      <c r="D140" s="37"/>
      <c r="E140" s="37"/>
      <c r="F140" s="37"/>
    </row>
    <row r="141" spans="1:6" ht="16.5" x14ac:dyDescent="0.3">
      <c r="A141" s="37"/>
      <c r="B141" s="37"/>
      <c r="C141" s="37"/>
      <c r="D141" s="37"/>
      <c r="E141" s="37"/>
      <c r="F141" s="37"/>
    </row>
    <row r="142" spans="1:6" ht="16.5" x14ac:dyDescent="0.3">
      <c r="A142" s="37"/>
      <c r="B142" s="37"/>
      <c r="C142" s="37"/>
      <c r="D142" s="37"/>
      <c r="E142" s="37"/>
      <c r="F142" s="37"/>
    </row>
    <row r="143" spans="1:6" ht="16.5" x14ac:dyDescent="0.3">
      <c r="A143" s="37"/>
      <c r="B143" s="37"/>
      <c r="C143" s="37"/>
      <c r="D143" s="37"/>
      <c r="E143" s="37"/>
      <c r="F143" s="37"/>
    </row>
    <row r="144" spans="1:6" ht="16.5" x14ac:dyDescent="0.3">
      <c r="A144" s="37"/>
      <c r="B144" s="37"/>
      <c r="C144" s="37"/>
      <c r="D144" s="37"/>
      <c r="E144" s="37"/>
      <c r="F144" s="37"/>
    </row>
    <row r="145" spans="1:6" ht="16.5" x14ac:dyDescent="0.3">
      <c r="A145" s="37"/>
      <c r="B145" s="37"/>
      <c r="C145" s="37"/>
      <c r="D145" s="37"/>
      <c r="E145" s="37"/>
      <c r="F145" s="37"/>
    </row>
    <row r="146" spans="1:6" ht="16.5" x14ac:dyDescent="0.3">
      <c r="A146" s="37"/>
      <c r="B146" s="37"/>
      <c r="C146" s="37"/>
      <c r="D146" s="37"/>
      <c r="E146" s="37"/>
      <c r="F146" s="37"/>
    </row>
    <row r="147" spans="1:6" ht="16.5" x14ac:dyDescent="0.3">
      <c r="A147" s="37"/>
      <c r="B147" s="37"/>
      <c r="C147" s="37"/>
      <c r="D147" s="37"/>
      <c r="E147" s="37"/>
      <c r="F147" s="37"/>
    </row>
    <row r="148" spans="1:6" ht="16.5" x14ac:dyDescent="0.3">
      <c r="A148" s="37"/>
      <c r="B148" s="37"/>
      <c r="C148" s="37"/>
      <c r="D148" s="37"/>
      <c r="E148" s="37"/>
      <c r="F148" s="37"/>
    </row>
    <row r="149" spans="1:6" ht="16.5" x14ac:dyDescent="0.3">
      <c r="A149" s="37"/>
      <c r="B149" s="37"/>
      <c r="C149" s="37"/>
      <c r="D149" s="37"/>
      <c r="E149" s="37"/>
      <c r="F149" s="37"/>
    </row>
    <row r="150" spans="1:6" ht="16.5" x14ac:dyDescent="0.3">
      <c r="A150" s="37"/>
      <c r="B150" s="37"/>
      <c r="C150" s="37"/>
      <c r="D150" s="37"/>
      <c r="E150" s="37"/>
      <c r="F150" s="37"/>
    </row>
    <row r="151" spans="1:6" ht="16.5" x14ac:dyDescent="0.3">
      <c r="A151" s="37"/>
      <c r="B151" s="37"/>
      <c r="C151" s="37"/>
      <c r="D151" s="37"/>
      <c r="E151" s="37"/>
      <c r="F151" s="37"/>
    </row>
    <row r="152" spans="1:6" ht="16.5" x14ac:dyDescent="0.3">
      <c r="A152" s="37"/>
      <c r="B152" s="37"/>
      <c r="C152" s="37"/>
      <c r="D152" s="37"/>
      <c r="E152" s="37"/>
      <c r="F152" s="37"/>
    </row>
    <row r="153" spans="1:6" ht="16.5" x14ac:dyDescent="0.3">
      <c r="A153" s="37"/>
      <c r="B153" s="37"/>
      <c r="C153" s="37"/>
      <c r="D153" s="37"/>
      <c r="E153" s="37"/>
      <c r="F153" s="37"/>
    </row>
    <row r="154" spans="1:6" ht="16.5" x14ac:dyDescent="0.3">
      <c r="A154" s="37"/>
      <c r="B154" s="37"/>
      <c r="C154" s="37"/>
      <c r="D154" s="37"/>
      <c r="E154" s="37"/>
      <c r="F154" s="37"/>
    </row>
    <row r="155" spans="1:6" ht="16.5" x14ac:dyDescent="0.3">
      <c r="A155" s="37"/>
      <c r="B155" s="37"/>
      <c r="C155" s="37"/>
      <c r="D155" s="37"/>
      <c r="E155" s="37"/>
      <c r="F155" s="37"/>
    </row>
    <row r="156" spans="1:6" ht="16.5" x14ac:dyDescent="0.3">
      <c r="A156" s="37"/>
      <c r="B156" s="37"/>
      <c r="C156" s="37"/>
      <c r="D156" s="37"/>
      <c r="E156" s="37"/>
      <c r="F156" s="37"/>
    </row>
    <row r="157" spans="1:6" ht="16.5" x14ac:dyDescent="0.3">
      <c r="A157" s="37"/>
      <c r="B157" s="37"/>
      <c r="C157" s="37"/>
      <c r="D157" s="37"/>
      <c r="E157" s="37"/>
      <c r="F157" s="37"/>
    </row>
    <row r="158" spans="1:6" ht="16.5" x14ac:dyDescent="0.3">
      <c r="A158" s="37"/>
      <c r="B158" s="37"/>
      <c r="C158" s="37"/>
      <c r="D158" s="37"/>
      <c r="E158" s="37"/>
      <c r="F158" s="37"/>
    </row>
    <row r="159" spans="1:6" ht="16.5" x14ac:dyDescent="0.3">
      <c r="A159" s="37"/>
      <c r="B159" s="37"/>
      <c r="C159" s="37"/>
      <c r="D159" s="37"/>
      <c r="E159" s="37"/>
      <c r="F159" s="37"/>
    </row>
    <row r="160" spans="1:6" ht="16.5" x14ac:dyDescent="0.3">
      <c r="A160" s="37"/>
      <c r="B160" s="37"/>
      <c r="C160" s="37"/>
      <c r="D160" s="37"/>
      <c r="E160" s="37"/>
      <c r="F160" s="37"/>
    </row>
    <row r="161" spans="1:6" ht="16.5" x14ac:dyDescent="0.3">
      <c r="A161" s="37"/>
      <c r="B161" s="37"/>
      <c r="C161" s="37"/>
      <c r="D161" s="37"/>
      <c r="E161" s="37"/>
      <c r="F161" s="37"/>
    </row>
    <row r="162" spans="1:6" ht="16.5" x14ac:dyDescent="0.3">
      <c r="A162" s="37"/>
      <c r="B162" s="37"/>
      <c r="C162" s="37"/>
      <c r="D162" s="37"/>
      <c r="E162" s="37"/>
      <c r="F162" s="37"/>
    </row>
    <row r="163" spans="1:6" ht="16.5" x14ac:dyDescent="0.3">
      <c r="A163" s="37"/>
      <c r="B163" s="37"/>
      <c r="C163" s="37"/>
      <c r="D163" s="37"/>
      <c r="E163" s="37"/>
      <c r="F163" s="37"/>
    </row>
    <row r="164" spans="1:6" ht="16.5" x14ac:dyDescent="0.3">
      <c r="A164" s="37"/>
      <c r="B164" s="37"/>
      <c r="C164" s="37"/>
      <c r="D164" s="37"/>
      <c r="E164" s="37"/>
      <c r="F164" s="37"/>
    </row>
    <row r="165" spans="1:6" ht="16.5" x14ac:dyDescent="0.3">
      <c r="A165" s="37"/>
      <c r="B165" s="37"/>
      <c r="C165" s="37"/>
      <c r="D165" s="37"/>
      <c r="E165" s="37"/>
      <c r="F165" s="37"/>
    </row>
    <row r="166" spans="1:6" ht="16.5" x14ac:dyDescent="0.3">
      <c r="A166" s="37"/>
      <c r="B166" s="37"/>
      <c r="C166" s="37"/>
      <c r="D166" s="37"/>
      <c r="E166" s="37"/>
      <c r="F166" s="37"/>
    </row>
    <row r="167" spans="1:6" ht="16.5" x14ac:dyDescent="0.3">
      <c r="A167" s="37"/>
      <c r="B167" s="37"/>
      <c r="C167" s="37"/>
      <c r="D167" s="37"/>
      <c r="E167" s="37"/>
      <c r="F167" s="37"/>
    </row>
    <row r="168" spans="1:6" ht="16.5" x14ac:dyDescent="0.3">
      <c r="A168" s="37"/>
      <c r="B168" s="37"/>
      <c r="C168" s="37"/>
      <c r="D168" s="37"/>
      <c r="E168" s="37"/>
      <c r="F168" s="37"/>
    </row>
    <row r="169" spans="1:6" ht="16.5" x14ac:dyDescent="0.3">
      <c r="A169" s="37"/>
      <c r="B169" s="37"/>
      <c r="C169" s="37"/>
      <c r="D169" s="37"/>
      <c r="E169" s="37"/>
      <c r="F169" s="37"/>
    </row>
    <row r="170" spans="1:6" ht="16.5" x14ac:dyDescent="0.3">
      <c r="A170" s="37"/>
      <c r="B170" s="37"/>
      <c r="C170" s="37"/>
      <c r="D170" s="37"/>
      <c r="E170" s="37"/>
      <c r="F170" s="37"/>
    </row>
    <row r="171" spans="1:6" ht="16.5" x14ac:dyDescent="0.3">
      <c r="A171" s="37"/>
      <c r="B171" s="37"/>
      <c r="C171" s="37"/>
      <c r="D171" s="37"/>
      <c r="E171" s="37"/>
      <c r="F171" s="37"/>
    </row>
    <row r="172" spans="1:6" ht="16.5" x14ac:dyDescent="0.3">
      <c r="A172" s="37"/>
      <c r="B172" s="37"/>
      <c r="C172" s="37"/>
      <c r="D172" s="37"/>
      <c r="E172" s="37"/>
      <c r="F172" s="37"/>
    </row>
    <row r="173" spans="1:6" ht="16.5" x14ac:dyDescent="0.3">
      <c r="A173" s="37"/>
      <c r="B173" s="37"/>
      <c r="C173" s="37"/>
      <c r="D173" s="37"/>
      <c r="E173" s="37"/>
      <c r="F173" s="37"/>
    </row>
    <row r="174" spans="1:6" ht="16.5" x14ac:dyDescent="0.3">
      <c r="A174" s="37"/>
      <c r="B174" s="37"/>
      <c r="C174" s="37"/>
      <c r="D174" s="37"/>
      <c r="E174" s="37"/>
      <c r="F174" s="37"/>
    </row>
    <row r="175" spans="1:6" ht="16.5" x14ac:dyDescent="0.3">
      <c r="A175" s="37"/>
      <c r="B175" s="37"/>
      <c r="C175" s="37"/>
      <c r="D175" s="37"/>
      <c r="E175" s="37"/>
      <c r="F175" s="37"/>
    </row>
    <row r="176" spans="1:6" ht="16.5" x14ac:dyDescent="0.3">
      <c r="A176" s="37"/>
      <c r="B176" s="37"/>
      <c r="C176" s="37"/>
      <c r="D176" s="37"/>
      <c r="E176" s="37"/>
      <c r="F176" s="37"/>
    </row>
    <row r="177" spans="1:6" ht="16.5" x14ac:dyDescent="0.3">
      <c r="A177" s="37"/>
      <c r="B177" s="37"/>
      <c r="C177" s="37"/>
      <c r="D177" s="37"/>
      <c r="E177" s="37"/>
      <c r="F177" s="37"/>
    </row>
    <row r="178" spans="1:6" ht="16.5" x14ac:dyDescent="0.3">
      <c r="A178" s="37"/>
      <c r="B178" s="37"/>
      <c r="C178" s="37"/>
      <c r="D178" s="37"/>
      <c r="E178" s="37"/>
      <c r="F178" s="37"/>
    </row>
    <row r="179" spans="1:6" ht="16.5" x14ac:dyDescent="0.3">
      <c r="A179" s="37"/>
      <c r="B179" s="37"/>
      <c r="C179" s="37"/>
      <c r="D179" s="37"/>
      <c r="E179" s="37"/>
      <c r="F179" s="37"/>
    </row>
    <row r="180" spans="1:6" ht="16.5" x14ac:dyDescent="0.3">
      <c r="A180" s="37"/>
      <c r="B180" s="37"/>
      <c r="C180" s="37"/>
      <c r="D180" s="37"/>
      <c r="E180" s="37"/>
      <c r="F180" s="37"/>
    </row>
    <row r="181" spans="1:6" ht="16.5" x14ac:dyDescent="0.3">
      <c r="A181" s="37"/>
      <c r="B181" s="37"/>
      <c r="C181" s="37"/>
      <c r="D181" s="37"/>
      <c r="E181" s="37"/>
      <c r="F181" s="37"/>
    </row>
    <row r="182" spans="1:6" ht="16.5" x14ac:dyDescent="0.3">
      <c r="A182" s="37"/>
      <c r="B182" s="37"/>
      <c r="C182" s="37"/>
      <c r="D182" s="37"/>
      <c r="E182" s="37"/>
      <c r="F182" s="37"/>
    </row>
    <row r="183" spans="1:6" ht="16.5" x14ac:dyDescent="0.3">
      <c r="A183" s="37"/>
      <c r="B183" s="37"/>
      <c r="C183" s="37"/>
      <c r="D183" s="37"/>
      <c r="E183" s="37"/>
      <c r="F183" s="37"/>
    </row>
    <row r="184" spans="1:6" ht="16.5" x14ac:dyDescent="0.3">
      <c r="A184" s="37"/>
      <c r="B184" s="37"/>
      <c r="C184" s="37"/>
      <c r="D184" s="37"/>
      <c r="E184" s="37"/>
      <c r="F184" s="37"/>
    </row>
    <row r="185" spans="1:6" ht="16.5" x14ac:dyDescent="0.3">
      <c r="A185" s="37"/>
      <c r="B185" s="37"/>
      <c r="C185" s="37"/>
      <c r="D185" s="37"/>
      <c r="E185" s="37"/>
      <c r="F185" s="37"/>
    </row>
    <row r="186" spans="1:6" ht="16.5" x14ac:dyDescent="0.3">
      <c r="A186" s="37"/>
      <c r="B186" s="37"/>
      <c r="C186" s="37"/>
      <c r="D186" s="37"/>
      <c r="E186" s="37"/>
      <c r="F186" s="37"/>
    </row>
    <row r="187" spans="1:6" ht="16.5" x14ac:dyDescent="0.3">
      <c r="A187" s="37"/>
      <c r="B187" s="37"/>
      <c r="C187" s="37"/>
      <c r="D187" s="37"/>
      <c r="E187" s="37"/>
      <c r="F187" s="37"/>
    </row>
    <row r="188" spans="1:6" ht="16.5" x14ac:dyDescent="0.3">
      <c r="A188" s="37"/>
      <c r="B188" s="37"/>
      <c r="C188" s="37"/>
      <c r="D188" s="37"/>
      <c r="E188" s="37"/>
      <c r="F188" s="37"/>
    </row>
    <row r="189" spans="1:6" ht="16.5" x14ac:dyDescent="0.3">
      <c r="A189" s="37"/>
      <c r="B189" s="37"/>
      <c r="C189" s="37"/>
      <c r="D189" s="37"/>
      <c r="E189" s="37"/>
      <c r="F189" s="37"/>
    </row>
    <row r="190" spans="1:6" ht="16.5" x14ac:dyDescent="0.3">
      <c r="A190" s="37"/>
      <c r="B190" s="37"/>
      <c r="C190" s="37"/>
      <c r="D190" s="37"/>
      <c r="E190" s="37"/>
      <c r="F190" s="37"/>
    </row>
    <row r="191" spans="1:6" ht="16.5" x14ac:dyDescent="0.3">
      <c r="A191" s="37"/>
      <c r="B191" s="37"/>
      <c r="C191" s="37"/>
      <c r="D191" s="37"/>
      <c r="E191" s="37"/>
      <c r="F191" s="37"/>
    </row>
    <row r="192" spans="1:6" ht="16.5" x14ac:dyDescent="0.3">
      <c r="A192" s="37"/>
      <c r="B192" s="37"/>
      <c r="C192" s="37"/>
      <c r="D192" s="37"/>
      <c r="E192" s="37"/>
      <c r="F192" s="37"/>
    </row>
    <row r="193" spans="1:6" ht="16.5" x14ac:dyDescent="0.3">
      <c r="A193" s="37"/>
      <c r="B193" s="37"/>
      <c r="C193" s="37"/>
      <c r="D193" s="37"/>
      <c r="E193" s="37"/>
      <c r="F193" s="37"/>
    </row>
    <row r="194" spans="1:6" ht="16.5" x14ac:dyDescent="0.3">
      <c r="A194" s="37"/>
      <c r="B194" s="37"/>
      <c r="C194" s="37"/>
      <c r="D194" s="37"/>
      <c r="E194" s="37"/>
      <c r="F194" s="37"/>
    </row>
    <row r="195" spans="1:6" ht="16.5" x14ac:dyDescent="0.3">
      <c r="A195" s="37"/>
      <c r="B195" s="37"/>
      <c r="C195" s="37"/>
      <c r="D195" s="37"/>
      <c r="E195" s="37"/>
      <c r="F195" s="37"/>
    </row>
    <row r="196" spans="1:6" ht="16.5" x14ac:dyDescent="0.3">
      <c r="A196" s="37"/>
      <c r="B196" s="37"/>
      <c r="C196" s="37"/>
      <c r="D196" s="37"/>
      <c r="E196" s="37"/>
      <c r="F196" s="37"/>
    </row>
    <row r="197" spans="1:6" ht="16.5" x14ac:dyDescent="0.3">
      <c r="A197" s="37"/>
      <c r="B197" s="37"/>
      <c r="C197" s="37"/>
      <c r="D197" s="37"/>
      <c r="E197" s="37"/>
      <c r="F197" s="37"/>
    </row>
    <row r="198" spans="1:6" ht="16.5" x14ac:dyDescent="0.3">
      <c r="A198" s="37"/>
      <c r="B198" s="37"/>
      <c r="C198" s="37"/>
      <c r="D198" s="37"/>
      <c r="E198" s="37"/>
      <c r="F198" s="37"/>
    </row>
    <row r="199" spans="1:6" ht="16.5" x14ac:dyDescent="0.3">
      <c r="A199" s="37"/>
      <c r="B199" s="37"/>
      <c r="C199" s="37"/>
      <c r="D199" s="37"/>
      <c r="E199" s="37"/>
      <c r="F199" s="37"/>
    </row>
    <row r="200" spans="1:6" ht="16.5" x14ac:dyDescent="0.3">
      <c r="A200" s="37"/>
      <c r="B200" s="37"/>
      <c r="C200" s="37"/>
      <c r="D200" s="37"/>
      <c r="E200" s="37"/>
      <c r="F200" s="37"/>
    </row>
    <row r="201" spans="1:6" ht="16.5" x14ac:dyDescent="0.3">
      <c r="A201" s="37"/>
      <c r="B201" s="37"/>
      <c r="C201" s="37"/>
      <c r="D201" s="37"/>
      <c r="E201" s="37"/>
      <c r="F201" s="37"/>
    </row>
    <row r="202" spans="1:6" ht="16.5" x14ac:dyDescent="0.3">
      <c r="A202" s="37"/>
      <c r="B202" s="37"/>
      <c r="C202" s="37"/>
      <c r="D202" s="37"/>
      <c r="E202" s="37"/>
      <c r="F202" s="37"/>
    </row>
    <row r="203" spans="1:6" ht="16.5" x14ac:dyDescent="0.3">
      <c r="A203" s="37"/>
      <c r="B203" s="37"/>
      <c r="C203" s="37"/>
      <c r="D203" s="37"/>
      <c r="E203" s="37"/>
      <c r="F203" s="37"/>
    </row>
    <row r="204" spans="1:6" ht="16.5" x14ac:dyDescent="0.3">
      <c r="A204" s="37"/>
      <c r="B204" s="37"/>
      <c r="C204" s="37"/>
      <c r="D204" s="37"/>
      <c r="E204" s="37"/>
      <c r="F204" s="37"/>
    </row>
    <row r="205" spans="1:6" ht="16.5" x14ac:dyDescent="0.3">
      <c r="A205" s="37"/>
      <c r="B205" s="37"/>
      <c r="C205" s="37"/>
      <c r="D205" s="37"/>
      <c r="E205" s="37"/>
      <c r="F205" s="37"/>
    </row>
    <row r="206" spans="1:6" ht="16.5" x14ac:dyDescent="0.3">
      <c r="A206" s="37"/>
      <c r="B206" s="37"/>
      <c r="C206" s="37"/>
      <c r="D206" s="37"/>
      <c r="E206" s="37"/>
      <c r="F206" s="37"/>
    </row>
    <row r="207" spans="1:6" ht="16.5" x14ac:dyDescent="0.3">
      <c r="A207" s="37"/>
      <c r="B207" s="37"/>
      <c r="C207" s="37"/>
      <c r="D207" s="37"/>
      <c r="E207" s="37"/>
      <c r="F207" s="37"/>
    </row>
    <row r="208" spans="1:6" ht="16.5" x14ac:dyDescent="0.3">
      <c r="A208" s="37"/>
      <c r="B208" s="37"/>
      <c r="C208" s="37"/>
      <c r="D208" s="37"/>
      <c r="E208" s="37"/>
      <c r="F208" s="37"/>
    </row>
    <row r="209" spans="1:6" ht="16.5" x14ac:dyDescent="0.3">
      <c r="A209" s="37"/>
      <c r="B209" s="37"/>
      <c r="C209" s="37"/>
      <c r="D209" s="37"/>
      <c r="E209" s="37"/>
      <c r="F209" s="37"/>
    </row>
    <row r="210" spans="1:6" ht="16.5" x14ac:dyDescent="0.3">
      <c r="A210" s="37"/>
      <c r="B210" s="37"/>
      <c r="C210" s="37"/>
      <c r="D210" s="37"/>
      <c r="E210" s="37"/>
      <c r="F210" s="37"/>
    </row>
    <row r="211" spans="1:6" ht="16.5" x14ac:dyDescent="0.3">
      <c r="A211" s="37"/>
      <c r="B211" s="37"/>
      <c r="C211" s="37"/>
      <c r="D211" s="37"/>
      <c r="E211" s="37"/>
      <c r="F211" s="37"/>
    </row>
    <row r="212" spans="1:6" ht="16.5" x14ac:dyDescent="0.3">
      <c r="A212" s="37"/>
      <c r="B212" s="37"/>
      <c r="C212" s="37"/>
      <c r="D212" s="37"/>
      <c r="E212" s="37"/>
      <c r="F212" s="37"/>
    </row>
    <row r="213" spans="1:6" ht="16.5" x14ac:dyDescent="0.3">
      <c r="A213" s="37"/>
      <c r="B213" s="37"/>
      <c r="C213" s="37"/>
      <c r="D213" s="37"/>
      <c r="E213" s="37"/>
      <c r="F213" s="37"/>
    </row>
    <row r="214" spans="1:6" ht="16.5" x14ac:dyDescent="0.3">
      <c r="A214" s="37"/>
      <c r="B214" s="37"/>
      <c r="C214" s="37"/>
      <c r="D214" s="37"/>
      <c r="E214" s="37"/>
      <c r="F214" s="37"/>
    </row>
    <row r="215" spans="1:6" ht="16.5" x14ac:dyDescent="0.3">
      <c r="A215" s="37"/>
      <c r="B215" s="37"/>
      <c r="C215" s="37"/>
      <c r="D215" s="37"/>
      <c r="E215" s="37"/>
      <c r="F215" s="37"/>
    </row>
    <row r="216" spans="1:6" ht="16.5" x14ac:dyDescent="0.3">
      <c r="A216" s="37"/>
      <c r="B216" s="37"/>
      <c r="C216" s="37"/>
      <c r="D216" s="37"/>
      <c r="E216" s="37"/>
      <c r="F216" s="37"/>
    </row>
    <row r="217" spans="1:6" ht="16.5" x14ac:dyDescent="0.3">
      <c r="A217" s="37"/>
      <c r="B217" s="37"/>
      <c r="C217" s="37"/>
      <c r="D217" s="37"/>
      <c r="E217" s="37"/>
      <c r="F217" s="37"/>
    </row>
    <row r="218" spans="1:6" ht="16.5" x14ac:dyDescent="0.3">
      <c r="A218" s="37"/>
      <c r="B218" s="37"/>
      <c r="C218" s="37"/>
      <c r="D218" s="37"/>
      <c r="E218" s="37"/>
      <c r="F218" s="37"/>
    </row>
    <row r="219" spans="1:6" ht="16.5" x14ac:dyDescent="0.3">
      <c r="A219" s="37"/>
      <c r="B219" s="37"/>
      <c r="C219" s="37"/>
      <c r="D219" s="37"/>
      <c r="E219" s="37"/>
      <c r="F219" s="37"/>
    </row>
    <row r="220" spans="1:6" ht="16.5" x14ac:dyDescent="0.3">
      <c r="A220" s="37"/>
      <c r="B220" s="37"/>
      <c r="C220" s="37"/>
      <c r="D220" s="37"/>
      <c r="E220" s="37"/>
      <c r="F220" s="37"/>
    </row>
    <row r="221" spans="1:6" ht="16.5" x14ac:dyDescent="0.3">
      <c r="A221" s="37"/>
      <c r="B221" s="37"/>
      <c r="C221" s="37"/>
      <c r="D221" s="37"/>
      <c r="E221" s="37"/>
      <c r="F221" s="37"/>
    </row>
    <row r="222" spans="1:6" ht="16.5" x14ac:dyDescent="0.3">
      <c r="A222" s="37"/>
      <c r="B222" s="37"/>
      <c r="C222" s="37"/>
      <c r="D222" s="37"/>
      <c r="E222" s="37"/>
      <c r="F222" s="37"/>
    </row>
    <row r="223" spans="1:6" ht="16.5" x14ac:dyDescent="0.3">
      <c r="A223" s="37"/>
      <c r="B223" s="37"/>
      <c r="C223" s="37"/>
      <c r="D223" s="37"/>
      <c r="E223" s="37"/>
      <c r="F223" s="37"/>
    </row>
    <row r="224" spans="1:6" ht="16.5" x14ac:dyDescent="0.3">
      <c r="A224" s="37"/>
      <c r="B224" s="37"/>
      <c r="C224" s="37"/>
      <c r="D224" s="37"/>
      <c r="E224" s="37"/>
      <c r="F224" s="37"/>
    </row>
    <row r="225" spans="1:6" ht="16.5" x14ac:dyDescent="0.3">
      <c r="A225" s="37"/>
      <c r="B225" s="37"/>
      <c r="C225" s="37"/>
      <c r="D225" s="37"/>
      <c r="E225" s="37"/>
      <c r="F225" s="37"/>
    </row>
    <row r="226" spans="1:6" ht="16.5" x14ac:dyDescent="0.3">
      <c r="A226" s="37"/>
      <c r="B226" s="37"/>
      <c r="C226" s="37"/>
      <c r="D226" s="37"/>
      <c r="E226" s="37"/>
      <c r="F226" s="37"/>
    </row>
    <row r="227" spans="1:6" ht="16.5" x14ac:dyDescent="0.3">
      <c r="A227" s="37"/>
      <c r="B227" s="37"/>
      <c r="C227" s="37"/>
      <c r="D227" s="37"/>
      <c r="E227" s="37"/>
      <c r="F227" s="37"/>
    </row>
    <row r="228" spans="1:6" ht="16.5" x14ac:dyDescent="0.3">
      <c r="A228" s="37"/>
      <c r="B228" s="37"/>
      <c r="C228" s="37"/>
      <c r="D228" s="37"/>
      <c r="E228" s="37"/>
      <c r="F228" s="37"/>
    </row>
    <row r="229" spans="1:6" ht="16.5" x14ac:dyDescent="0.3">
      <c r="A229" s="37"/>
      <c r="B229" s="37"/>
      <c r="C229" s="37"/>
      <c r="D229" s="37"/>
      <c r="E229" s="37"/>
      <c r="F229" s="37"/>
    </row>
    <row r="230" spans="1:6" ht="16.5" x14ac:dyDescent="0.3">
      <c r="A230" s="37"/>
      <c r="B230" s="37"/>
      <c r="C230" s="37"/>
      <c r="D230" s="37"/>
      <c r="E230" s="37"/>
      <c r="F230" s="37"/>
    </row>
    <row r="231" spans="1:6" ht="16.5" x14ac:dyDescent="0.3">
      <c r="A231" s="37"/>
      <c r="B231" s="37"/>
      <c r="C231" s="37"/>
      <c r="D231" s="37"/>
      <c r="E231" s="37"/>
      <c r="F231" s="37"/>
    </row>
    <row r="232" spans="1:6" ht="16.5" x14ac:dyDescent="0.3">
      <c r="A232" s="37"/>
      <c r="B232" s="37"/>
      <c r="C232" s="37"/>
      <c r="D232" s="37"/>
      <c r="E232" s="37"/>
      <c r="F232" s="37"/>
    </row>
    <row r="233" spans="1:6" ht="16.5" x14ac:dyDescent="0.3">
      <c r="A233" s="37"/>
      <c r="B233" s="37"/>
      <c r="C233" s="37"/>
      <c r="D233" s="37"/>
      <c r="E233" s="37"/>
      <c r="F233" s="37"/>
    </row>
    <row r="234" spans="1:6" ht="16.5" x14ac:dyDescent="0.3">
      <c r="A234" s="37"/>
      <c r="B234" s="37"/>
      <c r="C234" s="37"/>
      <c r="D234" s="37"/>
      <c r="E234" s="37"/>
      <c r="F234" s="37"/>
    </row>
    <row r="235" spans="1:6" ht="16.5" x14ac:dyDescent="0.3">
      <c r="A235" s="37"/>
      <c r="B235" s="37"/>
      <c r="C235" s="37"/>
      <c r="D235" s="37"/>
      <c r="E235" s="37"/>
      <c r="F235" s="37"/>
    </row>
    <row r="236" spans="1:6" ht="16.5" x14ac:dyDescent="0.3">
      <c r="A236" s="37"/>
      <c r="B236" s="37"/>
      <c r="C236" s="37"/>
      <c r="D236" s="37"/>
      <c r="E236" s="37"/>
      <c r="F236" s="37"/>
    </row>
    <row r="237" spans="1:6" ht="16.5" x14ac:dyDescent="0.3">
      <c r="A237" s="37"/>
      <c r="B237" s="37"/>
      <c r="C237" s="37"/>
      <c r="D237" s="37"/>
      <c r="E237" s="37"/>
      <c r="F237" s="37"/>
    </row>
    <row r="238" spans="1:6" ht="16.5" x14ac:dyDescent="0.3">
      <c r="A238" s="37"/>
      <c r="B238" s="37"/>
      <c r="C238" s="37"/>
      <c r="D238" s="37"/>
      <c r="E238" s="37"/>
      <c r="F238" s="37"/>
    </row>
    <row r="239" spans="1:6" ht="16.5" x14ac:dyDescent="0.3">
      <c r="A239" s="37"/>
      <c r="B239" s="37"/>
      <c r="C239" s="37"/>
      <c r="D239" s="37"/>
      <c r="E239" s="37"/>
      <c r="F239" s="37"/>
    </row>
    <row r="240" spans="1:6" ht="16.5" x14ac:dyDescent="0.3">
      <c r="A240" s="37"/>
      <c r="B240" s="37"/>
      <c r="C240" s="37"/>
      <c r="D240" s="37"/>
      <c r="E240" s="37"/>
      <c r="F240" s="37"/>
    </row>
    <row r="241" spans="1:6" ht="16.5" x14ac:dyDescent="0.3">
      <c r="A241" s="37"/>
      <c r="B241" s="37"/>
      <c r="C241" s="37"/>
      <c r="D241" s="37"/>
      <c r="E241" s="37"/>
      <c r="F241" s="37"/>
    </row>
    <row r="242" spans="1:6" ht="16.5" x14ac:dyDescent="0.3">
      <c r="A242" s="37"/>
      <c r="B242" s="37"/>
      <c r="C242" s="37"/>
      <c r="D242" s="37"/>
      <c r="E242" s="37"/>
      <c r="F242" s="37"/>
    </row>
    <row r="243" spans="1:6" ht="16.5" x14ac:dyDescent="0.3">
      <c r="A243" s="37"/>
      <c r="B243" s="37"/>
      <c r="C243" s="37"/>
      <c r="D243" s="37"/>
      <c r="E243" s="37"/>
      <c r="F243" s="37"/>
    </row>
    <row r="244" spans="1:6" ht="16.5" x14ac:dyDescent="0.3">
      <c r="A244" s="37"/>
      <c r="B244" s="37"/>
      <c r="C244" s="37"/>
      <c r="D244" s="37"/>
      <c r="E244" s="37"/>
      <c r="F244" s="37"/>
    </row>
    <row r="245" spans="1:6" ht="16.5" x14ac:dyDescent="0.3">
      <c r="A245" s="37"/>
      <c r="B245" s="37"/>
      <c r="C245" s="37"/>
      <c r="D245" s="37"/>
      <c r="E245" s="37"/>
      <c r="F245" s="37"/>
    </row>
    <row r="246" spans="1:6" ht="16.5" x14ac:dyDescent="0.3">
      <c r="A246" s="37"/>
      <c r="B246" s="37"/>
      <c r="C246" s="37"/>
      <c r="D246" s="37"/>
      <c r="E246" s="37"/>
      <c r="F246" s="37"/>
    </row>
    <row r="247" spans="1:6" ht="16.5" x14ac:dyDescent="0.3">
      <c r="A247" s="37"/>
      <c r="B247" s="37"/>
      <c r="C247" s="37"/>
      <c r="D247" s="37"/>
      <c r="E247" s="37"/>
      <c r="F247" s="37"/>
    </row>
    <row r="248" spans="1:6" ht="16.5" x14ac:dyDescent="0.3">
      <c r="A248" s="37"/>
      <c r="B248" s="37"/>
      <c r="C248" s="37"/>
      <c r="D248" s="37"/>
      <c r="E248" s="37"/>
      <c r="F248" s="37"/>
    </row>
    <row r="249" spans="1:6" ht="16.5" x14ac:dyDescent="0.3">
      <c r="A249" s="37"/>
      <c r="B249" s="37"/>
      <c r="C249" s="37"/>
      <c r="D249" s="37"/>
      <c r="E249" s="37"/>
      <c r="F249" s="37"/>
    </row>
    <row r="250" spans="1:6" ht="16.5" x14ac:dyDescent="0.3">
      <c r="A250" s="37"/>
      <c r="B250" s="37"/>
      <c r="C250" s="37"/>
      <c r="D250" s="37"/>
      <c r="E250" s="37"/>
      <c r="F250" s="37"/>
    </row>
    <row r="251" spans="1:6" ht="16.5" x14ac:dyDescent="0.3">
      <c r="A251" s="37"/>
      <c r="B251" s="37"/>
      <c r="C251" s="37"/>
      <c r="D251" s="37"/>
      <c r="E251" s="37"/>
      <c r="F251" s="37"/>
    </row>
    <row r="252" spans="1:6" ht="16.5" x14ac:dyDescent="0.3">
      <c r="A252" s="37"/>
      <c r="B252" s="37"/>
      <c r="C252" s="37"/>
      <c r="D252" s="37"/>
      <c r="E252" s="37"/>
      <c r="F252" s="37"/>
    </row>
    <row r="253" spans="1:6" ht="16.5" x14ac:dyDescent="0.3">
      <c r="A253" s="37"/>
      <c r="B253" s="37"/>
      <c r="C253" s="37"/>
      <c r="D253" s="37"/>
      <c r="E253" s="37"/>
      <c r="F253" s="37"/>
    </row>
    <row r="254" spans="1:6" ht="16.5" x14ac:dyDescent="0.3">
      <c r="A254" s="37"/>
      <c r="B254" s="37"/>
      <c r="C254" s="37"/>
      <c r="D254" s="37"/>
      <c r="E254" s="37"/>
      <c r="F254" s="37"/>
    </row>
    <row r="255" spans="1:6" ht="16.5" x14ac:dyDescent="0.3">
      <c r="A255" s="37"/>
      <c r="B255" s="37"/>
      <c r="C255" s="37"/>
      <c r="D255" s="37"/>
      <c r="E255" s="37"/>
      <c r="F255" s="37"/>
    </row>
    <row r="256" spans="1:6" ht="16.5" x14ac:dyDescent="0.3">
      <c r="A256" s="37"/>
      <c r="B256" s="37"/>
      <c r="C256" s="37"/>
      <c r="D256" s="37"/>
      <c r="E256" s="37"/>
      <c r="F256" s="37"/>
    </row>
    <row r="257" spans="1:6" ht="16.5" x14ac:dyDescent="0.3">
      <c r="A257" s="37"/>
      <c r="B257" s="37"/>
      <c r="C257" s="37"/>
      <c r="D257" s="37"/>
      <c r="E257" s="37"/>
      <c r="F257" s="37"/>
    </row>
    <row r="258" spans="1:6" ht="16.5" x14ac:dyDescent="0.3">
      <c r="A258" s="37"/>
      <c r="B258" s="37"/>
      <c r="C258" s="37"/>
      <c r="D258" s="37"/>
      <c r="E258" s="37"/>
      <c r="F258" s="37"/>
    </row>
    <row r="259" spans="1:6" ht="16.5" x14ac:dyDescent="0.3">
      <c r="A259" s="37"/>
      <c r="B259" s="37"/>
      <c r="C259" s="37"/>
      <c r="D259" s="37"/>
      <c r="E259" s="37"/>
      <c r="F259" s="37"/>
    </row>
    <row r="260" spans="1:6" ht="16.5" x14ac:dyDescent="0.3">
      <c r="A260" s="37"/>
      <c r="B260" s="37"/>
      <c r="C260" s="37"/>
      <c r="D260" s="37"/>
      <c r="E260" s="37"/>
      <c r="F260" s="37"/>
    </row>
    <row r="261" spans="1:6" ht="16.5" x14ac:dyDescent="0.3">
      <c r="A261" s="37"/>
      <c r="B261" s="37"/>
      <c r="C261" s="37"/>
      <c r="D261" s="37"/>
      <c r="E261" s="37"/>
      <c r="F261" s="37"/>
    </row>
    <row r="262" spans="1:6" ht="16.5" x14ac:dyDescent="0.3">
      <c r="A262" s="37"/>
      <c r="B262" s="37"/>
      <c r="C262" s="37"/>
      <c r="D262" s="37"/>
      <c r="E262" s="37"/>
      <c r="F262" s="37"/>
    </row>
    <row r="263" spans="1:6" ht="16.5" x14ac:dyDescent="0.3">
      <c r="A263" s="37"/>
      <c r="B263" s="37"/>
      <c r="C263" s="37"/>
      <c r="D263" s="37"/>
      <c r="E263" s="37"/>
      <c r="F263" s="37"/>
    </row>
    <row r="264" spans="1:6" ht="16.5" x14ac:dyDescent="0.3">
      <c r="A264" s="37"/>
      <c r="B264" s="37"/>
      <c r="C264" s="37"/>
      <c r="D264" s="37"/>
      <c r="E264" s="37"/>
      <c r="F264" s="37"/>
    </row>
    <row r="265" spans="1:6" ht="16.5" x14ac:dyDescent="0.3">
      <c r="A265" s="37"/>
      <c r="B265" s="37"/>
      <c r="C265" s="37"/>
      <c r="D265" s="37"/>
      <c r="E265" s="37"/>
      <c r="F265" s="37"/>
    </row>
    <row r="266" spans="1:6" ht="16.5" x14ac:dyDescent="0.3">
      <c r="A266" s="37"/>
      <c r="B266" s="37"/>
      <c r="C266" s="37"/>
      <c r="D266" s="37"/>
      <c r="E266" s="37"/>
      <c r="F266" s="37"/>
    </row>
    <row r="267" spans="1:6" ht="16.5" x14ac:dyDescent="0.3">
      <c r="A267" s="37"/>
      <c r="B267" s="37"/>
      <c r="C267" s="37"/>
      <c r="D267" s="37"/>
      <c r="E267" s="37"/>
      <c r="F267" s="37"/>
    </row>
    <row r="268" spans="1:6" ht="16.5" x14ac:dyDescent="0.3">
      <c r="A268" s="37"/>
      <c r="B268" s="37"/>
      <c r="C268" s="37"/>
      <c r="D268" s="37"/>
      <c r="E268" s="37"/>
      <c r="F268" s="37"/>
    </row>
    <row r="269" spans="1:6" ht="16.5" x14ac:dyDescent="0.3">
      <c r="A269" s="37"/>
      <c r="B269" s="37"/>
      <c r="C269" s="37"/>
      <c r="D269" s="37"/>
      <c r="E269" s="37"/>
      <c r="F269" s="37"/>
    </row>
    <row r="270" spans="1:6" ht="16.5" x14ac:dyDescent="0.3">
      <c r="A270" s="37"/>
      <c r="B270" s="37"/>
      <c r="C270" s="37"/>
      <c r="D270" s="37"/>
      <c r="E270" s="37"/>
      <c r="F270" s="37"/>
    </row>
    <row r="271" spans="1:6" ht="16.5" x14ac:dyDescent="0.3">
      <c r="A271" s="37"/>
      <c r="B271" s="37"/>
      <c r="C271" s="37"/>
      <c r="D271" s="37"/>
      <c r="E271" s="37"/>
      <c r="F271" s="37"/>
    </row>
    <row r="272" spans="1:6" ht="16.5" x14ac:dyDescent="0.3">
      <c r="A272" s="37"/>
      <c r="B272" s="37"/>
      <c r="C272" s="37"/>
      <c r="D272" s="37"/>
      <c r="E272" s="37"/>
      <c r="F272" s="37"/>
    </row>
    <row r="273" spans="1:6" ht="16.5" x14ac:dyDescent="0.3">
      <c r="A273" s="37"/>
      <c r="B273" s="37"/>
      <c r="C273" s="37"/>
      <c r="D273" s="37"/>
      <c r="E273" s="37"/>
      <c r="F273" s="37"/>
    </row>
    <row r="274" spans="1:6" ht="16.5" x14ac:dyDescent="0.3">
      <c r="A274" s="37"/>
      <c r="B274" s="37"/>
      <c r="C274" s="37"/>
      <c r="D274" s="37"/>
      <c r="E274" s="37"/>
      <c r="F274" s="37"/>
    </row>
    <row r="275" spans="1:6" ht="16.5" x14ac:dyDescent="0.3">
      <c r="A275" s="37"/>
      <c r="B275" s="37"/>
      <c r="C275" s="37"/>
      <c r="D275" s="37"/>
      <c r="E275" s="37"/>
      <c r="F275" s="37"/>
    </row>
    <row r="276" spans="1:6" ht="16.5" x14ac:dyDescent="0.3">
      <c r="A276" s="37"/>
      <c r="B276" s="37"/>
      <c r="C276" s="37"/>
      <c r="D276" s="37"/>
      <c r="E276" s="37"/>
      <c r="F276" s="37"/>
    </row>
    <row r="277" spans="1:6" ht="16.5" x14ac:dyDescent="0.3">
      <c r="A277" s="37"/>
      <c r="B277" s="37"/>
      <c r="C277" s="37"/>
      <c r="D277" s="37"/>
      <c r="E277" s="37"/>
      <c r="F277" s="37"/>
    </row>
    <row r="278" spans="1:6" ht="16.5" x14ac:dyDescent="0.3">
      <c r="A278" s="37"/>
      <c r="B278" s="37"/>
      <c r="C278" s="37"/>
      <c r="D278" s="37"/>
      <c r="E278" s="37"/>
      <c r="F278" s="37"/>
    </row>
    <row r="279" spans="1:6" ht="16.5" x14ac:dyDescent="0.3">
      <c r="A279" s="37"/>
      <c r="B279" s="37"/>
      <c r="C279" s="37"/>
      <c r="D279" s="37"/>
      <c r="E279" s="37"/>
      <c r="F279" s="37"/>
    </row>
    <row r="280" spans="1:6" ht="16.5" x14ac:dyDescent="0.3">
      <c r="A280" s="37"/>
      <c r="B280" s="37"/>
      <c r="C280" s="37"/>
      <c r="D280" s="37"/>
      <c r="E280" s="37"/>
      <c r="F280" s="37"/>
    </row>
    <row r="281" spans="1:6" ht="16.5" x14ac:dyDescent="0.3">
      <c r="A281" s="37"/>
      <c r="B281" s="37"/>
      <c r="C281" s="37"/>
      <c r="D281" s="37"/>
      <c r="E281" s="37"/>
      <c r="F281" s="37"/>
    </row>
    <row r="282" spans="1:6" ht="16.5" x14ac:dyDescent="0.3">
      <c r="A282" s="37"/>
      <c r="B282" s="37"/>
      <c r="C282" s="37"/>
      <c r="D282" s="37"/>
      <c r="E282" s="37"/>
      <c r="F282" s="37"/>
    </row>
    <row r="283" spans="1:6" ht="16.5" x14ac:dyDescent="0.3">
      <c r="A283" s="37"/>
      <c r="B283" s="37"/>
      <c r="C283" s="37"/>
      <c r="D283" s="37"/>
      <c r="E283" s="37"/>
      <c r="F283" s="37"/>
    </row>
    <row r="284" spans="1:6" ht="16.5" x14ac:dyDescent="0.3">
      <c r="A284" s="37"/>
      <c r="B284" s="37"/>
      <c r="C284" s="37"/>
      <c r="D284" s="37"/>
      <c r="E284" s="37"/>
      <c r="F284" s="37"/>
    </row>
    <row r="285" spans="1:6" ht="16.5" x14ac:dyDescent="0.3">
      <c r="A285" s="37"/>
      <c r="B285" s="37"/>
      <c r="C285" s="37"/>
      <c r="D285" s="37"/>
      <c r="E285" s="37"/>
      <c r="F285" s="37"/>
    </row>
    <row r="286" spans="1:6" ht="16.5" x14ac:dyDescent="0.3">
      <c r="A286" s="37"/>
      <c r="B286" s="37"/>
      <c r="C286" s="37"/>
      <c r="D286" s="37"/>
      <c r="E286" s="37"/>
      <c r="F286" s="37"/>
    </row>
    <row r="287" spans="1:6" ht="16.5" x14ac:dyDescent="0.3">
      <c r="A287" s="37"/>
      <c r="B287" s="37"/>
      <c r="C287" s="37"/>
      <c r="D287" s="37"/>
      <c r="E287" s="37"/>
      <c r="F287" s="37"/>
    </row>
    <row r="288" spans="1:6" ht="16.5" x14ac:dyDescent="0.3">
      <c r="A288" s="37"/>
      <c r="B288" s="37"/>
      <c r="C288" s="37"/>
      <c r="D288" s="37"/>
      <c r="E288" s="37"/>
      <c r="F288" s="37"/>
    </row>
    <row r="289" spans="1:6" ht="16.5" x14ac:dyDescent="0.3">
      <c r="A289" s="37"/>
      <c r="B289" s="37"/>
      <c r="C289" s="37"/>
      <c r="D289" s="37"/>
      <c r="E289" s="37"/>
      <c r="F289" s="37"/>
    </row>
    <row r="290" spans="1:6" ht="16.5" x14ac:dyDescent="0.3">
      <c r="A290" s="37"/>
      <c r="B290" s="37"/>
      <c r="C290" s="37"/>
      <c r="D290" s="37"/>
      <c r="E290" s="37"/>
      <c r="F290" s="37"/>
    </row>
    <row r="291" spans="1:6" ht="16.5" x14ac:dyDescent="0.3">
      <c r="A291" s="37"/>
      <c r="B291" s="37"/>
      <c r="C291" s="37"/>
      <c r="D291" s="37"/>
      <c r="E291" s="37"/>
      <c r="F291" s="37"/>
    </row>
    <row r="292" spans="1:6" ht="16.5" x14ac:dyDescent="0.3">
      <c r="A292" s="37"/>
      <c r="B292" s="37"/>
      <c r="C292" s="37"/>
      <c r="D292" s="37"/>
      <c r="E292" s="37"/>
      <c r="F292" s="37"/>
    </row>
    <row r="293" spans="1:6" ht="16.5" x14ac:dyDescent="0.3">
      <c r="A293" s="37"/>
      <c r="B293" s="37"/>
      <c r="C293" s="37"/>
      <c r="D293" s="37"/>
      <c r="E293" s="37"/>
      <c r="F293" s="37"/>
    </row>
    <row r="294" spans="1:6" ht="16.5" x14ac:dyDescent="0.3">
      <c r="A294" s="37"/>
      <c r="B294" s="37"/>
      <c r="C294" s="37"/>
      <c r="D294" s="37"/>
      <c r="E294" s="37"/>
      <c r="F294" s="37"/>
    </row>
    <row r="295" spans="1:6" ht="16.5" x14ac:dyDescent="0.3">
      <c r="A295" s="37"/>
      <c r="B295" s="37"/>
      <c r="C295" s="37"/>
      <c r="D295" s="37"/>
      <c r="E295" s="37"/>
      <c r="F295" s="37"/>
    </row>
    <row r="296" spans="1:6" ht="16.5" x14ac:dyDescent="0.3">
      <c r="A296" s="37"/>
      <c r="B296" s="37"/>
      <c r="C296" s="37"/>
      <c r="D296" s="37"/>
      <c r="E296" s="37"/>
      <c r="F296" s="37"/>
    </row>
    <row r="297" spans="1:6" ht="16.5" x14ac:dyDescent="0.3">
      <c r="A297" s="37"/>
      <c r="B297" s="37"/>
      <c r="C297" s="37"/>
      <c r="D297" s="37"/>
      <c r="E297" s="37"/>
      <c r="F297" s="37"/>
    </row>
    <row r="298" spans="1:6" ht="16.5" x14ac:dyDescent="0.3">
      <c r="A298" s="37"/>
      <c r="B298" s="37"/>
      <c r="C298" s="37"/>
      <c r="D298" s="37"/>
      <c r="E298" s="37"/>
      <c r="F298" s="37"/>
    </row>
    <row r="299" spans="1:6" ht="16.5" x14ac:dyDescent="0.3">
      <c r="A299" s="37"/>
      <c r="B299" s="37"/>
      <c r="C299" s="37"/>
      <c r="D299" s="37"/>
      <c r="E299" s="37"/>
      <c r="F299" s="37"/>
    </row>
    <row r="300" spans="1:6" ht="16.5" x14ac:dyDescent="0.3">
      <c r="A300" s="37"/>
      <c r="B300" s="37"/>
      <c r="C300" s="37"/>
      <c r="D300" s="37"/>
      <c r="E300" s="37"/>
      <c r="F300" s="37"/>
    </row>
    <row r="301" spans="1:6" ht="16.5" x14ac:dyDescent="0.3">
      <c r="A301" s="37"/>
      <c r="B301" s="37"/>
      <c r="C301" s="37"/>
      <c r="D301" s="37"/>
      <c r="E301" s="37"/>
      <c r="F301" s="37"/>
    </row>
    <row r="302" spans="1:6" ht="16.5" x14ac:dyDescent="0.3">
      <c r="A302" s="37"/>
      <c r="B302" s="37"/>
      <c r="C302" s="37"/>
      <c r="D302" s="37"/>
      <c r="E302" s="37"/>
      <c r="F302" s="37"/>
    </row>
    <row r="303" spans="1:6" ht="16.5" x14ac:dyDescent="0.3">
      <c r="A303" s="37"/>
      <c r="B303" s="37"/>
      <c r="C303" s="37"/>
      <c r="D303" s="37"/>
      <c r="E303" s="37"/>
      <c r="F303" s="37"/>
    </row>
    <row r="304" spans="1:6" ht="16.5" x14ac:dyDescent="0.3">
      <c r="A304" s="37"/>
      <c r="B304" s="37"/>
      <c r="C304" s="37"/>
      <c r="D304" s="37"/>
      <c r="E304" s="37"/>
      <c r="F304" s="37"/>
    </row>
    <row r="305" spans="1:6" ht="16.5" x14ac:dyDescent="0.3">
      <c r="A305" s="37"/>
      <c r="B305" s="37"/>
      <c r="C305" s="37"/>
      <c r="D305" s="37"/>
      <c r="E305" s="37"/>
      <c r="F305" s="37"/>
    </row>
    <row r="306" spans="1:6" ht="16.5" x14ac:dyDescent="0.3">
      <c r="A306" s="37"/>
      <c r="B306" s="37"/>
      <c r="C306" s="37"/>
      <c r="D306" s="37"/>
      <c r="E306" s="37"/>
      <c r="F306" s="37"/>
    </row>
    <row r="307" spans="1:6" ht="16.5" x14ac:dyDescent="0.3">
      <c r="A307" s="37"/>
      <c r="B307" s="37"/>
      <c r="C307" s="37"/>
      <c r="D307" s="37"/>
      <c r="E307" s="37"/>
      <c r="F307" s="37"/>
    </row>
    <row r="308" spans="1:6" ht="16.5" x14ac:dyDescent="0.3">
      <c r="A308" s="37"/>
      <c r="B308" s="37"/>
      <c r="C308" s="37"/>
      <c r="D308" s="37"/>
      <c r="E308" s="37"/>
      <c r="F308" s="37"/>
    </row>
    <row r="309" spans="1:6" ht="16.5" x14ac:dyDescent="0.3">
      <c r="A309" s="37"/>
      <c r="B309" s="37"/>
      <c r="C309" s="37"/>
      <c r="D309" s="37"/>
      <c r="E309" s="37"/>
      <c r="F309" s="37"/>
    </row>
    <row r="310" spans="1:6" ht="16.5" x14ac:dyDescent="0.3">
      <c r="A310" s="37"/>
      <c r="B310" s="37"/>
      <c r="C310" s="37"/>
      <c r="D310" s="37"/>
      <c r="E310" s="37"/>
      <c r="F310" s="37"/>
    </row>
    <row r="311" spans="1:6" ht="16.5" x14ac:dyDescent="0.3">
      <c r="A311" s="37"/>
      <c r="B311" s="37"/>
      <c r="C311" s="37"/>
      <c r="D311" s="37"/>
      <c r="E311" s="37"/>
      <c r="F311" s="37"/>
    </row>
    <row r="312" spans="1:6" ht="16.5" x14ac:dyDescent="0.3">
      <c r="A312" s="37"/>
      <c r="B312" s="37"/>
      <c r="C312" s="37"/>
      <c r="D312" s="37"/>
      <c r="E312" s="37"/>
      <c r="F312" s="37"/>
    </row>
    <row r="313" spans="1:6" ht="16.5" x14ac:dyDescent="0.3">
      <c r="A313" s="37"/>
      <c r="B313" s="37"/>
      <c r="C313" s="37"/>
      <c r="D313" s="37"/>
      <c r="E313" s="37"/>
      <c r="F313" s="37"/>
    </row>
    <row r="314" spans="1:6" ht="16.5" x14ac:dyDescent="0.3">
      <c r="A314" s="37"/>
      <c r="B314" s="37"/>
      <c r="C314" s="37"/>
      <c r="D314" s="37"/>
      <c r="E314" s="37"/>
      <c r="F314" s="37"/>
    </row>
    <row r="315" spans="1:6" ht="16.5" x14ac:dyDescent="0.3">
      <c r="A315" s="37"/>
      <c r="B315" s="37"/>
      <c r="C315" s="37"/>
      <c r="D315" s="37"/>
      <c r="E315" s="37"/>
      <c r="F315" s="37"/>
    </row>
    <row r="316" spans="1:6" ht="16.5" x14ac:dyDescent="0.3">
      <c r="A316" s="37"/>
      <c r="B316" s="37"/>
      <c r="C316" s="37"/>
      <c r="D316" s="37"/>
      <c r="E316" s="37"/>
      <c r="F316" s="37"/>
    </row>
    <row r="317" spans="1:6" ht="16.5" x14ac:dyDescent="0.3">
      <c r="A317" s="37"/>
      <c r="B317" s="37"/>
      <c r="C317" s="37"/>
      <c r="D317" s="37"/>
      <c r="E317" s="37"/>
      <c r="F317" s="37"/>
    </row>
    <row r="318" spans="1:6" ht="16.5" x14ac:dyDescent="0.3">
      <c r="A318" s="37"/>
      <c r="B318" s="37"/>
      <c r="C318" s="37"/>
      <c r="D318" s="37"/>
      <c r="E318" s="37"/>
      <c r="F318" s="37"/>
    </row>
    <row r="319" spans="1:6" ht="16.5" x14ac:dyDescent="0.3">
      <c r="A319" s="37"/>
      <c r="B319" s="37"/>
      <c r="C319" s="37"/>
      <c r="D319" s="37"/>
      <c r="E319" s="37"/>
      <c r="F319" s="37"/>
    </row>
    <row r="320" spans="1:6" ht="16.5" x14ac:dyDescent="0.3">
      <c r="A320" s="37"/>
      <c r="B320" s="37"/>
      <c r="C320" s="37"/>
      <c r="D320" s="37"/>
      <c r="E320" s="37"/>
      <c r="F320" s="37"/>
    </row>
    <row r="321" spans="1:6" ht="16.5" x14ac:dyDescent="0.3">
      <c r="A321" s="37"/>
      <c r="B321" s="37"/>
      <c r="C321" s="37"/>
      <c r="D321" s="37"/>
      <c r="E321" s="37"/>
      <c r="F321" s="37"/>
    </row>
    <row r="322" spans="1:6" ht="16.5" x14ac:dyDescent="0.3">
      <c r="A322" s="37"/>
      <c r="B322" s="37"/>
      <c r="C322" s="37"/>
      <c r="D322" s="37"/>
      <c r="E322" s="37"/>
      <c r="F322" s="37"/>
    </row>
    <row r="323" spans="1:6" ht="16.5" x14ac:dyDescent="0.3">
      <c r="A323" s="37"/>
      <c r="B323" s="37"/>
      <c r="C323" s="37"/>
      <c r="D323" s="37"/>
      <c r="E323" s="37"/>
      <c r="F323" s="37"/>
    </row>
    <row r="324" spans="1:6" ht="16.5" x14ac:dyDescent="0.3">
      <c r="A324" s="37"/>
      <c r="B324" s="37"/>
      <c r="C324" s="37"/>
      <c r="D324" s="37"/>
      <c r="E324" s="37"/>
      <c r="F324" s="37"/>
    </row>
    <row r="325" spans="1:6" ht="16.5" x14ac:dyDescent="0.3">
      <c r="A325" s="37"/>
      <c r="B325" s="37"/>
      <c r="C325" s="37"/>
      <c r="D325" s="37"/>
      <c r="E325" s="37"/>
      <c r="F325" s="37"/>
    </row>
    <row r="326" spans="1:6" ht="16.5" x14ac:dyDescent="0.3">
      <c r="A326" s="37"/>
      <c r="B326" s="37"/>
      <c r="C326" s="37"/>
      <c r="D326" s="37"/>
      <c r="E326" s="37"/>
      <c r="F326" s="37"/>
    </row>
    <row r="327" spans="1:6" ht="16.5" x14ac:dyDescent="0.3">
      <c r="A327" s="37"/>
      <c r="B327" s="37"/>
      <c r="C327" s="37"/>
      <c r="D327" s="37"/>
      <c r="E327" s="37"/>
      <c r="F327" s="37"/>
    </row>
    <row r="328" spans="1:6" ht="16.5" x14ac:dyDescent="0.3">
      <c r="A328" s="37"/>
      <c r="B328" s="37"/>
      <c r="C328" s="37"/>
      <c r="D328" s="37"/>
      <c r="E328" s="37"/>
      <c r="F328" s="37"/>
    </row>
    <row r="329" spans="1:6" ht="16.5" x14ac:dyDescent="0.3">
      <c r="A329" s="37"/>
      <c r="B329" s="37"/>
      <c r="C329" s="37"/>
      <c r="D329" s="37"/>
      <c r="E329" s="37"/>
      <c r="F329" s="37"/>
    </row>
    <row r="330" spans="1:6" ht="16.5" x14ac:dyDescent="0.3">
      <c r="A330" s="37"/>
      <c r="B330" s="37"/>
      <c r="C330" s="37"/>
      <c r="D330" s="37"/>
      <c r="E330" s="37"/>
      <c r="F330" s="37"/>
    </row>
    <row r="331" spans="1:6" ht="16.5" x14ac:dyDescent="0.3">
      <c r="A331" s="37"/>
      <c r="B331" s="37"/>
      <c r="C331" s="37"/>
      <c r="D331" s="37"/>
      <c r="E331" s="37"/>
      <c r="F331" s="37"/>
    </row>
    <row r="332" spans="1:6" ht="16.5" x14ac:dyDescent="0.3">
      <c r="A332" s="37"/>
      <c r="B332" s="37"/>
      <c r="C332" s="37"/>
      <c r="D332" s="37"/>
      <c r="E332" s="37"/>
      <c r="F332" s="37"/>
    </row>
    <row r="333" spans="1:6" ht="16.5" x14ac:dyDescent="0.3">
      <c r="A333" s="37"/>
      <c r="B333" s="37"/>
      <c r="C333" s="37"/>
      <c r="D333" s="37"/>
      <c r="E333" s="37"/>
      <c r="F333" s="37"/>
    </row>
    <row r="334" spans="1:6" ht="16.5" x14ac:dyDescent="0.3">
      <c r="A334" s="37"/>
      <c r="B334" s="37"/>
      <c r="C334" s="37"/>
      <c r="D334" s="37"/>
      <c r="E334" s="37"/>
      <c r="F334" s="37"/>
    </row>
    <row r="335" spans="1:6" ht="16.5" x14ac:dyDescent="0.3">
      <c r="A335" s="37"/>
      <c r="B335" s="37"/>
      <c r="C335" s="37"/>
      <c r="D335" s="37"/>
      <c r="E335" s="37"/>
      <c r="F335" s="37"/>
    </row>
    <row r="336" spans="1:6" ht="16.5" x14ac:dyDescent="0.3">
      <c r="A336" s="37"/>
      <c r="B336" s="37"/>
      <c r="C336" s="37"/>
      <c r="D336" s="37"/>
      <c r="E336" s="37"/>
      <c r="F336" s="37"/>
    </row>
    <row r="337" spans="1:6" ht="16.5" x14ac:dyDescent="0.3">
      <c r="A337" s="37"/>
      <c r="B337" s="37"/>
      <c r="C337" s="37"/>
      <c r="D337" s="37"/>
      <c r="E337" s="37"/>
      <c r="F337" s="37"/>
    </row>
    <row r="338" spans="1:6" ht="16.5" x14ac:dyDescent="0.3">
      <c r="A338" s="37"/>
      <c r="B338" s="37"/>
      <c r="C338" s="37"/>
      <c r="D338" s="37"/>
      <c r="E338" s="37"/>
      <c r="F338" s="37"/>
    </row>
    <row r="339" spans="1:6" ht="16.5" x14ac:dyDescent="0.3">
      <c r="A339" s="37"/>
      <c r="B339" s="37"/>
      <c r="C339" s="37"/>
      <c r="D339" s="37"/>
      <c r="E339" s="37"/>
      <c r="F339" s="37"/>
    </row>
    <row r="340" spans="1:6" ht="16.5" x14ac:dyDescent="0.3">
      <c r="A340" s="37"/>
      <c r="B340" s="37"/>
      <c r="C340" s="37"/>
      <c r="D340" s="37"/>
      <c r="E340" s="37"/>
      <c r="F340" s="37"/>
    </row>
    <row r="341" spans="1:6" ht="16.5" x14ac:dyDescent="0.3">
      <c r="A341" s="37"/>
      <c r="B341" s="37"/>
      <c r="C341" s="37"/>
      <c r="D341" s="37"/>
      <c r="E341" s="37"/>
      <c r="F341" s="37"/>
    </row>
    <row r="342" spans="1:6" ht="16.5" x14ac:dyDescent="0.3">
      <c r="A342" s="37"/>
      <c r="B342" s="37"/>
      <c r="C342" s="37"/>
      <c r="D342" s="37"/>
      <c r="E342" s="37"/>
      <c r="F342" s="37"/>
    </row>
    <row r="343" spans="1:6" ht="16.5" x14ac:dyDescent="0.3">
      <c r="A343" s="37"/>
      <c r="B343" s="37"/>
      <c r="C343" s="37"/>
      <c r="D343" s="37"/>
      <c r="E343" s="37"/>
      <c r="F343" s="37"/>
    </row>
    <row r="344" spans="1:6" ht="16.5" x14ac:dyDescent="0.3">
      <c r="A344" s="37"/>
      <c r="B344" s="37"/>
      <c r="C344" s="37"/>
      <c r="D344" s="37"/>
      <c r="E344" s="37"/>
      <c r="F344" s="37"/>
    </row>
    <row r="345" spans="1:6" ht="16.5" x14ac:dyDescent="0.3">
      <c r="A345" s="37"/>
      <c r="B345" s="37"/>
      <c r="C345" s="37"/>
      <c r="D345" s="37"/>
      <c r="E345" s="37"/>
      <c r="F345" s="37"/>
    </row>
    <row r="346" spans="1:6" ht="16.5" x14ac:dyDescent="0.3">
      <c r="A346" s="37"/>
      <c r="B346" s="37"/>
      <c r="C346" s="37"/>
      <c r="D346" s="37"/>
      <c r="E346" s="37"/>
      <c r="F346" s="37"/>
    </row>
    <row r="347" spans="1:6" ht="16.5" x14ac:dyDescent="0.3">
      <c r="A347" s="37"/>
      <c r="B347" s="37"/>
      <c r="C347" s="37"/>
      <c r="D347" s="37"/>
      <c r="E347" s="37"/>
      <c r="F347" s="37"/>
    </row>
    <row r="348" spans="1:6" ht="16.5" x14ac:dyDescent="0.3">
      <c r="A348" s="37"/>
      <c r="B348" s="37"/>
      <c r="C348" s="37"/>
      <c r="D348" s="37"/>
      <c r="E348" s="37"/>
      <c r="F348" s="37"/>
    </row>
    <row r="349" spans="1:6" ht="16.5" x14ac:dyDescent="0.3">
      <c r="A349" s="37"/>
      <c r="B349" s="37"/>
      <c r="C349" s="37"/>
      <c r="D349" s="37"/>
      <c r="E349" s="37"/>
      <c r="F349" s="37"/>
    </row>
    <row r="350" spans="1:6" ht="16.5" x14ac:dyDescent="0.3">
      <c r="A350" s="37"/>
      <c r="B350" s="37"/>
      <c r="C350" s="37"/>
      <c r="D350" s="37"/>
      <c r="E350" s="37"/>
      <c r="F350" s="37"/>
    </row>
    <row r="351" spans="1:6" ht="16.5" x14ac:dyDescent="0.3">
      <c r="A351" s="37"/>
      <c r="B351" s="37"/>
      <c r="C351" s="37"/>
      <c r="D351" s="37"/>
      <c r="E351" s="37"/>
      <c r="F351" s="37"/>
    </row>
    <row r="352" spans="1:6" ht="16.5" x14ac:dyDescent="0.3">
      <c r="A352" s="37"/>
      <c r="B352" s="37"/>
      <c r="C352" s="37"/>
      <c r="D352" s="37"/>
      <c r="E352" s="37"/>
      <c r="F352" s="37"/>
    </row>
    <row r="353" spans="1:6" ht="16.5" x14ac:dyDescent="0.3">
      <c r="A353" s="37"/>
      <c r="B353" s="37"/>
      <c r="C353" s="37"/>
      <c r="D353" s="37"/>
      <c r="E353" s="37"/>
      <c r="F353" s="37"/>
    </row>
    <row r="354" spans="1:6" ht="16.5" x14ac:dyDescent="0.3">
      <c r="A354" s="37"/>
      <c r="B354" s="37"/>
      <c r="C354" s="37"/>
      <c r="D354" s="37"/>
      <c r="E354" s="37"/>
      <c r="F354" s="37"/>
    </row>
    <row r="355" spans="1:6" ht="16.5" x14ac:dyDescent="0.3">
      <c r="A355" s="37"/>
      <c r="B355" s="37"/>
      <c r="C355" s="37"/>
      <c r="D355" s="37"/>
      <c r="E355" s="37"/>
      <c r="F355" s="37"/>
    </row>
    <row r="356" spans="1:6" ht="16.5" x14ac:dyDescent="0.3">
      <c r="A356" s="37"/>
      <c r="B356" s="37"/>
      <c r="C356" s="37"/>
      <c r="D356" s="37"/>
      <c r="E356" s="37"/>
      <c r="F356" s="37"/>
    </row>
    <row r="357" spans="1:6" ht="16.5" x14ac:dyDescent="0.3">
      <c r="A357" s="37"/>
      <c r="B357" s="37"/>
      <c r="C357" s="37"/>
      <c r="D357" s="37"/>
      <c r="E357" s="37"/>
      <c r="F357" s="37"/>
    </row>
    <row r="358" spans="1:6" ht="16.5" x14ac:dyDescent="0.3">
      <c r="A358" s="37"/>
      <c r="B358" s="37"/>
      <c r="C358" s="37"/>
      <c r="D358" s="37"/>
      <c r="E358" s="37"/>
      <c r="F358" s="37"/>
    </row>
    <row r="359" spans="1:6" ht="16.5" x14ac:dyDescent="0.3">
      <c r="A359" s="37"/>
      <c r="B359" s="37"/>
      <c r="C359" s="37"/>
      <c r="D359" s="37"/>
      <c r="E359" s="37"/>
      <c r="F359" s="37"/>
    </row>
    <row r="360" spans="1:6" ht="16.5" x14ac:dyDescent="0.3">
      <c r="A360" s="37"/>
      <c r="B360" s="37"/>
      <c r="C360" s="37"/>
      <c r="D360" s="37"/>
      <c r="E360" s="37"/>
      <c r="F360" s="37"/>
    </row>
    <row r="361" spans="1:6" ht="16.5" x14ac:dyDescent="0.3">
      <c r="A361" s="37"/>
      <c r="B361" s="37"/>
      <c r="C361" s="37"/>
      <c r="D361" s="37"/>
      <c r="E361" s="37"/>
      <c r="F361" s="37"/>
    </row>
    <row r="362" spans="1:6" ht="16.5" x14ac:dyDescent="0.3">
      <c r="A362" s="37"/>
      <c r="B362" s="37"/>
      <c r="C362" s="37"/>
      <c r="D362" s="37"/>
      <c r="E362" s="37"/>
      <c r="F362" s="37"/>
    </row>
    <row r="363" spans="1:6" ht="16.5" x14ac:dyDescent="0.3">
      <c r="A363" s="37"/>
      <c r="B363" s="37"/>
      <c r="C363" s="37"/>
      <c r="D363" s="37"/>
      <c r="E363" s="37"/>
      <c r="F363" s="37"/>
    </row>
    <row r="364" spans="1:6" ht="16.5" x14ac:dyDescent="0.3">
      <c r="A364" s="37"/>
      <c r="B364" s="37"/>
      <c r="C364" s="37"/>
      <c r="D364" s="37"/>
      <c r="E364" s="37"/>
      <c r="F364" s="37"/>
    </row>
    <row r="365" spans="1:6" ht="16.5" x14ac:dyDescent="0.3">
      <c r="A365" s="37"/>
      <c r="B365" s="37"/>
      <c r="C365" s="37"/>
      <c r="D365" s="37"/>
      <c r="E365" s="37"/>
      <c r="F365" s="37"/>
    </row>
    <row r="366" spans="1:6" ht="16.5" x14ac:dyDescent="0.3">
      <c r="A366" s="37"/>
      <c r="B366" s="37"/>
      <c r="C366" s="37"/>
      <c r="D366" s="37"/>
      <c r="E366" s="37"/>
      <c r="F366" s="37"/>
    </row>
    <row r="367" spans="1:6" ht="16.5" x14ac:dyDescent="0.3">
      <c r="A367" s="37"/>
      <c r="B367" s="37"/>
      <c r="C367" s="37"/>
      <c r="D367" s="37"/>
      <c r="E367" s="37"/>
      <c r="F367" s="37"/>
    </row>
    <row r="368" spans="1:6" ht="16.5" x14ac:dyDescent="0.3">
      <c r="A368" s="37"/>
      <c r="B368" s="37"/>
      <c r="C368" s="37"/>
      <c r="D368" s="37"/>
      <c r="E368" s="37"/>
      <c r="F368" s="37"/>
    </row>
    <row r="369" spans="1:6" ht="16.5" x14ac:dyDescent="0.3">
      <c r="A369" s="37"/>
      <c r="B369" s="37"/>
      <c r="C369" s="37"/>
      <c r="D369" s="37"/>
      <c r="E369" s="37"/>
      <c r="F369" s="37"/>
    </row>
    <row r="370" spans="1:6" ht="16.5" x14ac:dyDescent="0.3">
      <c r="A370" s="37"/>
      <c r="B370" s="37"/>
      <c r="C370" s="37"/>
      <c r="D370" s="37"/>
      <c r="E370" s="37"/>
      <c r="F370" s="37"/>
    </row>
    <row r="371" spans="1:6" ht="16.5" x14ac:dyDescent="0.3">
      <c r="A371" s="37"/>
      <c r="B371" s="37"/>
      <c r="C371" s="37"/>
      <c r="D371" s="37"/>
      <c r="E371" s="37"/>
      <c r="F371" s="37"/>
    </row>
    <row r="372" spans="1:6" ht="16.5" x14ac:dyDescent="0.3">
      <c r="A372" s="37"/>
      <c r="B372" s="37"/>
      <c r="C372" s="37"/>
      <c r="D372" s="37"/>
      <c r="E372" s="37"/>
      <c r="F372" s="37"/>
    </row>
    <row r="373" spans="1:6" ht="16.5" x14ac:dyDescent="0.3">
      <c r="A373" s="37"/>
      <c r="B373" s="37"/>
      <c r="C373" s="37"/>
      <c r="D373" s="37"/>
      <c r="E373" s="37"/>
      <c r="F373" s="37"/>
    </row>
    <row r="374" spans="1:6" ht="16.5" x14ac:dyDescent="0.3">
      <c r="A374" s="37"/>
      <c r="B374" s="37"/>
      <c r="C374" s="37"/>
      <c r="D374" s="37"/>
      <c r="E374" s="37"/>
      <c r="F374" s="37"/>
    </row>
    <row r="375" spans="1:6" ht="16.5" x14ac:dyDescent="0.3">
      <c r="A375" s="37"/>
      <c r="B375" s="37"/>
      <c r="C375" s="37"/>
      <c r="D375" s="37"/>
      <c r="E375" s="37"/>
      <c r="F375" s="37"/>
    </row>
    <row r="376" spans="1:6" ht="16.5" x14ac:dyDescent="0.3">
      <c r="A376" s="37"/>
      <c r="B376" s="37"/>
      <c r="C376" s="37"/>
      <c r="D376" s="37"/>
      <c r="E376" s="37"/>
      <c r="F376" s="37"/>
    </row>
    <row r="377" spans="1:6" ht="16.5" x14ac:dyDescent="0.3">
      <c r="A377" s="37"/>
      <c r="B377" s="37"/>
      <c r="C377" s="37"/>
      <c r="D377" s="37"/>
      <c r="E377" s="37"/>
      <c r="F377" s="37"/>
    </row>
    <row r="378" spans="1:6" ht="16.5" x14ac:dyDescent="0.3">
      <c r="A378" s="37"/>
      <c r="B378" s="37"/>
      <c r="C378" s="37"/>
      <c r="D378" s="37"/>
      <c r="E378" s="37"/>
      <c r="F378" s="37"/>
    </row>
    <row r="379" spans="1:6" ht="16.5" x14ac:dyDescent="0.3">
      <c r="A379" s="37"/>
      <c r="B379" s="37"/>
      <c r="C379" s="37"/>
      <c r="D379" s="37"/>
      <c r="E379" s="37"/>
      <c r="F379" s="37"/>
    </row>
    <row r="380" spans="1:6" ht="16.5" x14ac:dyDescent="0.3">
      <c r="A380" s="37"/>
      <c r="B380" s="37"/>
      <c r="C380" s="37"/>
      <c r="D380" s="37"/>
      <c r="E380" s="37"/>
      <c r="F380" s="37"/>
    </row>
    <row r="381" spans="1:6" ht="16.5" x14ac:dyDescent="0.3">
      <c r="A381" s="37"/>
      <c r="B381" s="37"/>
      <c r="C381" s="37"/>
      <c r="D381" s="37"/>
      <c r="E381" s="37"/>
      <c r="F381" s="37"/>
    </row>
    <row r="382" spans="1:6" ht="16.5" x14ac:dyDescent="0.3">
      <c r="A382" s="37"/>
      <c r="B382" s="37"/>
      <c r="C382" s="37"/>
      <c r="D382" s="37"/>
      <c r="E382" s="37"/>
      <c r="F382" s="37"/>
    </row>
    <row r="383" spans="1:6" ht="16.5" x14ac:dyDescent="0.3">
      <c r="A383" s="37"/>
      <c r="B383" s="37"/>
      <c r="C383" s="37"/>
      <c r="D383" s="37"/>
      <c r="E383" s="37"/>
      <c r="F383" s="37"/>
    </row>
    <row r="384" spans="1:6" ht="16.5" x14ac:dyDescent="0.3">
      <c r="A384" s="37"/>
      <c r="B384" s="37"/>
      <c r="C384" s="37"/>
      <c r="D384" s="37"/>
      <c r="E384" s="37"/>
      <c r="F384" s="37"/>
    </row>
    <row r="385" spans="1:6" ht="16.5" x14ac:dyDescent="0.3">
      <c r="A385" s="37"/>
      <c r="B385" s="37"/>
      <c r="C385" s="37"/>
      <c r="D385" s="37"/>
      <c r="E385" s="37"/>
      <c r="F385" s="37"/>
    </row>
    <row r="386" spans="1:6" ht="16.5" x14ac:dyDescent="0.3">
      <c r="A386" s="37"/>
      <c r="B386" s="37"/>
      <c r="C386" s="37"/>
      <c r="D386" s="37"/>
      <c r="E386" s="37"/>
      <c r="F386" s="37"/>
    </row>
    <row r="387" spans="1:6" ht="16.5" x14ac:dyDescent="0.3">
      <c r="A387" s="37"/>
      <c r="B387" s="37"/>
      <c r="C387" s="37"/>
      <c r="D387" s="37"/>
      <c r="E387" s="37"/>
      <c r="F387" s="37"/>
    </row>
    <row r="388" spans="1:6" ht="16.5" x14ac:dyDescent="0.3">
      <c r="A388" s="37"/>
      <c r="B388" s="37"/>
      <c r="C388" s="37"/>
      <c r="D388" s="37"/>
      <c r="E388" s="37"/>
      <c r="F388" s="37"/>
    </row>
    <row r="389" spans="1:6" ht="16.5" x14ac:dyDescent="0.3">
      <c r="A389" s="37"/>
      <c r="B389" s="37"/>
      <c r="C389" s="37"/>
      <c r="D389" s="37"/>
      <c r="E389" s="37"/>
      <c r="F389" s="37"/>
    </row>
    <row r="390" spans="1:6" ht="16.5" x14ac:dyDescent="0.3">
      <c r="A390" s="37"/>
      <c r="B390" s="37"/>
      <c r="C390" s="37"/>
      <c r="D390" s="37"/>
      <c r="E390" s="37"/>
      <c r="F390" s="37"/>
    </row>
    <row r="391" spans="1:6" ht="16.5" x14ac:dyDescent="0.3">
      <c r="A391" s="37"/>
      <c r="B391" s="37"/>
      <c r="C391" s="37"/>
      <c r="D391" s="37"/>
      <c r="E391" s="37"/>
      <c r="F391" s="37"/>
    </row>
    <row r="392" spans="1:6" ht="16.5" x14ac:dyDescent="0.3">
      <c r="A392" s="37"/>
      <c r="B392" s="37"/>
      <c r="C392" s="37"/>
      <c r="D392" s="37"/>
      <c r="E392" s="37"/>
      <c r="F392" s="37"/>
    </row>
    <row r="393" spans="1:6" ht="16.5" x14ac:dyDescent="0.3">
      <c r="A393" s="37"/>
      <c r="B393" s="37"/>
      <c r="C393" s="37"/>
      <c r="D393" s="37"/>
      <c r="E393" s="37"/>
      <c r="F393" s="37"/>
    </row>
    <row r="394" spans="1:6" ht="16.5" x14ac:dyDescent="0.3">
      <c r="A394" s="37"/>
      <c r="B394" s="37"/>
      <c r="C394" s="37"/>
      <c r="D394" s="37"/>
      <c r="E394" s="37"/>
      <c r="F394" s="37"/>
    </row>
    <row r="395" spans="1:6" ht="16.5" x14ac:dyDescent="0.3">
      <c r="A395" s="37"/>
      <c r="B395" s="37"/>
      <c r="C395" s="37"/>
      <c r="D395" s="37"/>
      <c r="E395" s="37"/>
      <c r="F395" s="37"/>
    </row>
    <row r="396" spans="1:6" ht="16.5" x14ac:dyDescent="0.3">
      <c r="A396" s="37"/>
      <c r="B396" s="37"/>
      <c r="C396" s="37"/>
      <c r="D396" s="37"/>
      <c r="E396" s="37"/>
      <c r="F396" s="37"/>
    </row>
    <row r="397" spans="1:6" ht="16.5" x14ac:dyDescent="0.3">
      <c r="A397" s="37"/>
      <c r="B397" s="37"/>
      <c r="C397" s="37"/>
      <c r="D397" s="37"/>
      <c r="E397" s="37"/>
      <c r="F397" s="37"/>
    </row>
    <row r="398" spans="1:6" ht="16.5" x14ac:dyDescent="0.3">
      <c r="A398" s="37"/>
      <c r="B398" s="37"/>
      <c r="C398" s="37"/>
      <c r="D398" s="37"/>
      <c r="E398" s="37"/>
      <c r="F398" s="37"/>
    </row>
    <row r="399" spans="1:6" ht="16.5" x14ac:dyDescent="0.3">
      <c r="A399" s="37"/>
      <c r="B399" s="37"/>
      <c r="C399" s="37"/>
      <c r="D399" s="37"/>
      <c r="E399" s="37"/>
      <c r="F399" s="37"/>
    </row>
    <row r="400" spans="1:6" ht="16.5" x14ac:dyDescent="0.3">
      <c r="A400" s="37"/>
      <c r="B400" s="37"/>
      <c r="C400" s="37"/>
      <c r="D400" s="37"/>
      <c r="E400" s="37"/>
      <c r="F400" s="37"/>
    </row>
    <row r="401" spans="1:6" ht="16.5" x14ac:dyDescent="0.3">
      <c r="A401" s="37"/>
      <c r="B401" s="37"/>
      <c r="C401" s="37"/>
      <c r="D401" s="37"/>
      <c r="E401" s="37"/>
      <c r="F401" s="37"/>
    </row>
    <row r="402" spans="1:6" ht="16.5" x14ac:dyDescent="0.3">
      <c r="A402" s="37"/>
      <c r="B402" s="37"/>
      <c r="C402" s="37"/>
      <c r="D402" s="37"/>
      <c r="E402" s="37"/>
      <c r="F402" s="37"/>
    </row>
    <row r="403" spans="1:6" ht="16.5" x14ac:dyDescent="0.3">
      <c r="A403" s="37"/>
      <c r="B403" s="37"/>
      <c r="C403" s="37"/>
      <c r="D403" s="37"/>
      <c r="E403" s="37"/>
      <c r="F403" s="37"/>
    </row>
    <row r="404" spans="1:6" ht="16.5" x14ac:dyDescent="0.3">
      <c r="A404" s="37"/>
      <c r="B404" s="37"/>
      <c r="C404" s="37"/>
      <c r="D404" s="37"/>
      <c r="E404" s="37"/>
      <c r="F404" s="37"/>
    </row>
    <row r="405" spans="1:6" ht="16.5" x14ac:dyDescent="0.3">
      <c r="A405" s="37"/>
      <c r="B405" s="37"/>
      <c r="C405" s="37"/>
      <c r="D405" s="37"/>
      <c r="E405" s="37"/>
      <c r="F405" s="37"/>
    </row>
    <row r="406" spans="1:6" ht="16.5" x14ac:dyDescent="0.3">
      <c r="A406" s="37"/>
      <c r="B406" s="37"/>
      <c r="C406" s="37"/>
      <c r="D406" s="37"/>
      <c r="E406" s="37"/>
      <c r="F406" s="37"/>
    </row>
    <row r="407" spans="1:6" ht="16.5" x14ac:dyDescent="0.3">
      <c r="A407" s="37"/>
      <c r="B407" s="37"/>
      <c r="C407" s="37"/>
      <c r="D407" s="37"/>
      <c r="E407" s="37"/>
      <c r="F407" s="37"/>
    </row>
    <row r="408" spans="1:6" ht="16.5" x14ac:dyDescent="0.3">
      <c r="A408" s="37"/>
      <c r="B408" s="37"/>
      <c r="C408" s="37"/>
      <c r="D408" s="37"/>
      <c r="E408" s="37"/>
      <c r="F408" s="37"/>
    </row>
    <row r="409" spans="1:6" ht="16.5" x14ac:dyDescent="0.3">
      <c r="A409" s="37"/>
      <c r="B409" s="37"/>
      <c r="C409" s="37"/>
      <c r="D409" s="37"/>
      <c r="E409" s="37"/>
      <c r="F409" s="37"/>
    </row>
    <row r="410" spans="1:6" ht="16.5" x14ac:dyDescent="0.3">
      <c r="A410" s="37"/>
      <c r="B410" s="37"/>
      <c r="C410" s="37"/>
      <c r="D410" s="37"/>
      <c r="E410" s="37"/>
      <c r="F410" s="37"/>
    </row>
    <row r="411" spans="1:6" ht="16.5" x14ac:dyDescent="0.3">
      <c r="A411" s="37"/>
      <c r="B411" s="37"/>
      <c r="C411" s="37"/>
      <c r="D411" s="37"/>
      <c r="E411" s="37"/>
      <c r="F411" s="37"/>
    </row>
    <row r="412" spans="1:6" ht="16.5" x14ac:dyDescent="0.3">
      <c r="A412" s="37"/>
      <c r="B412" s="37"/>
      <c r="C412" s="37"/>
      <c r="D412" s="37"/>
      <c r="E412" s="37"/>
      <c r="F412" s="37"/>
    </row>
    <row r="413" spans="1:6" ht="16.5" x14ac:dyDescent="0.3">
      <c r="A413" s="37"/>
      <c r="B413" s="37"/>
      <c r="C413" s="37"/>
      <c r="D413" s="37"/>
      <c r="E413" s="37"/>
      <c r="F413" s="37"/>
    </row>
    <row r="414" spans="1:6" ht="16.5" x14ac:dyDescent="0.3">
      <c r="A414" s="37"/>
      <c r="B414" s="37"/>
      <c r="C414" s="37"/>
      <c r="D414" s="37"/>
      <c r="E414" s="37"/>
      <c r="F414" s="37"/>
    </row>
    <row r="415" spans="1:6" ht="16.5" x14ac:dyDescent="0.3">
      <c r="A415" s="37"/>
      <c r="B415" s="37"/>
      <c r="C415" s="37"/>
      <c r="D415" s="37"/>
      <c r="E415" s="37"/>
      <c r="F415" s="37"/>
    </row>
    <row r="416" spans="1:6" ht="16.5" x14ac:dyDescent="0.3">
      <c r="A416" s="37"/>
      <c r="B416" s="37"/>
      <c r="C416" s="37"/>
      <c r="D416" s="37"/>
      <c r="E416" s="37"/>
      <c r="F416" s="37"/>
    </row>
    <row r="417" spans="1:6" ht="16.5" x14ac:dyDescent="0.3">
      <c r="A417" s="37"/>
      <c r="B417" s="37"/>
      <c r="C417" s="37"/>
      <c r="D417" s="37"/>
      <c r="E417" s="37"/>
      <c r="F417" s="37"/>
    </row>
    <row r="418" spans="1:6" ht="16.5" x14ac:dyDescent="0.3">
      <c r="A418" s="37"/>
      <c r="B418" s="37"/>
      <c r="C418" s="37"/>
      <c r="D418" s="37"/>
      <c r="E418" s="37"/>
      <c r="F418" s="37"/>
    </row>
    <row r="419" spans="1:6" ht="16.5" x14ac:dyDescent="0.3">
      <c r="A419" s="37"/>
      <c r="B419" s="37"/>
      <c r="C419" s="37"/>
      <c r="D419" s="37"/>
      <c r="E419" s="37"/>
      <c r="F419" s="37"/>
    </row>
    <row r="420" spans="1:6" ht="16.5" x14ac:dyDescent="0.3">
      <c r="A420" s="37"/>
      <c r="B420" s="37"/>
      <c r="C420" s="37"/>
      <c r="D420" s="37"/>
      <c r="E420" s="37"/>
      <c r="F420" s="37"/>
    </row>
    <row r="421" spans="1:6" ht="16.5" x14ac:dyDescent="0.3">
      <c r="A421" s="37"/>
      <c r="B421" s="37"/>
      <c r="C421" s="37"/>
      <c r="D421" s="37"/>
      <c r="E421" s="37"/>
      <c r="F421" s="37"/>
    </row>
    <row r="422" spans="1:6" ht="16.5" x14ac:dyDescent="0.3">
      <c r="A422" s="37"/>
      <c r="B422" s="37"/>
      <c r="C422" s="37"/>
      <c r="D422" s="37"/>
      <c r="E422" s="37"/>
      <c r="F422" s="37"/>
    </row>
    <row r="423" spans="1:6" ht="16.5" x14ac:dyDescent="0.3">
      <c r="A423" s="37"/>
      <c r="B423" s="37"/>
      <c r="C423" s="37"/>
      <c r="D423" s="37"/>
      <c r="E423" s="37"/>
      <c r="F423" s="37"/>
    </row>
    <row r="424" spans="1:6" ht="16.5" x14ac:dyDescent="0.3">
      <c r="A424" s="37"/>
      <c r="B424" s="37"/>
      <c r="C424" s="37"/>
      <c r="D424" s="37"/>
      <c r="E424" s="37"/>
      <c r="F424" s="37"/>
    </row>
    <row r="425" spans="1:6" ht="16.5" x14ac:dyDescent="0.3">
      <c r="A425" s="37"/>
      <c r="B425" s="37"/>
      <c r="C425" s="37"/>
      <c r="D425" s="37"/>
      <c r="E425" s="37"/>
      <c r="F425" s="37"/>
    </row>
    <row r="426" spans="1:6" ht="16.5" x14ac:dyDescent="0.3">
      <c r="A426" s="37"/>
      <c r="B426" s="37"/>
      <c r="C426" s="37"/>
      <c r="D426" s="37"/>
      <c r="E426" s="37"/>
      <c r="F426" s="37"/>
    </row>
    <row r="427" spans="1:6" ht="16.5" x14ac:dyDescent="0.3">
      <c r="A427" s="37"/>
      <c r="B427" s="37"/>
      <c r="C427" s="37"/>
      <c r="D427" s="37"/>
      <c r="E427" s="37"/>
      <c r="F427" s="37"/>
    </row>
    <row r="428" spans="1:6" ht="16.5" x14ac:dyDescent="0.3">
      <c r="A428" s="37"/>
      <c r="B428" s="37"/>
      <c r="C428" s="37"/>
      <c r="D428" s="37"/>
      <c r="E428" s="37"/>
      <c r="F428" s="37"/>
    </row>
    <row r="429" spans="1:6" ht="16.5" x14ac:dyDescent="0.3">
      <c r="A429" s="37"/>
      <c r="B429" s="37"/>
      <c r="C429" s="37"/>
      <c r="D429" s="37"/>
      <c r="E429" s="37"/>
      <c r="F429" s="37"/>
    </row>
    <row r="430" spans="1:6" ht="16.5" x14ac:dyDescent="0.3">
      <c r="A430" s="37"/>
      <c r="B430" s="37"/>
      <c r="C430" s="37"/>
      <c r="D430" s="37"/>
      <c r="E430" s="37"/>
      <c r="F430" s="37"/>
    </row>
    <row r="431" spans="1:6" ht="16.5" x14ac:dyDescent="0.3">
      <c r="A431" s="37"/>
      <c r="B431" s="37"/>
      <c r="C431" s="37"/>
      <c r="D431" s="37"/>
      <c r="E431" s="37"/>
      <c r="F431" s="37"/>
    </row>
    <row r="432" spans="1:6" ht="16.5" x14ac:dyDescent="0.3">
      <c r="A432" s="37"/>
      <c r="B432" s="37"/>
      <c r="C432" s="37"/>
      <c r="D432" s="37"/>
      <c r="E432" s="37"/>
      <c r="F432" s="37"/>
    </row>
    <row r="433" spans="1:6" ht="16.5" x14ac:dyDescent="0.3">
      <c r="A433" s="37"/>
      <c r="B433" s="37"/>
      <c r="C433" s="37"/>
      <c r="D433" s="37"/>
      <c r="E433" s="37"/>
      <c r="F433" s="37"/>
    </row>
    <row r="434" spans="1:6" ht="16.5" x14ac:dyDescent="0.3">
      <c r="A434" s="37"/>
      <c r="B434" s="37"/>
      <c r="C434" s="37"/>
      <c r="D434" s="37"/>
      <c r="E434" s="37"/>
      <c r="F434" s="37"/>
    </row>
    <row r="435" spans="1:6" ht="16.5" x14ac:dyDescent="0.3">
      <c r="A435" s="37"/>
      <c r="B435" s="37"/>
      <c r="C435" s="37"/>
      <c r="D435" s="37"/>
      <c r="E435" s="37"/>
      <c r="F435" s="37"/>
    </row>
    <row r="436" spans="1:6" ht="16.5" x14ac:dyDescent="0.3">
      <c r="A436" s="37"/>
      <c r="B436" s="37"/>
      <c r="C436" s="37"/>
      <c r="D436" s="37"/>
      <c r="E436" s="37"/>
      <c r="F436" s="37"/>
    </row>
    <row r="437" spans="1:6" ht="16.5" x14ac:dyDescent="0.3">
      <c r="A437" s="37"/>
      <c r="B437" s="37"/>
      <c r="C437" s="37"/>
      <c r="D437" s="37"/>
      <c r="E437" s="37"/>
      <c r="F437" s="37"/>
    </row>
    <row r="438" spans="1:6" ht="16.5" x14ac:dyDescent="0.3">
      <c r="A438" s="37"/>
      <c r="B438" s="37"/>
      <c r="C438" s="37"/>
      <c r="D438" s="37"/>
      <c r="E438" s="37"/>
      <c r="F438" s="37"/>
    </row>
    <row r="439" spans="1:6" ht="16.5" x14ac:dyDescent="0.3">
      <c r="A439" s="37"/>
      <c r="B439" s="37"/>
      <c r="C439" s="37"/>
      <c r="D439" s="37"/>
      <c r="E439" s="37"/>
      <c r="F439" s="37"/>
    </row>
    <row r="440" spans="1:6" ht="16.5" x14ac:dyDescent="0.3">
      <c r="A440" s="37"/>
      <c r="B440" s="37"/>
      <c r="C440" s="37"/>
      <c r="D440" s="37"/>
      <c r="E440" s="37"/>
      <c r="F440" s="37"/>
    </row>
    <row r="441" spans="1:6" ht="16.5" x14ac:dyDescent="0.3">
      <c r="A441" s="37"/>
      <c r="B441" s="37"/>
      <c r="C441" s="37"/>
      <c r="D441" s="37"/>
      <c r="E441" s="37"/>
      <c r="F441" s="37"/>
    </row>
    <row r="442" spans="1:6" ht="16.5" x14ac:dyDescent="0.3">
      <c r="A442" s="37"/>
      <c r="B442" s="37"/>
      <c r="C442" s="37"/>
      <c r="D442" s="37"/>
      <c r="E442" s="37"/>
      <c r="F442" s="37"/>
    </row>
    <row r="443" spans="1:6" ht="16.5" x14ac:dyDescent="0.3">
      <c r="A443" s="37"/>
      <c r="B443" s="37"/>
      <c r="C443" s="37"/>
      <c r="D443" s="37"/>
      <c r="E443" s="37"/>
      <c r="F443" s="37"/>
    </row>
    <row r="444" spans="1:6" ht="16.5" x14ac:dyDescent="0.3">
      <c r="A444" s="37"/>
      <c r="B444" s="37"/>
      <c r="C444" s="37"/>
      <c r="D444" s="37"/>
      <c r="E444" s="37"/>
      <c r="F444" s="37"/>
    </row>
    <row r="445" spans="1:6" ht="16.5" x14ac:dyDescent="0.3">
      <c r="A445" s="37"/>
      <c r="B445" s="37"/>
      <c r="C445" s="37"/>
      <c r="D445" s="37"/>
      <c r="E445" s="37"/>
      <c r="F445" s="37"/>
    </row>
    <row r="446" spans="1:6" ht="16.5" x14ac:dyDescent="0.3">
      <c r="A446" s="37"/>
      <c r="B446" s="37"/>
      <c r="C446" s="37"/>
      <c r="D446" s="37"/>
      <c r="E446" s="37"/>
      <c r="F446" s="37"/>
    </row>
    <row r="447" spans="1:6" ht="16.5" x14ac:dyDescent="0.3">
      <c r="A447" s="37"/>
      <c r="B447" s="37"/>
      <c r="C447" s="37"/>
      <c r="D447" s="37"/>
      <c r="E447" s="37"/>
      <c r="F447" s="37"/>
    </row>
    <row r="448" spans="1:6" ht="16.5" x14ac:dyDescent="0.3">
      <c r="A448" s="37"/>
      <c r="B448" s="37"/>
      <c r="C448" s="37"/>
      <c r="D448" s="37"/>
      <c r="E448" s="37"/>
      <c r="F448" s="37"/>
    </row>
    <row r="449" spans="1:6" ht="16.5" x14ac:dyDescent="0.3">
      <c r="A449" s="37"/>
      <c r="B449" s="37"/>
      <c r="C449" s="37"/>
      <c r="D449" s="37"/>
      <c r="E449" s="37"/>
      <c r="F449" s="37"/>
    </row>
    <row r="450" spans="1:6" ht="16.5" x14ac:dyDescent="0.3">
      <c r="A450" s="37"/>
      <c r="B450" s="37"/>
      <c r="C450" s="37"/>
      <c r="D450" s="37"/>
      <c r="E450" s="37"/>
      <c r="F450" s="37"/>
    </row>
    <row r="451" spans="1:6" ht="16.5" x14ac:dyDescent="0.3">
      <c r="A451" s="37"/>
      <c r="B451" s="37"/>
      <c r="C451" s="37"/>
      <c r="D451" s="37"/>
      <c r="E451" s="37"/>
      <c r="F451" s="37"/>
    </row>
    <row r="452" spans="1:6" ht="16.5" x14ac:dyDescent="0.3">
      <c r="A452" s="37"/>
      <c r="B452" s="37"/>
      <c r="C452" s="37"/>
      <c r="D452" s="37"/>
      <c r="E452" s="37"/>
      <c r="F452" s="37"/>
    </row>
    <row r="453" spans="1:6" ht="16.5" x14ac:dyDescent="0.3">
      <c r="A453" s="37"/>
      <c r="B453" s="37"/>
      <c r="C453" s="37"/>
      <c r="D453" s="37"/>
      <c r="E453" s="37"/>
      <c r="F453" s="37"/>
    </row>
    <row r="454" spans="1:6" ht="16.5" x14ac:dyDescent="0.3">
      <c r="A454" s="37"/>
      <c r="B454" s="37"/>
      <c r="C454" s="37"/>
      <c r="D454" s="37"/>
      <c r="E454" s="37"/>
      <c r="F454" s="37"/>
    </row>
    <row r="455" spans="1:6" ht="16.5" x14ac:dyDescent="0.3">
      <c r="A455" s="37"/>
      <c r="B455" s="37"/>
      <c r="C455" s="37"/>
      <c r="D455" s="37"/>
      <c r="E455" s="37"/>
      <c r="F455" s="37"/>
    </row>
    <row r="456" spans="1:6" ht="16.5" x14ac:dyDescent="0.3">
      <c r="A456" s="37"/>
      <c r="B456" s="37"/>
      <c r="C456" s="37"/>
      <c r="D456" s="37"/>
      <c r="E456" s="37"/>
      <c r="F456" s="37"/>
    </row>
    <row r="457" spans="1:6" ht="16.5" x14ac:dyDescent="0.3">
      <c r="A457" s="37"/>
      <c r="B457" s="37"/>
      <c r="C457" s="37"/>
      <c r="D457" s="37"/>
      <c r="E457" s="37"/>
      <c r="F457" s="37"/>
    </row>
    <row r="458" spans="1:6" ht="16.5" x14ac:dyDescent="0.3">
      <c r="A458" s="37"/>
      <c r="B458" s="37"/>
      <c r="C458" s="37"/>
      <c r="D458" s="37"/>
      <c r="E458" s="37"/>
      <c r="F458" s="37"/>
    </row>
    <row r="459" spans="1:6" ht="16.5" x14ac:dyDescent="0.3">
      <c r="A459" s="37"/>
      <c r="B459" s="37"/>
      <c r="C459" s="37"/>
      <c r="D459" s="37"/>
      <c r="E459" s="37"/>
      <c r="F459" s="37"/>
    </row>
    <row r="460" spans="1:6" ht="16.5" x14ac:dyDescent="0.3">
      <c r="A460" s="37"/>
      <c r="B460" s="37"/>
      <c r="C460" s="37"/>
      <c r="D460" s="37"/>
      <c r="E460" s="37"/>
      <c r="F460" s="37"/>
    </row>
    <row r="461" spans="1:6" ht="16.5" x14ac:dyDescent="0.3">
      <c r="A461" s="37"/>
      <c r="B461" s="37"/>
      <c r="C461" s="37"/>
      <c r="D461" s="37"/>
      <c r="E461" s="37"/>
      <c r="F461" s="37"/>
    </row>
    <row r="462" spans="1:6" ht="16.5" x14ac:dyDescent="0.3">
      <c r="A462" s="37"/>
      <c r="B462" s="37"/>
      <c r="C462" s="37"/>
      <c r="D462" s="37"/>
      <c r="E462" s="37"/>
      <c r="F462" s="37"/>
    </row>
    <row r="463" spans="1:6" ht="16.5" x14ac:dyDescent="0.3">
      <c r="A463" s="37"/>
      <c r="B463" s="37"/>
      <c r="C463" s="37"/>
      <c r="D463" s="37"/>
      <c r="E463" s="37"/>
      <c r="F463" s="37"/>
    </row>
    <row r="464" spans="1:6" ht="16.5" x14ac:dyDescent="0.3">
      <c r="A464" s="37"/>
      <c r="B464" s="37"/>
      <c r="C464" s="37"/>
      <c r="D464" s="37"/>
      <c r="E464" s="37"/>
      <c r="F464" s="37"/>
    </row>
    <row r="465" spans="1:6" ht="16.5" x14ac:dyDescent="0.3">
      <c r="A465" s="37"/>
      <c r="B465" s="37"/>
      <c r="C465" s="37"/>
      <c r="D465" s="37"/>
      <c r="E465" s="37"/>
      <c r="F465" s="37"/>
    </row>
    <row r="466" spans="1:6" ht="16.5" x14ac:dyDescent="0.3">
      <c r="A466" s="37"/>
      <c r="B466" s="37"/>
      <c r="C466" s="37"/>
      <c r="D466" s="37"/>
      <c r="E466" s="37"/>
      <c r="F466" s="37"/>
    </row>
    <row r="467" spans="1:6" ht="16.5" x14ac:dyDescent="0.3">
      <c r="A467" s="37"/>
      <c r="B467" s="37"/>
      <c r="C467" s="37"/>
      <c r="D467" s="37"/>
      <c r="E467" s="37"/>
      <c r="F467" s="37"/>
    </row>
    <row r="468" spans="1:6" ht="16.5" x14ac:dyDescent="0.3">
      <c r="A468" s="37"/>
      <c r="B468" s="37"/>
      <c r="C468" s="37"/>
      <c r="D468" s="37"/>
      <c r="E468" s="37"/>
      <c r="F468" s="37"/>
    </row>
    <row r="469" spans="1:6" ht="16.5" x14ac:dyDescent="0.3">
      <c r="A469" s="37"/>
      <c r="B469" s="37"/>
      <c r="C469" s="37"/>
      <c r="D469" s="37"/>
      <c r="E469" s="37"/>
      <c r="F469" s="37"/>
    </row>
    <row r="470" spans="1:6" ht="16.5" x14ac:dyDescent="0.3">
      <c r="A470" s="37"/>
      <c r="B470" s="37"/>
      <c r="C470" s="37"/>
      <c r="D470" s="37"/>
      <c r="E470" s="37"/>
      <c r="F470" s="37"/>
    </row>
    <row r="471" spans="1:6" ht="16.5" x14ac:dyDescent="0.3">
      <c r="A471" s="37"/>
      <c r="B471" s="37"/>
      <c r="C471" s="37"/>
      <c r="D471" s="37"/>
      <c r="E471" s="37"/>
      <c r="F471" s="37"/>
    </row>
    <row r="472" spans="1:6" ht="16.5" x14ac:dyDescent="0.3">
      <c r="A472" s="37"/>
      <c r="B472" s="37"/>
      <c r="C472" s="37"/>
      <c r="D472" s="37"/>
      <c r="E472" s="37"/>
      <c r="F472" s="37"/>
    </row>
    <row r="473" spans="1:6" ht="16.5" x14ac:dyDescent="0.3">
      <c r="A473" s="37"/>
      <c r="B473" s="37"/>
      <c r="C473" s="37"/>
      <c r="D473" s="37"/>
      <c r="E473" s="37"/>
      <c r="F473" s="37"/>
    </row>
    <row r="474" spans="1:6" ht="16.5" x14ac:dyDescent="0.3">
      <c r="A474" s="37"/>
      <c r="B474" s="37"/>
      <c r="C474" s="37"/>
      <c r="D474" s="37"/>
      <c r="E474" s="37"/>
      <c r="F474" s="37"/>
    </row>
    <row r="475" spans="1:6" ht="16.5" x14ac:dyDescent="0.3">
      <c r="A475" s="37"/>
      <c r="B475" s="37"/>
      <c r="C475" s="37"/>
      <c r="D475" s="37"/>
      <c r="E475" s="37"/>
      <c r="F475" s="37"/>
    </row>
    <row r="476" spans="1:6" ht="16.5" x14ac:dyDescent="0.3">
      <c r="A476" s="37"/>
      <c r="B476" s="37"/>
      <c r="C476" s="37"/>
      <c r="D476" s="37"/>
      <c r="E476" s="37"/>
      <c r="F476" s="37"/>
    </row>
    <row r="477" spans="1:6" ht="16.5" x14ac:dyDescent="0.3">
      <c r="A477" s="37"/>
      <c r="B477" s="37"/>
      <c r="C477" s="37"/>
      <c r="D477" s="37"/>
      <c r="E477" s="37"/>
      <c r="F477" s="37"/>
    </row>
    <row r="478" spans="1:6" ht="16.5" x14ac:dyDescent="0.3">
      <c r="A478" s="37"/>
      <c r="B478" s="37"/>
      <c r="C478" s="37"/>
      <c r="D478" s="37"/>
      <c r="E478" s="37"/>
      <c r="F478" s="37"/>
    </row>
    <row r="479" spans="1:6" ht="16.5" x14ac:dyDescent="0.3">
      <c r="A479" s="37"/>
      <c r="B479" s="37"/>
      <c r="C479" s="37"/>
      <c r="D479" s="37"/>
      <c r="E479" s="37"/>
      <c r="F479" s="37"/>
    </row>
    <row r="480" spans="1:6" ht="16.5" x14ac:dyDescent="0.3">
      <c r="A480" s="37"/>
      <c r="B480" s="37"/>
      <c r="C480" s="37"/>
      <c r="D480" s="37"/>
      <c r="E480" s="37"/>
      <c r="F480" s="37"/>
    </row>
    <row r="481" spans="1:6" ht="16.5" x14ac:dyDescent="0.3">
      <c r="A481" s="37"/>
      <c r="B481" s="37"/>
      <c r="C481" s="37"/>
      <c r="D481" s="37"/>
      <c r="E481" s="37"/>
      <c r="F481" s="37"/>
    </row>
    <row r="482" spans="1:6" ht="16.5" x14ac:dyDescent="0.3">
      <c r="A482" s="37"/>
      <c r="B482" s="37"/>
      <c r="C482" s="37"/>
      <c r="D482" s="37"/>
      <c r="E482" s="37"/>
      <c r="F482" s="37"/>
    </row>
    <row r="483" spans="1:6" ht="16.5" x14ac:dyDescent="0.3">
      <c r="A483" s="37"/>
      <c r="B483" s="37"/>
      <c r="C483" s="37"/>
      <c r="D483" s="37"/>
      <c r="E483" s="37"/>
      <c r="F483" s="37"/>
    </row>
    <row r="484" spans="1:6" ht="16.5" x14ac:dyDescent="0.3">
      <c r="A484" s="37"/>
      <c r="B484" s="37"/>
      <c r="C484" s="37"/>
      <c r="D484" s="37"/>
      <c r="E484" s="37"/>
      <c r="F484" s="37"/>
    </row>
    <row r="485" spans="1:6" ht="16.5" x14ac:dyDescent="0.3">
      <c r="A485" s="37"/>
      <c r="B485" s="37"/>
      <c r="C485" s="37"/>
      <c r="D485" s="37"/>
      <c r="E485" s="37"/>
      <c r="F485" s="37"/>
    </row>
    <row r="486" spans="1:6" ht="16.5" x14ac:dyDescent="0.3">
      <c r="A486" s="37"/>
      <c r="B486" s="37"/>
      <c r="C486" s="37"/>
      <c r="D486" s="37"/>
      <c r="E486" s="37"/>
      <c r="F486" s="37"/>
    </row>
    <row r="487" spans="1:6" ht="16.5" x14ac:dyDescent="0.3">
      <c r="A487" s="37"/>
      <c r="B487" s="37"/>
      <c r="C487" s="37"/>
      <c r="D487" s="37"/>
      <c r="E487" s="37"/>
      <c r="F487" s="37"/>
    </row>
    <row r="488" spans="1:6" ht="16.5" x14ac:dyDescent="0.3">
      <c r="A488" s="37"/>
      <c r="B488" s="37"/>
      <c r="C488" s="37"/>
      <c r="D488" s="37"/>
      <c r="E488" s="37"/>
      <c r="F488" s="37"/>
    </row>
    <row r="489" spans="1:6" ht="16.5" x14ac:dyDescent="0.3">
      <c r="A489" s="37"/>
      <c r="B489" s="37"/>
      <c r="C489" s="37"/>
      <c r="D489" s="37"/>
      <c r="E489" s="37"/>
      <c r="F489" s="37"/>
    </row>
    <row r="490" spans="1:6" ht="16.5" x14ac:dyDescent="0.3">
      <c r="A490" s="37"/>
      <c r="B490" s="37"/>
      <c r="C490" s="37"/>
      <c r="D490" s="37"/>
      <c r="E490" s="37"/>
      <c r="F490" s="37"/>
    </row>
    <row r="491" spans="1:6" ht="16.5" x14ac:dyDescent="0.3">
      <c r="A491" s="37"/>
      <c r="B491" s="37"/>
      <c r="C491" s="37"/>
      <c r="D491" s="37"/>
      <c r="E491" s="37"/>
      <c r="F491" s="37"/>
    </row>
    <row r="492" spans="1:6" ht="16.5" x14ac:dyDescent="0.3">
      <c r="A492" s="37"/>
      <c r="B492" s="37"/>
      <c r="C492" s="37"/>
      <c r="D492" s="37"/>
      <c r="E492" s="37"/>
      <c r="F492" s="37"/>
    </row>
    <row r="493" spans="1:6" ht="16.5" x14ac:dyDescent="0.3">
      <c r="A493" s="37"/>
      <c r="B493" s="37"/>
      <c r="C493" s="37"/>
      <c r="D493" s="37"/>
      <c r="E493" s="37"/>
      <c r="F493" s="37"/>
    </row>
    <row r="494" spans="1:6" ht="16.5" x14ac:dyDescent="0.3">
      <c r="A494" s="37"/>
      <c r="B494" s="37"/>
      <c r="C494" s="37"/>
      <c r="D494" s="37"/>
      <c r="E494" s="37"/>
      <c r="F494" s="37"/>
    </row>
    <row r="495" spans="1:6" ht="16.5" x14ac:dyDescent="0.3">
      <c r="A495" s="37"/>
      <c r="B495" s="37"/>
      <c r="C495" s="37"/>
      <c r="D495" s="37"/>
      <c r="E495" s="37"/>
      <c r="F495" s="37"/>
    </row>
    <row r="496" spans="1:6" ht="16.5" x14ac:dyDescent="0.3">
      <c r="A496" s="37"/>
      <c r="B496" s="37"/>
      <c r="C496" s="37"/>
      <c r="D496" s="37"/>
      <c r="E496" s="37"/>
      <c r="F496" s="37"/>
    </row>
    <row r="497" spans="1:6" ht="16.5" x14ac:dyDescent="0.3">
      <c r="A497" s="37"/>
      <c r="B497" s="37"/>
      <c r="C497" s="37"/>
      <c r="D497" s="37"/>
      <c r="E497" s="37"/>
      <c r="F497" s="37"/>
    </row>
    <row r="498" spans="1:6" ht="16.5" x14ac:dyDescent="0.3">
      <c r="A498" s="37"/>
      <c r="B498" s="37"/>
      <c r="C498" s="37"/>
      <c r="D498" s="37"/>
      <c r="E498" s="37"/>
      <c r="F498" s="37"/>
    </row>
    <row r="499" spans="1:6" ht="16.5" x14ac:dyDescent="0.3">
      <c r="A499" s="37"/>
      <c r="B499" s="37"/>
      <c r="C499" s="37"/>
      <c r="D499" s="37"/>
      <c r="E499" s="37"/>
      <c r="F499" s="37"/>
    </row>
    <row r="500" spans="1:6" ht="16.5" x14ac:dyDescent="0.3">
      <c r="A500" s="37"/>
      <c r="B500" s="37"/>
      <c r="C500" s="37"/>
      <c r="D500" s="37"/>
      <c r="E500" s="37"/>
      <c r="F500" s="37"/>
    </row>
    <row r="501" spans="1:6" ht="16.5" x14ac:dyDescent="0.3">
      <c r="A501" s="37"/>
      <c r="B501" s="37"/>
      <c r="C501" s="37"/>
      <c r="D501" s="37"/>
      <c r="E501" s="37"/>
      <c r="F501" s="37"/>
    </row>
    <row r="502" spans="1:6" ht="16.5" x14ac:dyDescent="0.3">
      <c r="A502" s="37"/>
      <c r="B502" s="37"/>
      <c r="C502" s="37"/>
      <c r="D502" s="37"/>
      <c r="E502" s="37"/>
      <c r="F502" s="37"/>
    </row>
    <row r="503" spans="1:6" ht="16.5" x14ac:dyDescent="0.3">
      <c r="A503" s="37"/>
      <c r="B503" s="37"/>
      <c r="C503" s="37"/>
      <c r="D503" s="37"/>
      <c r="E503" s="37"/>
      <c r="F503" s="37"/>
    </row>
    <row r="504" spans="1:6" ht="16.5" x14ac:dyDescent="0.3">
      <c r="A504" s="37"/>
      <c r="B504" s="37"/>
      <c r="C504" s="37"/>
      <c r="D504" s="37"/>
      <c r="E504" s="37"/>
      <c r="F504" s="37"/>
    </row>
    <row r="505" spans="1:6" ht="16.5" x14ac:dyDescent="0.3">
      <c r="A505" s="37"/>
      <c r="B505" s="37"/>
      <c r="C505" s="37"/>
      <c r="D505" s="37"/>
      <c r="E505" s="37"/>
      <c r="F505" s="37"/>
    </row>
    <row r="506" spans="1:6" ht="16.5" x14ac:dyDescent="0.3">
      <c r="A506" s="37"/>
      <c r="B506" s="37"/>
      <c r="C506" s="37"/>
      <c r="D506" s="37"/>
      <c r="E506" s="37"/>
      <c r="F506" s="37"/>
    </row>
    <row r="507" spans="1:6" ht="16.5" x14ac:dyDescent="0.3">
      <c r="A507" s="37"/>
      <c r="B507" s="37"/>
      <c r="C507" s="37"/>
      <c r="D507" s="37"/>
      <c r="E507" s="37"/>
      <c r="F507" s="37"/>
    </row>
    <row r="508" spans="1:6" ht="16.5" x14ac:dyDescent="0.3">
      <c r="A508" s="37"/>
      <c r="B508" s="37"/>
      <c r="C508" s="37"/>
      <c r="D508" s="37"/>
      <c r="E508" s="37"/>
      <c r="F508" s="37"/>
    </row>
    <row r="509" spans="1:6" ht="16.5" x14ac:dyDescent="0.3">
      <c r="A509" s="37"/>
      <c r="B509" s="37"/>
      <c r="C509" s="37"/>
      <c r="D509" s="37"/>
      <c r="E509" s="37"/>
      <c r="F509" s="37"/>
    </row>
    <row r="510" spans="1:6" ht="16.5" x14ac:dyDescent="0.3">
      <c r="A510" s="37"/>
      <c r="B510" s="37"/>
      <c r="C510" s="37"/>
      <c r="D510" s="37"/>
      <c r="E510" s="37"/>
      <c r="F510" s="37"/>
    </row>
    <row r="511" spans="1:6" ht="16.5" x14ac:dyDescent="0.3">
      <c r="A511" s="37"/>
      <c r="B511" s="37"/>
      <c r="C511" s="37"/>
      <c r="D511" s="37"/>
      <c r="E511" s="37"/>
      <c r="F511" s="37"/>
    </row>
    <row r="512" spans="1:6" ht="16.5" x14ac:dyDescent="0.3">
      <c r="A512" s="37"/>
      <c r="B512" s="37"/>
      <c r="C512" s="37"/>
      <c r="D512" s="37"/>
      <c r="E512" s="37"/>
      <c r="F512" s="37"/>
    </row>
    <row r="513" spans="1:6" ht="16.5" x14ac:dyDescent="0.3">
      <c r="A513" s="37"/>
      <c r="B513" s="37"/>
      <c r="C513" s="37"/>
      <c r="D513" s="37"/>
      <c r="E513" s="37"/>
      <c r="F513" s="37"/>
    </row>
    <row r="514" spans="1:6" ht="16.5" x14ac:dyDescent="0.3">
      <c r="A514" s="37"/>
      <c r="B514" s="37"/>
      <c r="C514" s="37"/>
      <c r="D514" s="37"/>
      <c r="E514" s="37"/>
      <c r="F514" s="37"/>
    </row>
    <row r="515" spans="1:6" ht="16.5" x14ac:dyDescent="0.3">
      <c r="A515" s="37"/>
      <c r="B515" s="37"/>
      <c r="C515" s="37"/>
      <c r="D515" s="37"/>
      <c r="E515" s="37"/>
      <c r="F515" s="37"/>
    </row>
    <row r="516" spans="1:6" ht="16.5" x14ac:dyDescent="0.3">
      <c r="A516" s="37"/>
      <c r="B516" s="37"/>
      <c r="C516" s="37"/>
      <c r="D516" s="37"/>
      <c r="E516" s="37"/>
      <c r="F516" s="37"/>
    </row>
    <row r="517" spans="1:6" ht="16.5" x14ac:dyDescent="0.3">
      <c r="A517" s="37"/>
      <c r="B517" s="37"/>
      <c r="C517" s="37"/>
      <c r="D517" s="37"/>
      <c r="E517" s="37"/>
      <c r="F517" s="37"/>
    </row>
    <row r="518" spans="1:6" ht="16.5" x14ac:dyDescent="0.3">
      <c r="A518" s="37"/>
      <c r="B518" s="37"/>
      <c r="C518" s="37"/>
      <c r="D518" s="37"/>
      <c r="E518" s="37"/>
      <c r="F518" s="37"/>
    </row>
    <row r="519" spans="1:6" ht="16.5" x14ac:dyDescent="0.3">
      <c r="A519" s="37"/>
      <c r="B519" s="37"/>
      <c r="C519" s="37"/>
      <c r="D519" s="37"/>
      <c r="E519" s="37"/>
      <c r="F519" s="37"/>
    </row>
    <row r="520" spans="1:6" ht="16.5" x14ac:dyDescent="0.3">
      <c r="A520" s="37"/>
      <c r="B520" s="37"/>
      <c r="C520" s="37"/>
      <c r="D520" s="37"/>
      <c r="E520" s="37"/>
      <c r="F520" s="37"/>
    </row>
    <row r="521" spans="1:6" ht="16.5" x14ac:dyDescent="0.3">
      <c r="A521" s="37"/>
      <c r="B521" s="37"/>
      <c r="C521" s="37"/>
      <c r="D521" s="37"/>
      <c r="E521" s="37"/>
      <c r="F521" s="37"/>
    </row>
    <row r="522" spans="1:6" ht="16.5" x14ac:dyDescent="0.3">
      <c r="A522" s="37"/>
      <c r="B522" s="37"/>
      <c r="C522" s="37"/>
      <c r="D522" s="37"/>
      <c r="E522" s="37"/>
      <c r="F522" s="37"/>
    </row>
    <row r="523" spans="1:6" ht="16.5" x14ac:dyDescent="0.3">
      <c r="A523" s="37"/>
      <c r="B523" s="37"/>
      <c r="C523" s="37"/>
      <c r="D523" s="37"/>
      <c r="E523" s="37"/>
      <c r="F523" s="37"/>
    </row>
    <row r="524" spans="1:6" ht="16.5" x14ac:dyDescent="0.3">
      <c r="A524" s="37"/>
      <c r="B524" s="37"/>
      <c r="C524" s="37"/>
      <c r="D524" s="37"/>
      <c r="E524" s="37"/>
      <c r="F524" s="37"/>
    </row>
    <row r="525" spans="1:6" ht="16.5" x14ac:dyDescent="0.3">
      <c r="A525" s="37"/>
      <c r="B525" s="37"/>
      <c r="C525" s="37"/>
      <c r="D525" s="37"/>
      <c r="E525" s="37"/>
      <c r="F525" s="37"/>
    </row>
    <row r="526" spans="1:6" ht="16.5" x14ac:dyDescent="0.3">
      <c r="A526" s="37"/>
      <c r="B526" s="37"/>
      <c r="C526" s="37"/>
      <c r="D526" s="37"/>
      <c r="E526" s="37"/>
      <c r="F526" s="37"/>
    </row>
    <row r="527" spans="1:6" ht="16.5" x14ac:dyDescent="0.3">
      <c r="A527" s="37"/>
      <c r="B527" s="37"/>
      <c r="C527" s="37"/>
      <c r="D527" s="37"/>
      <c r="E527" s="37"/>
      <c r="F527" s="37"/>
    </row>
    <row r="528" spans="1:6" ht="16.5" x14ac:dyDescent="0.3">
      <c r="A528" s="37"/>
      <c r="B528" s="37"/>
      <c r="C528" s="37"/>
      <c r="D528" s="37"/>
      <c r="E528" s="37"/>
      <c r="F528" s="37"/>
    </row>
    <row r="529" spans="1:6" ht="16.5" x14ac:dyDescent="0.3">
      <c r="A529" s="37"/>
      <c r="B529" s="37"/>
      <c r="C529" s="37"/>
      <c r="D529" s="37"/>
      <c r="E529" s="37"/>
      <c r="F529" s="37"/>
    </row>
    <row r="530" spans="1:6" ht="16.5" x14ac:dyDescent="0.3">
      <c r="A530" s="37"/>
      <c r="B530" s="37"/>
      <c r="C530" s="37"/>
      <c r="D530" s="37"/>
      <c r="E530" s="37"/>
      <c r="F530" s="37"/>
    </row>
    <row r="531" spans="1:6" ht="16.5" x14ac:dyDescent="0.3">
      <c r="A531" s="37"/>
      <c r="B531" s="37"/>
      <c r="C531" s="37"/>
      <c r="D531" s="37"/>
      <c r="E531" s="37"/>
      <c r="F531" s="37"/>
    </row>
    <row r="532" spans="1:6" ht="16.5" x14ac:dyDescent="0.3">
      <c r="A532" s="37"/>
      <c r="B532" s="37"/>
      <c r="C532" s="37"/>
      <c r="D532" s="37"/>
      <c r="E532" s="37"/>
      <c r="F532" s="37"/>
    </row>
    <row r="533" spans="1:6" ht="16.5" x14ac:dyDescent="0.3">
      <c r="A533" s="37"/>
      <c r="B533" s="37"/>
      <c r="C533" s="37"/>
      <c r="D533" s="37"/>
      <c r="E533" s="37"/>
      <c r="F533" s="37"/>
    </row>
    <row r="534" spans="1:6" ht="16.5" x14ac:dyDescent="0.3">
      <c r="A534" s="37"/>
      <c r="B534" s="37"/>
      <c r="C534" s="37"/>
      <c r="D534" s="37"/>
      <c r="E534" s="37"/>
      <c r="F534" s="37"/>
    </row>
    <row r="535" spans="1:6" ht="16.5" x14ac:dyDescent="0.3">
      <c r="A535" s="37"/>
      <c r="B535" s="37"/>
      <c r="C535" s="37"/>
      <c r="D535" s="37"/>
      <c r="E535" s="37"/>
      <c r="F535" s="37"/>
    </row>
    <row r="536" spans="1:6" ht="16.5" x14ac:dyDescent="0.3">
      <c r="A536" s="37"/>
      <c r="B536" s="37"/>
      <c r="C536" s="37"/>
      <c r="D536" s="37"/>
      <c r="E536" s="37"/>
      <c r="F536" s="37"/>
    </row>
    <row r="537" spans="1:6" ht="16.5" x14ac:dyDescent="0.3">
      <c r="A537" s="37"/>
      <c r="B537" s="37"/>
      <c r="C537" s="37"/>
      <c r="D537" s="37"/>
      <c r="E537" s="37"/>
      <c r="F537" s="37"/>
    </row>
    <row r="538" spans="1:6" ht="16.5" x14ac:dyDescent="0.3">
      <c r="A538" s="37"/>
      <c r="B538" s="37"/>
      <c r="C538" s="37"/>
      <c r="D538" s="37"/>
      <c r="E538" s="37"/>
      <c r="F538" s="37"/>
    </row>
    <row r="539" spans="1:6" ht="16.5" x14ac:dyDescent="0.3">
      <c r="A539" s="37"/>
      <c r="B539" s="37"/>
      <c r="C539" s="37"/>
      <c r="D539" s="37"/>
      <c r="E539" s="37"/>
      <c r="F539" s="37"/>
    </row>
    <row r="540" spans="1:6" ht="16.5" x14ac:dyDescent="0.3">
      <c r="A540" s="37"/>
      <c r="B540" s="37"/>
      <c r="C540" s="37"/>
      <c r="D540" s="37"/>
      <c r="E540" s="37"/>
      <c r="F540" s="37"/>
    </row>
    <row r="541" spans="1:6" ht="16.5" x14ac:dyDescent="0.3">
      <c r="A541" s="37"/>
      <c r="B541" s="37"/>
      <c r="C541" s="37"/>
      <c r="D541" s="37"/>
      <c r="E541" s="37"/>
      <c r="F541" s="37"/>
    </row>
    <row r="542" spans="1:6" ht="16.5" x14ac:dyDescent="0.3">
      <c r="A542" s="37"/>
      <c r="B542" s="37"/>
      <c r="C542" s="37"/>
      <c r="D542" s="37"/>
      <c r="E542" s="37"/>
      <c r="F542" s="37"/>
    </row>
    <row r="543" spans="1:6" ht="16.5" x14ac:dyDescent="0.3">
      <c r="A543" s="37"/>
      <c r="B543" s="37"/>
      <c r="C543" s="37"/>
      <c r="D543" s="37"/>
      <c r="E543" s="37"/>
      <c r="F543" s="37"/>
    </row>
    <row r="544" spans="1:6" ht="16.5" x14ac:dyDescent="0.3">
      <c r="A544" s="37"/>
      <c r="B544" s="37"/>
      <c r="C544" s="37"/>
      <c r="D544" s="37"/>
      <c r="E544" s="37"/>
      <c r="F544" s="37"/>
    </row>
    <row r="545" spans="1:6" ht="16.5" x14ac:dyDescent="0.3">
      <c r="A545" s="37"/>
      <c r="B545" s="37"/>
      <c r="C545" s="37"/>
      <c r="D545" s="37"/>
      <c r="E545" s="37"/>
      <c r="F545" s="37"/>
    </row>
    <row r="546" spans="1:6" ht="16.5" x14ac:dyDescent="0.3">
      <c r="A546" s="37"/>
      <c r="B546" s="37"/>
      <c r="C546" s="37"/>
      <c r="D546" s="37"/>
      <c r="E546" s="37"/>
      <c r="F546" s="37"/>
    </row>
    <row r="547" spans="1:6" ht="16.5" x14ac:dyDescent="0.3">
      <c r="A547" s="37"/>
      <c r="B547" s="37"/>
      <c r="C547" s="37"/>
      <c r="D547" s="37"/>
      <c r="E547" s="37"/>
      <c r="F547" s="37"/>
    </row>
    <row r="548" spans="1:6" ht="16.5" x14ac:dyDescent="0.3">
      <c r="A548" s="37"/>
      <c r="B548" s="37"/>
      <c r="C548" s="37"/>
      <c r="D548" s="37"/>
      <c r="E548" s="37"/>
      <c r="F548" s="37"/>
    </row>
    <row r="549" spans="1:6" ht="16.5" x14ac:dyDescent="0.3">
      <c r="A549" s="37"/>
      <c r="B549" s="37"/>
      <c r="C549" s="37"/>
      <c r="D549" s="37"/>
      <c r="E549" s="37"/>
      <c r="F549" s="37"/>
    </row>
    <row r="550" spans="1:6" ht="16.5" x14ac:dyDescent="0.3">
      <c r="A550" s="37"/>
      <c r="B550" s="37"/>
      <c r="C550" s="37"/>
      <c r="D550" s="37"/>
      <c r="E550" s="37"/>
      <c r="F550" s="37"/>
    </row>
    <row r="551" spans="1:6" ht="16.5" x14ac:dyDescent="0.3">
      <c r="A551" s="37"/>
      <c r="B551" s="37"/>
      <c r="C551" s="37"/>
      <c r="D551" s="37"/>
      <c r="E551" s="37"/>
      <c r="F551" s="37"/>
    </row>
    <row r="552" spans="1:6" ht="16.5" x14ac:dyDescent="0.3">
      <c r="A552" s="37"/>
      <c r="B552" s="37"/>
      <c r="C552" s="37"/>
      <c r="D552" s="37"/>
      <c r="E552" s="37"/>
      <c r="F552" s="37"/>
    </row>
    <row r="553" spans="1:6" ht="16.5" x14ac:dyDescent="0.3">
      <c r="A553" s="37"/>
      <c r="B553" s="37"/>
      <c r="C553" s="37"/>
      <c r="D553" s="37"/>
      <c r="E553" s="37"/>
      <c r="F553" s="37"/>
    </row>
    <row r="554" spans="1:6" ht="16.5" x14ac:dyDescent="0.3">
      <c r="A554" s="37"/>
      <c r="B554" s="37"/>
      <c r="C554" s="37"/>
      <c r="D554" s="37"/>
      <c r="E554" s="37"/>
      <c r="F554" s="37"/>
    </row>
    <row r="555" spans="1:6" ht="16.5" x14ac:dyDescent="0.3">
      <c r="A555" s="37"/>
      <c r="B555" s="37"/>
      <c r="C555" s="37"/>
      <c r="D555" s="37"/>
      <c r="E555" s="37"/>
      <c r="F555" s="37"/>
    </row>
    <row r="556" spans="1:6" ht="16.5" x14ac:dyDescent="0.3">
      <c r="A556" s="37"/>
      <c r="B556" s="37"/>
      <c r="C556" s="37"/>
      <c r="D556" s="37"/>
      <c r="E556" s="37"/>
      <c r="F556" s="37"/>
    </row>
    <row r="557" spans="1:6" ht="16.5" x14ac:dyDescent="0.3">
      <c r="A557" s="37"/>
      <c r="B557" s="37"/>
      <c r="C557" s="37"/>
      <c r="D557" s="37"/>
      <c r="E557" s="37"/>
      <c r="F557" s="37"/>
    </row>
    <row r="558" spans="1:6" ht="16.5" x14ac:dyDescent="0.3">
      <c r="A558" s="37"/>
      <c r="B558" s="37"/>
      <c r="C558" s="37"/>
      <c r="D558" s="37"/>
      <c r="E558" s="37"/>
      <c r="F558" s="37"/>
    </row>
    <row r="559" spans="1:6" ht="16.5" x14ac:dyDescent="0.3">
      <c r="A559" s="37"/>
      <c r="B559" s="37"/>
      <c r="C559" s="37"/>
      <c r="D559" s="37"/>
      <c r="E559" s="37"/>
      <c r="F559" s="37"/>
    </row>
    <row r="560" spans="1:6" ht="16.5" x14ac:dyDescent="0.3">
      <c r="A560" s="37"/>
      <c r="B560" s="37"/>
      <c r="C560" s="37"/>
      <c r="D560" s="37"/>
      <c r="E560" s="37"/>
      <c r="F560" s="37"/>
    </row>
    <row r="561" spans="1:6" ht="16.5" x14ac:dyDescent="0.3">
      <c r="A561" s="37"/>
      <c r="B561" s="37"/>
      <c r="C561" s="37"/>
      <c r="D561" s="37"/>
      <c r="E561" s="37"/>
      <c r="F561" s="37"/>
    </row>
    <row r="562" spans="1:6" ht="16.5" x14ac:dyDescent="0.3">
      <c r="A562" s="37"/>
      <c r="B562" s="37"/>
      <c r="C562" s="37"/>
      <c r="D562" s="37"/>
      <c r="E562" s="37"/>
      <c r="F562" s="37"/>
    </row>
    <row r="563" spans="1:6" ht="16.5" x14ac:dyDescent="0.3">
      <c r="A563" s="37"/>
      <c r="B563" s="37"/>
      <c r="C563" s="37"/>
      <c r="D563" s="37"/>
      <c r="E563" s="37"/>
      <c r="F563" s="37"/>
    </row>
    <row r="564" spans="1:6" ht="16.5" x14ac:dyDescent="0.3">
      <c r="A564" s="37"/>
      <c r="B564" s="37"/>
      <c r="C564" s="37"/>
      <c r="D564" s="37"/>
      <c r="E564" s="37"/>
      <c r="F564" s="37"/>
    </row>
    <row r="565" spans="1:6" ht="16.5" x14ac:dyDescent="0.3">
      <c r="A565" s="37"/>
      <c r="B565" s="37"/>
      <c r="C565" s="37"/>
      <c r="D565" s="37"/>
      <c r="E565" s="37"/>
      <c r="F565" s="37"/>
    </row>
    <row r="566" spans="1:6" ht="16.5" x14ac:dyDescent="0.3">
      <c r="A566" s="37"/>
      <c r="B566" s="37"/>
      <c r="C566" s="37"/>
      <c r="D566" s="37"/>
      <c r="E566" s="37"/>
      <c r="F566" s="37"/>
    </row>
    <row r="567" spans="1:6" ht="16.5" x14ac:dyDescent="0.3">
      <c r="A567" s="37"/>
      <c r="B567" s="37"/>
      <c r="C567" s="37"/>
      <c r="D567" s="37"/>
      <c r="E567" s="37"/>
      <c r="F567" s="37"/>
    </row>
    <row r="568" spans="1:6" ht="16.5" x14ac:dyDescent="0.3">
      <c r="A568" s="37"/>
      <c r="B568" s="37"/>
      <c r="C568" s="37"/>
      <c r="D568" s="37"/>
      <c r="E568" s="37"/>
      <c r="F568" s="37"/>
    </row>
    <row r="569" spans="1:6" ht="16.5" x14ac:dyDescent="0.3">
      <c r="A569" s="37"/>
      <c r="B569" s="37"/>
      <c r="C569" s="37"/>
      <c r="D569" s="37"/>
      <c r="E569" s="37"/>
      <c r="F569" s="37"/>
    </row>
    <row r="570" spans="1:6" ht="16.5" x14ac:dyDescent="0.3">
      <c r="A570" s="37"/>
      <c r="B570" s="37"/>
      <c r="C570" s="37"/>
      <c r="D570" s="37"/>
      <c r="E570" s="37"/>
      <c r="F570" s="37"/>
    </row>
    <row r="571" spans="1:6" ht="16.5" x14ac:dyDescent="0.3">
      <c r="A571" s="37"/>
      <c r="B571" s="37"/>
      <c r="C571" s="37"/>
      <c r="D571" s="37"/>
      <c r="E571" s="37"/>
      <c r="F571" s="37"/>
    </row>
    <row r="572" spans="1:6" ht="16.5" x14ac:dyDescent="0.3">
      <c r="A572" s="37"/>
      <c r="B572" s="37"/>
      <c r="C572" s="37"/>
      <c r="D572" s="37"/>
      <c r="E572" s="37"/>
      <c r="F572" s="37"/>
    </row>
    <row r="573" spans="1:6" ht="16.5" x14ac:dyDescent="0.3">
      <c r="A573" s="37"/>
      <c r="B573" s="37"/>
      <c r="C573" s="37"/>
      <c r="D573" s="37"/>
      <c r="E573" s="37"/>
      <c r="F573" s="37"/>
    </row>
    <row r="574" spans="1:6" ht="16.5" x14ac:dyDescent="0.3">
      <c r="A574" s="37"/>
      <c r="B574" s="37"/>
      <c r="C574" s="37"/>
      <c r="D574" s="37"/>
      <c r="E574" s="37"/>
      <c r="F574" s="37"/>
    </row>
    <row r="575" spans="1:6" ht="16.5" x14ac:dyDescent="0.3">
      <c r="A575" s="37"/>
      <c r="B575" s="37"/>
      <c r="C575" s="37"/>
      <c r="D575" s="37"/>
      <c r="E575" s="37"/>
      <c r="F575" s="37"/>
    </row>
    <row r="576" spans="1:6" ht="16.5" x14ac:dyDescent="0.3">
      <c r="A576" s="37"/>
      <c r="B576" s="37"/>
      <c r="C576" s="37"/>
      <c r="D576" s="37"/>
      <c r="E576" s="37"/>
      <c r="F576" s="37"/>
    </row>
    <row r="577" spans="1:6" ht="16.5" x14ac:dyDescent="0.3">
      <c r="A577" s="37"/>
      <c r="B577" s="37"/>
      <c r="C577" s="37"/>
      <c r="D577" s="37"/>
      <c r="E577" s="37"/>
      <c r="F577" s="37"/>
    </row>
    <row r="578" spans="1:6" ht="16.5" x14ac:dyDescent="0.3">
      <c r="A578" s="37"/>
      <c r="B578" s="37"/>
      <c r="C578" s="37"/>
      <c r="D578" s="37"/>
      <c r="E578" s="37"/>
      <c r="F578" s="37"/>
    </row>
    <row r="579" spans="1:6" ht="16.5" x14ac:dyDescent="0.3">
      <c r="A579" s="37"/>
      <c r="B579" s="37"/>
      <c r="C579" s="37"/>
      <c r="D579" s="37"/>
      <c r="E579" s="37"/>
      <c r="F579" s="37"/>
    </row>
    <row r="580" spans="1:6" ht="16.5" x14ac:dyDescent="0.3">
      <c r="A580" s="37"/>
      <c r="B580" s="37"/>
      <c r="C580" s="37"/>
      <c r="D580" s="37"/>
      <c r="E580" s="37"/>
      <c r="F580" s="37"/>
    </row>
    <row r="581" spans="1:6" ht="16.5" x14ac:dyDescent="0.3">
      <c r="A581" s="37"/>
      <c r="B581" s="37"/>
      <c r="C581" s="37"/>
      <c r="D581" s="37"/>
      <c r="E581" s="37"/>
      <c r="F581" s="37"/>
    </row>
    <row r="582" spans="1:6" ht="16.5" x14ac:dyDescent="0.3">
      <c r="A582" s="37"/>
      <c r="B582" s="37"/>
      <c r="C582" s="37"/>
      <c r="D582" s="37"/>
      <c r="E582" s="37"/>
      <c r="F582" s="37"/>
    </row>
    <row r="583" spans="1:6" ht="16.5" x14ac:dyDescent="0.3">
      <c r="A583" s="37"/>
      <c r="B583" s="37"/>
      <c r="C583" s="37"/>
      <c r="D583" s="37"/>
      <c r="E583" s="37"/>
      <c r="F583" s="37"/>
    </row>
    <row r="584" spans="1:6" ht="16.5" x14ac:dyDescent="0.3">
      <c r="A584" s="37"/>
      <c r="B584" s="37"/>
      <c r="C584" s="37"/>
      <c r="D584" s="37"/>
      <c r="E584" s="37"/>
      <c r="F584" s="37"/>
    </row>
    <row r="585" spans="1:6" ht="16.5" x14ac:dyDescent="0.3">
      <c r="A585" s="37"/>
      <c r="B585" s="37"/>
      <c r="C585" s="37"/>
      <c r="D585" s="37"/>
      <c r="E585" s="37"/>
      <c r="F585" s="37"/>
    </row>
    <row r="586" spans="1:6" ht="16.5" x14ac:dyDescent="0.3">
      <c r="A586" s="37"/>
      <c r="B586" s="37"/>
      <c r="C586" s="37"/>
      <c r="D586" s="37"/>
      <c r="E586" s="37"/>
      <c r="F586" s="37"/>
    </row>
    <row r="587" spans="1:6" ht="16.5" x14ac:dyDescent="0.3">
      <c r="A587" s="37"/>
      <c r="B587" s="37"/>
      <c r="C587" s="37"/>
      <c r="D587" s="37"/>
      <c r="E587" s="37"/>
      <c r="F587" s="37"/>
    </row>
    <row r="588" spans="1:6" ht="16.5" x14ac:dyDescent="0.3">
      <c r="A588" s="37"/>
      <c r="B588" s="37"/>
      <c r="C588" s="37"/>
      <c r="D588" s="37"/>
      <c r="E588" s="37"/>
      <c r="F588" s="37"/>
    </row>
    <row r="589" spans="1:6" ht="16.5" x14ac:dyDescent="0.3">
      <c r="A589" s="37"/>
      <c r="B589" s="37"/>
      <c r="C589" s="37"/>
      <c r="D589" s="37"/>
      <c r="E589" s="37"/>
      <c r="F589" s="37"/>
    </row>
    <row r="590" spans="1:6" ht="16.5" x14ac:dyDescent="0.3">
      <c r="A590" s="37"/>
      <c r="B590" s="37"/>
      <c r="C590" s="37"/>
      <c r="D590" s="37"/>
      <c r="E590" s="37"/>
      <c r="F590" s="37"/>
    </row>
    <row r="591" spans="1:6" ht="16.5" x14ac:dyDescent="0.3">
      <c r="A591" s="37"/>
      <c r="B591" s="37"/>
      <c r="C591" s="37"/>
      <c r="D591" s="37"/>
      <c r="E591" s="37"/>
      <c r="F591" s="37"/>
    </row>
    <row r="592" spans="1:6" ht="16.5" x14ac:dyDescent="0.3">
      <c r="A592" s="37"/>
      <c r="B592" s="37"/>
      <c r="C592" s="37"/>
      <c r="D592" s="37"/>
      <c r="E592" s="37"/>
      <c r="F592" s="37"/>
    </row>
    <row r="593" spans="1:6" ht="16.5" x14ac:dyDescent="0.3">
      <c r="A593" s="37"/>
      <c r="B593" s="37"/>
      <c r="C593" s="37"/>
      <c r="D593" s="37"/>
      <c r="E593" s="37"/>
      <c r="F593" s="37"/>
    </row>
    <row r="594" spans="1:6" ht="16.5" x14ac:dyDescent="0.3">
      <c r="A594" s="37"/>
      <c r="B594" s="37"/>
      <c r="C594" s="37"/>
      <c r="D594" s="37"/>
      <c r="E594" s="37"/>
      <c r="F594" s="37"/>
    </row>
    <row r="595" spans="1:6" ht="16.5" x14ac:dyDescent="0.3">
      <c r="A595" s="37"/>
      <c r="B595" s="37"/>
      <c r="C595" s="37"/>
      <c r="D595" s="37"/>
      <c r="E595" s="37"/>
      <c r="F595" s="37"/>
    </row>
    <row r="596" spans="1:6" ht="16.5" x14ac:dyDescent="0.3">
      <c r="A596" s="37"/>
      <c r="B596" s="37"/>
      <c r="C596" s="37"/>
      <c r="D596" s="37"/>
      <c r="E596" s="37"/>
      <c r="F596" s="37"/>
    </row>
    <row r="597" spans="1:6" ht="16.5" x14ac:dyDescent="0.3">
      <c r="A597" s="37"/>
      <c r="B597" s="37"/>
      <c r="C597" s="37"/>
      <c r="D597" s="37"/>
      <c r="E597" s="37"/>
      <c r="F597" s="37"/>
    </row>
    <row r="598" spans="1:6" ht="16.5" x14ac:dyDescent="0.3">
      <c r="A598" s="37"/>
      <c r="B598" s="37"/>
      <c r="C598" s="37"/>
      <c r="D598" s="37"/>
      <c r="E598" s="37"/>
      <c r="F598" s="37"/>
    </row>
    <row r="599" spans="1:6" ht="16.5" x14ac:dyDescent="0.3">
      <c r="A599" s="37"/>
      <c r="B599" s="37"/>
      <c r="C599" s="37"/>
      <c r="D599" s="37"/>
      <c r="E599" s="37"/>
      <c r="F599" s="37"/>
    </row>
    <row r="600" spans="1:6" ht="16.5" x14ac:dyDescent="0.3">
      <c r="A600" s="37"/>
      <c r="B600" s="37"/>
      <c r="C600" s="37"/>
      <c r="D600" s="37"/>
      <c r="E600" s="37"/>
      <c r="F600" s="37"/>
    </row>
    <row r="601" spans="1:6" ht="16.5" x14ac:dyDescent="0.3">
      <c r="A601" s="37"/>
      <c r="B601" s="37"/>
      <c r="C601" s="37"/>
      <c r="D601" s="37"/>
      <c r="E601" s="37"/>
      <c r="F601" s="37"/>
    </row>
    <row r="602" spans="1:6" ht="16.5" x14ac:dyDescent="0.3">
      <c r="A602" s="37"/>
      <c r="B602" s="37"/>
      <c r="C602" s="37"/>
      <c r="D602" s="37"/>
      <c r="E602" s="37"/>
      <c r="F602" s="37"/>
    </row>
    <row r="603" spans="1:6" ht="16.5" x14ac:dyDescent="0.3">
      <c r="A603" s="37"/>
      <c r="B603" s="37"/>
      <c r="C603" s="37"/>
      <c r="D603" s="37"/>
      <c r="E603" s="37"/>
      <c r="F603" s="37"/>
    </row>
    <row r="604" spans="1:6" ht="16.5" x14ac:dyDescent="0.3">
      <c r="A604" s="37"/>
      <c r="B604" s="37"/>
      <c r="C604" s="37"/>
      <c r="D604" s="37"/>
      <c r="E604" s="37"/>
      <c r="F604" s="37"/>
    </row>
    <row r="605" spans="1:6" ht="16.5" x14ac:dyDescent="0.3">
      <c r="A605" s="37"/>
      <c r="B605" s="37"/>
      <c r="C605" s="37"/>
      <c r="D605" s="37"/>
      <c r="E605" s="37"/>
      <c r="F605" s="37"/>
    </row>
    <row r="606" spans="1:6" ht="16.5" x14ac:dyDescent="0.3">
      <c r="A606" s="37"/>
      <c r="B606" s="37"/>
      <c r="C606" s="37"/>
      <c r="D606" s="37"/>
      <c r="E606" s="37"/>
      <c r="F606" s="37"/>
    </row>
    <row r="607" spans="1:6" ht="16.5" x14ac:dyDescent="0.3">
      <c r="A607" s="37"/>
      <c r="B607" s="37"/>
      <c r="C607" s="37"/>
      <c r="D607" s="37"/>
      <c r="E607" s="37"/>
      <c r="F607" s="37"/>
    </row>
    <row r="608" spans="1:6" ht="16.5" x14ac:dyDescent="0.3">
      <c r="A608" s="37"/>
      <c r="B608" s="37"/>
      <c r="C608" s="37"/>
      <c r="D608" s="37"/>
      <c r="E608" s="37"/>
      <c r="F608" s="37"/>
    </row>
    <row r="609" spans="1:6" ht="16.5" x14ac:dyDescent="0.3">
      <c r="A609" s="37"/>
      <c r="B609" s="37"/>
      <c r="C609" s="37"/>
      <c r="D609" s="37"/>
      <c r="E609" s="37"/>
      <c r="F609" s="37"/>
    </row>
    <row r="610" spans="1:6" ht="16.5" x14ac:dyDescent="0.3">
      <c r="A610" s="37"/>
      <c r="B610" s="37"/>
      <c r="C610" s="37"/>
      <c r="D610" s="37"/>
      <c r="E610" s="37"/>
      <c r="F610" s="37"/>
    </row>
    <row r="611" spans="1:6" ht="16.5" x14ac:dyDescent="0.3">
      <c r="A611" s="37"/>
      <c r="B611" s="37"/>
      <c r="C611" s="37"/>
      <c r="D611" s="37"/>
      <c r="E611" s="37"/>
      <c r="F611" s="37"/>
    </row>
    <row r="612" spans="1:6" ht="16.5" x14ac:dyDescent="0.3">
      <c r="A612" s="37"/>
      <c r="B612" s="37"/>
      <c r="C612" s="37"/>
      <c r="D612" s="37"/>
      <c r="E612" s="37"/>
      <c r="F612" s="37"/>
    </row>
    <row r="613" spans="1:6" ht="16.5" x14ac:dyDescent="0.3">
      <c r="A613" s="37"/>
      <c r="B613" s="37"/>
      <c r="C613" s="37"/>
      <c r="D613" s="37"/>
      <c r="E613" s="37"/>
      <c r="F613" s="37"/>
    </row>
    <row r="614" spans="1:6" ht="16.5" x14ac:dyDescent="0.3">
      <c r="A614" s="37"/>
      <c r="B614" s="37"/>
      <c r="C614" s="37"/>
      <c r="D614" s="37"/>
      <c r="E614" s="37"/>
      <c r="F614" s="37"/>
    </row>
    <row r="615" spans="1:6" ht="16.5" x14ac:dyDescent="0.3">
      <c r="A615" s="37"/>
      <c r="B615" s="37"/>
      <c r="C615" s="37"/>
      <c r="D615" s="37"/>
      <c r="E615" s="37"/>
      <c r="F615" s="37"/>
    </row>
    <row r="616" spans="1:6" ht="16.5" x14ac:dyDescent="0.3">
      <c r="A616" s="37"/>
      <c r="B616" s="37"/>
      <c r="C616" s="37"/>
      <c r="D616" s="37"/>
      <c r="E616" s="37"/>
      <c r="F616" s="37"/>
    </row>
    <row r="617" spans="1:6" ht="16.5" x14ac:dyDescent="0.3">
      <c r="A617" s="37"/>
      <c r="B617" s="37"/>
      <c r="C617" s="37"/>
      <c r="D617" s="37"/>
      <c r="E617" s="37"/>
      <c r="F617" s="37"/>
    </row>
    <row r="618" spans="1:6" ht="16.5" x14ac:dyDescent="0.3">
      <c r="A618" s="37"/>
      <c r="B618" s="37"/>
      <c r="C618" s="37"/>
      <c r="D618" s="37"/>
      <c r="E618" s="37"/>
      <c r="F618" s="37"/>
    </row>
    <row r="619" spans="1:6" ht="16.5" x14ac:dyDescent="0.3">
      <c r="A619" s="37"/>
      <c r="B619" s="37"/>
      <c r="C619" s="37"/>
      <c r="D619" s="37"/>
      <c r="E619" s="37"/>
      <c r="F619" s="37"/>
    </row>
    <row r="620" spans="1:6" ht="16.5" x14ac:dyDescent="0.3">
      <c r="A620" s="37"/>
      <c r="B620" s="37"/>
      <c r="C620" s="37"/>
      <c r="D620" s="37"/>
      <c r="E620" s="37"/>
      <c r="F620" s="37"/>
    </row>
    <row r="621" spans="1:6" ht="16.5" x14ac:dyDescent="0.3">
      <c r="A621" s="37"/>
      <c r="B621" s="37"/>
      <c r="C621" s="37"/>
      <c r="D621" s="37"/>
      <c r="E621" s="37"/>
      <c r="F621" s="37"/>
    </row>
    <row r="622" spans="1:6" ht="16.5" x14ac:dyDescent="0.3">
      <c r="A622" s="37"/>
      <c r="B622" s="37"/>
      <c r="C622" s="37"/>
      <c r="D622" s="37"/>
      <c r="E622" s="37"/>
      <c r="F622" s="37"/>
    </row>
    <row r="623" spans="1:6" ht="16.5" x14ac:dyDescent="0.3">
      <c r="A623" s="37"/>
      <c r="B623" s="37"/>
      <c r="C623" s="37"/>
      <c r="D623" s="37"/>
      <c r="E623" s="37"/>
      <c r="F623" s="37"/>
    </row>
    <row r="624" spans="1:6" ht="16.5" x14ac:dyDescent="0.3">
      <c r="A624" s="37"/>
      <c r="B624" s="37"/>
      <c r="C624" s="37"/>
      <c r="D624" s="37"/>
      <c r="E624" s="37"/>
      <c r="F624" s="37"/>
    </row>
    <row r="625" spans="1:6" ht="16.5" x14ac:dyDescent="0.3">
      <c r="A625" s="37"/>
      <c r="B625" s="37"/>
      <c r="C625" s="37"/>
      <c r="D625" s="37"/>
      <c r="E625" s="37"/>
      <c r="F625" s="37"/>
    </row>
    <row r="626" spans="1:6" ht="16.5" x14ac:dyDescent="0.3">
      <c r="A626" s="37"/>
      <c r="B626" s="37"/>
      <c r="C626" s="37"/>
      <c r="D626" s="37"/>
      <c r="E626" s="37"/>
      <c r="F626" s="37"/>
    </row>
    <row r="627" spans="1:6" ht="16.5" x14ac:dyDescent="0.3">
      <c r="A627" s="37"/>
      <c r="B627" s="37"/>
      <c r="C627" s="37"/>
      <c r="D627" s="37"/>
      <c r="E627" s="37"/>
      <c r="F627" s="37"/>
    </row>
    <row r="628" spans="1:6" ht="16.5" x14ac:dyDescent="0.3">
      <c r="A628" s="37"/>
      <c r="B628" s="37"/>
      <c r="C628" s="37"/>
      <c r="D628" s="37"/>
      <c r="E628" s="37"/>
      <c r="F628" s="37"/>
    </row>
    <row r="629" spans="1:6" ht="16.5" x14ac:dyDescent="0.3">
      <c r="A629" s="37"/>
      <c r="B629" s="37"/>
      <c r="C629" s="37"/>
      <c r="D629" s="37"/>
      <c r="E629" s="37"/>
      <c r="F629" s="37"/>
    </row>
    <row r="630" spans="1:6" ht="16.5" x14ac:dyDescent="0.3">
      <c r="A630" s="37"/>
      <c r="B630" s="37"/>
      <c r="C630" s="37"/>
      <c r="D630" s="37"/>
      <c r="E630" s="37"/>
      <c r="F630" s="37"/>
    </row>
    <row r="631" spans="1:6" ht="16.5" x14ac:dyDescent="0.3">
      <c r="A631" s="37"/>
      <c r="B631" s="37"/>
      <c r="C631" s="37"/>
      <c r="D631" s="37"/>
      <c r="E631" s="37"/>
      <c r="F631" s="37"/>
    </row>
    <row r="632" spans="1:6" ht="16.5" x14ac:dyDescent="0.3">
      <c r="A632" s="37"/>
      <c r="B632" s="37"/>
      <c r="C632" s="37"/>
      <c r="D632" s="37"/>
      <c r="E632" s="37"/>
      <c r="F632" s="37"/>
    </row>
    <row r="633" spans="1:6" ht="16.5" x14ac:dyDescent="0.3">
      <c r="A633" s="37"/>
      <c r="B633" s="37"/>
      <c r="C633" s="37"/>
      <c r="D633" s="37"/>
      <c r="E633" s="37"/>
      <c r="F633" s="37"/>
    </row>
    <row r="634" spans="1:6" ht="16.5" x14ac:dyDescent="0.3">
      <c r="A634" s="37"/>
      <c r="B634" s="37"/>
      <c r="C634" s="37"/>
      <c r="D634" s="37"/>
      <c r="E634" s="37"/>
      <c r="F634" s="37"/>
    </row>
    <row r="635" spans="1:6" ht="16.5" x14ac:dyDescent="0.3">
      <c r="A635" s="37"/>
      <c r="B635" s="37"/>
      <c r="C635" s="37"/>
      <c r="D635" s="37"/>
      <c r="E635" s="37"/>
      <c r="F635" s="37"/>
    </row>
    <row r="636" spans="1:6" ht="16.5" x14ac:dyDescent="0.3">
      <c r="A636" s="37"/>
      <c r="B636" s="37"/>
      <c r="C636" s="37"/>
      <c r="D636" s="37"/>
      <c r="E636" s="37"/>
      <c r="F636" s="37"/>
    </row>
    <row r="637" spans="1:6" ht="16.5" x14ac:dyDescent="0.3">
      <c r="A637" s="37"/>
      <c r="B637" s="37"/>
      <c r="C637" s="37"/>
      <c r="D637" s="37"/>
      <c r="E637" s="37"/>
      <c r="F637" s="37"/>
    </row>
    <row r="638" spans="1:6" ht="16.5" x14ac:dyDescent="0.3">
      <c r="A638" s="37"/>
      <c r="B638" s="37"/>
      <c r="C638" s="37"/>
      <c r="D638" s="37"/>
      <c r="E638" s="37"/>
      <c r="F638" s="37"/>
    </row>
    <row r="639" spans="1:6" ht="16.5" x14ac:dyDescent="0.3">
      <c r="A639" s="37"/>
      <c r="B639" s="37"/>
      <c r="C639" s="37"/>
      <c r="D639" s="37"/>
      <c r="E639" s="37"/>
      <c r="F639" s="37"/>
    </row>
    <row r="640" spans="1:6" ht="16.5" x14ac:dyDescent="0.3">
      <c r="A640" s="37"/>
      <c r="B640" s="37"/>
      <c r="C640" s="37"/>
      <c r="D640" s="37"/>
      <c r="E640" s="37"/>
      <c r="F640" s="37"/>
    </row>
    <row r="641" spans="1:6" ht="16.5" x14ac:dyDescent="0.3">
      <c r="A641" s="37"/>
      <c r="B641" s="37"/>
      <c r="C641" s="37"/>
      <c r="D641" s="37"/>
      <c r="E641" s="37"/>
      <c r="F641" s="37"/>
    </row>
    <row r="642" spans="1:6" ht="16.5" x14ac:dyDescent="0.3">
      <c r="A642" s="37"/>
      <c r="B642" s="37"/>
      <c r="C642" s="37"/>
      <c r="D642" s="37"/>
      <c r="E642" s="37"/>
      <c r="F642" s="37"/>
    </row>
    <row r="643" spans="1:6" ht="16.5" x14ac:dyDescent="0.3">
      <c r="A643" s="37"/>
      <c r="B643" s="37"/>
      <c r="C643" s="37"/>
      <c r="D643" s="37"/>
      <c r="E643" s="37"/>
      <c r="F643" s="37"/>
    </row>
    <row r="644" spans="1:6" ht="16.5" x14ac:dyDescent="0.3">
      <c r="A644" s="37"/>
      <c r="B644" s="37"/>
      <c r="C644" s="37"/>
      <c r="D644" s="37"/>
      <c r="E644" s="37"/>
      <c r="F644" s="37"/>
    </row>
    <row r="645" spans="1:6" ht="16.5" x14ac:dyDescent="0.3">
      <c r="A645" s="37"/>
      <c r="B645" s="37"/>
      <c r="C645" s="37"/>
      <c r="D645" s="37"/>
      <c r="E645" s="37"/>
      <c r="F645" s="37"/>
    </row>
    <row r="646" spans="1:6" ht="16.5" x14ac:dyDescent="0.3">
      <c r="A646" s="37"/>
      <c r="B646" s="37"/>
      <c r="C646" s="37"/>
      <c r="D646" s="37"/>
      <c r="E646" s="37"/>
      <c r="F646" s="37"/>
    </row>
    <row r="647" spans="1:6" ht="16.5" x14ac:dyDescent="0.3">
      <c r="A647" s="37"/>
      <c r="B647" s="37"/>
      <c r="C647" s="37"/>
      <c r="D647" s="37"/>
      <c r="E647" s="37"/>
      <c r="F647" s="37"/>
    </row>
    <row r="648" spans="1:6" ht="16.5" x14ac:dyDescent="0.3">
      <c r="A648" s="37"/>
      <c r="B648" s="37"/>
      <c r="C648" s="37"/>
      <c r="D648" s="37"/>
      <c r="E648" s="37"/>
      <c r="F648" s="37"/>
    </row>
    <row r="649" spans="1:6" ht="16.5" x14ac:dyDescent="0.3">
      <c r="A649" s="37"/>
      <c r="B649" s="37"/>
      <c r="C649" s="37"/>
      <c r="D649" s="37"/>
      <c r="E649" s="37"/>
      <c r="F649" s="37"/>
    </row>
    <row r="650" spans="1:6" ht="16.5" x14ac:dyDescent="0.3">
      <c r="A650" s="37"/>
      <c r="B650" s="37"/>
      <c r="C650" s="37"/>
      <c r="D650" s="37"/>
      <c r="E650" s="37"/>
      <c r="F650" s="37"/>
    </row>
    <row r="651" spans="1:6" ht="16.5" x14ac:dyDescent="0.3">
      <c r="A651" s="37"/>
      <c r="B651" s="37"/>
      <c r="C651" s="37"/>
      <c r="D651" s="37"/>
      <c r="E651" s="37"/>
      <c r="F651" s="37"/>
    </row>
    <row r="652" spans="1:6" ht="16.5" x14ac:dyDescent="0.3">
      <c r="A652" s="37"/>
      <c r="B652" s="37"/>
      <c r="C652" s="37"/>
      <c r="D652" s="37"/>
      <c r="E652" s="37"/>
      <c r="F652" s="37"/>
    </row>
    <row r="653" spans="1:6" ht="16.5" x14ac:dyDescent="0.3">
      <c r="A653" s="37"/>
      <c r="B653" s="37"/>
      <c r="C653" s="37"/>
      <c r="D653" s="37"/>
      <c r="E653" s="37"/>
      <c r="F653" s="37"/>
    </row>
    <row r="654" spans="1:6" ht="16.5" x14ac:dyDescent="0.3">
      <c r="A654" s="37"/>
      <c r="B654" s="37"/>
      <c r="C654" s="37"/>
      <c r="D654" s="37"/>
      <c r="E654" s="37"/>
      <c r="F654" s="37"/>
    </row>
    <row r="655" spans="1:6" ht="16.5" x14ac:dyDescent="0.3">
      <c r="A655" s="37"/>
      <c r="B655" s="37"/>
      <c r="C655" s="37"/>
      <c r="D655" s="37"/>
      <c r="E655" s="37"/>
      <c r="F655" s="37"/>
    </row>
    <row r="656" spans="1:6" ht="16.5" x14ac:dyDescent="0.3">
      <c r="A656" s="37"/>
      <c r="B656" s="37"/>
      <c r="C656" s="37"/>
      <c r="D656" s="37"/>
      <c r="E656" s="37"/>
      <c r="F656" s="37"/>
    </row>
    <row r="657" spans="1:6" ht="16.5" x14ac:dyDescent="0.3">
      <c r="A657" s="37"/>
      <c r="B657" s="37"/>
      <c r="C657" s="37"/>
      <c r="D657" s="37"/>
      <c r="E657" s="37"/>
      <c r="F657" s="37"/>
    </row>
    <row r="658" spans="1:6" ht="16.5" x14ac:dyDescent="0.3">
      <c r="A658" s="37"/>
      <c r="B658" s="37"/>
      <c r="C658" s="37"/>
      <c r="D658" s="37"/>
      <c r="E658" s="37"/>
      <c r="F658" s="37"/>
    </row>
    <row r="659" spans="1:6" ht="16.5" x14ac:dyDescent="0.3">
      <c r="A659" s="37"/>
      <c r="B659" s="37"/>
      <c r="C659" s="37"/>
      <c r="D659" s="37"/>
      <c r="E659" s="37"/>
      <c r="F659" s="37"/>
    </row>
    <row r="660" spans="1:6" ht="16.5" x14ac:dyDescent="0.3">
      <c r="A660" s="37"/>
      <c r="B660" s="37"/>
      <c r="C660" s="37"/>
      <c r="D660" s="37"/>
      <c r="E660" s="37"/>
      <c r="F660" s="37"/>
    </row>
    <row r="661" spans="1:6" ht="16.5" x14ac:dyDescent="0.3">
      <c r="A661" s="37"/>
      <c r="B661" s="37"/>
      <c r="C661" s="37"/>
      <c r="D661" s="37"/>
      <c r="E661" s="37"/>
      <c r="F661" s="37"/>
    </row>
    <row r="662" spans="1:6" ht="16.5" x14ac:dyDescent="0.3">
      <c r="A662" s="37"/>
      <c r="B662" s="37"/>
      <c r="C662" s="37"/>
      <c r="D662" s="37"/>
      <c r="E662" s="37"/>
      <c r="F662" s="37"/>
    </row>
    <row r="663" spans="1:6" ht="16.5" x14ac:dyDescent="0.3">
      <c r="A663" s="37"/>
      <c r="B663" s="37"/>
      <c r="C663" s="37"/>
      <c r="D663" s="37"/>
      <c r="E663" s="37"/>
      <c r="F663" s="37"/>
    </row>
    <row r="664" spans="1:6" ht="16.5" x14ac:dyDescent="0.3">
      <c r="A664" s="37"/>
      <c r="B664" s="37"/>
      <c r="C664" s="37"/>
      <c r="D664" s="37"/>
      <c r="E664" s="37"/>
      <c r="F664" s="37"/>
    </row>
    <row r="665" spans="1:6" ht="16.5" x14ac:dyDescent="0.3">
      <c r="A665" s="37"/>
      <c r="B665" s="37"/>
      <c r="C665" s="37"/>
      <c r="D665" s="37"/>
      <c r="E665" s="37"/>
      <c r="F665" s="37"/>
    </row>
    <row r="666" spans="1:6" ht="16.5" x14ac:dyDescent="0.3">
      <c r="A666" s="37"/>
      <c r="B666" s="37"/>
      <c r="C666" s="37"/>
      <c r="D666" s="37"/>
      <c r="E666" s="37"/>
      <c r="F666" s="37"/>
    </row>
    <row r="667" spans="1:6" ht="16.5" x14ac:dyDescent="0.3">
      <c r="A667" s="37"/>
      <c r="B667" s="37"/>
      <c r="C667" s="37"/>
      <c r="D667" s="37"/>
      <c r="E667" s="37"/>
      <c r="F667" s="37"/>
    </row>
    <row r="668" spans="1:6" ht="16.5" x14ac:dyDescent="0.3">
      <c r="A668" s="37"/>
      <c r="B668" s="37"/>
      <c r="C668" s="37"/>
      <c r="D668" s="37"/>
      <c r="E668" s="37"/>
      <c r="F668" s="37"/>
    </row>
    <row r="669" spans="1:6" ht="16.5" x14ac:dyDescent="0.3">
      <c r="A669" s="37"/>
      <c r="B669" s="37"/>
      <c r="C669" s="37"/>
      <c r="D669" s="37"/>
      <c r="E669" s="37"/>
      <c r="F669" s="37"/>
    </row>
    <row r="670" spans="1:6" ht="16.5" x14ac:dyDescent="0.3">
      <c r="A670" s="37"/>
      <c r="B670" s="37"/>
      <c r="C670" s="37"/>
      <c r="D670" s="37"/>
      <c r="E670" s="37"/>
      <c r="F670" s="37"/>
    </row>
    <row r="671" spans="1:6" ht="16.5" x14ac:dyDescent="0.3">
      <c r="A671" s="37"/>
      <c r="B671" s="37"/>
      <c r="C671" s="37"/>
      <c r="D671" s="37"/>
      <c r="E671" s="37"/>
      <c r="F671" s="37"/>
    </row>
    <row r="672" spans="1:6" ht="16.5" x14ac:dyDescent="0.3">
      <c r="A672" s="37"/>
      <c r="B672" s="37"/>
      <c r="C672" s="37"/>
      <c r="D672" s="37"/>
      <c r="E672" s="37"/>
      <c r="F672" s="37"/>
    </row>
    <row r="673" spans="1:6" ht="16.5" x14ac:dyDescent="0.3">
      <c r="A673" s="37"/>
      <c r="B673" s="37"/>
      <c r="C673" s="37"/>
      <c r="D673" s="37"/>
      <c r="E673" s="37"/>
      <c r="F673" s="37"/>
    </row>
    <row r="674" spans="1:6" ht="16.5" x14ac:dyDescent="0.3">
      <c r="A674" s="37"/>
      <c r="B674" s="37"/>
      <c r="C674" s="37"/>
      <c r="D674" s="37"/>
      <c r="E674" s="37"/>
      <c r="F674" s="37"/>
    </row>
    <row r="675" spans="1:6" ht="16.5" x14ac:dyDescent="0.3">
      <c r="A675" s="37"/>
      <c r="B675" s="37"/>
      <c r="C675" s="37"/>
      <c r="D675" s="37"/>
      <c r="E675" s="37"/>
      <c r="F675" s="37"/>
    </row>
    <row r="676" spans="1:6" ht="16.5" x14ac:dyDescent="0.3">
      <c r="A676" s="37"/>
      <c r="B676" s="37"/>
      <c r="C676" s="37"/>
      <c r="D676" s="37"/>
      <c r="E676" s="37"/>
      <c r="F676" s="37"/>
    </row>
    <row r="677" spans="1:6" ht="16.5" x14ac:dyDescent="0.3">
      <c r="A677" s="37"/>
      <c r="B677" s="37"/>
      <c r="C677" s="37"/>
      <c r="D677" s="37"/>
      <c r="E677" s="37"/>
      <c r="F677" s="37"/>
    </row>
    <row r="678" spans="1:6" ht="16.5" x14ac:dyDescent="0.3">
      <c r="A678" s="37"/>
      <c r="B678" s="37"/>
      <c r="C678" s="37"/>
      <c r="D678" s="37"/>
      <c r="E678" s="37"/>
      <c r="F678" s="37"/>
    </row>
    <row r="679" spans="1:6" ht="16.5" x14ac:dyDescent="0.3">
      <c r="A679" s="37"/>
      <c r="B679" s="37"/>
      <c r="C679" s="37"/>
      <c r="D679" s="37"/>
      <c r="E679" s="37"/>
      <c r="F679" s="37"/>
    </row>
    <row r="680" spans="1:6" ht="16.5" x14ac:dyDescent="0.3">
      <c r="A680" s="37"/>
      <c r="B680" s="37"/>
      <c r="C680" s="37"/>
      <c r="D680" s="37"/>
      <c r="E680" s="37"/>
      <c r="F680" s="37"/>
    </row>
    <row r="681" spans="1:6" ht="16.5" x14ac:dyDescent="0.3">
      <c r="A681" s="37"/>
      <c r="B681" s="37"/>
      <c r="C681" s="37"/>
      <c r="D681" s="37"/>
      <c r="E681" s="37"/>
      <c r="F681" s="37"/>
    </row>
    <row r="682" spans="1:6" ht="16.5" x14ac:dyDescent="0.3">
      <c r="A682" s="37"/>
      <c r="B682" s="37"/>
      <c r="C682" s="37"/>
      <c r="D682" s="37"/>
      <c r="E682" s="37"/>
      <c r="F682" s="37"/>
    </row>
    <row r="683" spans="1:6" ht="16.5" x14ac:dyDescent="0.3">
      <c r="A683" s="37"/>
      <c r="B683" s="37"/>
      <c r="C683" s="37"/>
      <c r="D683" s="37"/>
      <c r="E683" s="37"/>
      <c r="F683" s="37"/>
    </row>
    <row r="684" spans="1:6" ht="16.5" x14ac:dyDescent="0.3">
      <c r="A684" s="37"/>
      <c r="B684" s="37"/>
      <c r="C684" s="37"/>
      <c r="D684" s="37"/>
      <c r="E684" s="37"/>
      <c r="F684" s="37"/>
    </row>
    <row r="685" spans="1:6" ht="16.5" x14ac:dyDescent="0.3">
      <c r="A685" s="37"/>
      <c r="B685" s="37"/>
      <c r="C685" s="37"/>
      <c r="D685" s="37"/>
      <c r="E685" s="37"/>
      <c r="F685" s="37"/>
    </row>
    <row r="686" spans="1:6" ht="16.5" x14ac:dyDescent="0.3">
      <c r="A686" s="37"/>
      <c r="B686" s="37"/>
      <c r="C686" s="37"/>
      <c r="D686" s="37"/>
      <c r="E686" s="37"/>
      <c r="F686" s="37"/>
    </row>
    <row r="687" spans="1:6" ht="16.5" x14ac:dyDescent="0.3">
      <c r="A687" s="37"/>
      <c r="B687" s="37"/>
      <c r="C687" s="37"/>
      <c r="D687" s="37"/>
      <c r="E687" s="37"/>
      <c r="F687" s="37"/>
    </row>
    <row r="688" spans="1:6" ht="16.5" x14ac:dyDescent="0.3">
      <c r="A688" s="37"/>
      <c r="B688" s="37"/>
      <c r="C688" s="37"/>
      <c r="D688" s="37"/>
      <c r="E688" s="37"/>
      <c r="F688" s="37"/>
    </row>
    <row r="689" spans="1:6" ht="16.5" x14ac:dyDescent="0.3">
      <c r="A689" s="37"/>
      <c r="B689" s="37"/>
      <c r="C689" s="37"/>
      <c r="D689" s="37"/>
      <c r="E689" s="37"/>
      <c r="F689" s="37"/>
    </row>
    <row r="690" spans="1:6" ht="16.5" x14ac:dyDescent="0.3">
      <c r="A690" s="37"/>
      <c r="B690" s="37"/>
      <c r="C690" s="37"/>
      <c r="D690" s="37"/>
      <c r="E690" s="37"/>
      <c r="F690" s="37"/>
    </row>
    <row r="691" spans="1:6" ht="16.5" x14ac:dyDescent="0.3">
      <c r="A691" s="37"/>
      <c r="B691" s="37"/>
      <c r="C691" s="37"/>
      <c r="D691" s="37"/>
      <c r="E691" s="37"/>
      <c r="F691" s="37"/>
    </row>
    <row r="692" spans="1:6" ht="16.5" x14ac:dyDescent="0.3">
      <c r="A692" s="37"/>
      <c r="B692" s="37"/>
      <c r="C692" s="37"/>
      <c r="D692" s="37"/>
      <c r="E692" s="37"/>
      <c r="F692" s="37"/>
    </row>
    <row r="693" spans="1:6" ht="16.5" x14ac:dyDescent="0.3">
      <c r="A693" s="37"/>
      <c r="B693" s="37"/>
      <c r="C693" s="37"/>
      <c r="D693" s="37"/>
      <c r="E693" s="37"/>
      <c r="F693" s="37"/>
    </row>
    <row r="694" spans="1:6" ht="16.5" x14ac:dyDescent="0.3">
      <c r="A694" s="37"/>
      <c r="B694" s="37"/>
      <c r="C694" s="37"/>
      <c r="D694" s="37"/>
      <c r="E694" s="37"/>
      <c r="F694" s="37"/>
    </row>
    <row r="695" spans="1:6" ht="16.5" x14ac:dyDescent="0.3">
      <c r="A695" s="37"/>
      <c r="B695" s="37"/>
      <c r="C695" s="37"/>
      <c r="D695" s="37"/>
      <c r="E695" s="37"/>
      <c r="F695" s="37"/>
    </row>
    <row r="696" spans="1:6" ht="16.5" x14ac:dyDescent="0.3">
      <c r="A696" s="37"/>
      <c r="B696" s="37"/>
      <c r="C696" s="37"/>
      <c r="D696" s="37"/>
      <c r="E696" s="37"/>
      <c r="F696" s="37"/>
    </row>
    <row r="697" spans="1:6" ht="16.5" x14ac:dyDescent="0.3">
      <c r="A697" s="37"/>
      <c r="B697" s="37"/>
      <c r="C697" s="37"/>
      <c r="D697" s="37"/>
      <c r="E697" s="37"/>
      <c r="F697" s="37"/>
    </row>
    <row r="698" spans="1:6" ht="16.5" x14ac:dyDescent="0.3">
      <c r="A698" s="37"/>
      <c r="B698" s="37"/>
      <c r="C698" s="37"/>
      <c r="D698" s="37"/>
      <c r="E698" s="37"/>
      <c r="F698" s="37"/>
    </row>
    <row r="699" spans="1:6" ht="16.5" x14ac:dyDescent="0.3">
      <c r="A699" s="37"/>
      <c r="B699" s="37"/>
      <c r="C699" s="37"/>
      <c r="D699" s="37"/>
      <c r="E699" s="37"/>
      <c r="F699" s="37"/>
    </row>
    <row r="700" spans="1:6" ht="16.5" x14ac:dyDescent="0.3">
      <c r="A700" s="37"/>
      <c r="B700" s="37"/>
      <c r="C700" s="37"/>
      <c r="D700" s="37"/>
      <c r="E700" s="37"/>
      <c r="F700" s="37"/>
    </row>
    <row r="701" spans="1:6" ht="16.5" x14ac:dyDescent="0.3">
      <c r="A701" s="37"/>
      <c r="B701" s="37"/>
      <c r="C701" s="37"/>
      <c r="D701" s="37"/>
      <c r="E701" s="37"/>
      <c r="F701" s="37"/>
    </row>
    <row r="702" spans="1:6" ht="16.5" x14ac:dyDescent="0.3">
      <c r="A702" s="37"/>
      <c r="B702" s="37"/>
      <c r="C702" s="37"/>
      <c r="D702" s="37"/>
      <c r="E702" s="37"/>
      <c r="F702" s="37"/>
    </row>
    <row r="703" spans="1:6" ht="16.5" x14ac:dyDescent="0.3">
      <c r="A703" s="37"/>
      <c r="B703" s="37"/>
      <c r="C703" s="37"/>
      <c r="D703" s="37"/>
      <c r="E703" s="37"/>
      <c r="F703" s="37"/>
    </row>
    <row r="704" spans="1:6" ht="16.5" x14ac:dyDescent="0.3">
      <c r="A704" s="37"/>
      <c r="B704" s="37"/>
      <c r="C704" s="37"/>
      <c r="D704" s="37"/>
      <c r="E704" s="37"/>
      <c r="F704" s="37"/>
    </row>
    <row r="705" spans="1:6" ht="16.5" x14ac:dyDescent="0.3">
      <c r="A705" s="37"/>
      <c r="B705" s="37"/>
      <c r="C705" s="37"/>
      <c r="D705" s="37"/>
      <c r="E705" s="37"/>
      <c r="F705" s="37"/>
    </row>
    <row r="706" spans="1:6" ht="16.5" x14ac:dyDescent="0.3">
      <c r="A706" s="37"/>
      <c r="B706" s="37"/>
      <c r="C706" s="37"/>
      <c r="D706" s="37"/>
      <c r="E706" s="37"/>
      <c r="F706" s="37"/>
    </row>
    <row r="707" spans="1:6" ht="16.5" x14ac:dyDescent="0.3">
      <c r="A707" s="37"/>
      <c r="B707" s="37"/>
      <c r="C707" s="37"/>
      <c r="D707" s="37"/>
      <c r="E707" s="37"/>
      <c r="F707" s="37"/>
    </row>
    <row r="708" spans="1:6" ht="16.5" x14ac:dyDescent="0.3">
      <c r="A708" s="37"/>
      <c r="B708" s="37"/>
      <c r="C708" s="37"/>
      <c r="D708" s="37"/>
      <c r="E708" s="37"/>
      <c r="F708" s="37"/>
    </row>
    <row r="709" spans="1:6" ht="16.5" x14ac:dyDescent="0.3">
      <c r="A709" s="37"/>
      <c r="B709" s="37"/>
      <c r="C709" s="37"/>
      <c r="D709" s="37"/>
      <c r="E709" s="37"/>
      <c r="F709" s="37"/>
    </row>
    <row r="710" spans="1:6" ht="16.5" x14ac:dyDescent="0.3">
      <c r="A710" s="37"/>
      <c r="B710" s="37"/>
      <c r="C710" s="37"/>
      <c r="D710" s="37"/>
      <c r="E710" s="37"/>
      <c r="F710" s="37"/>
    </row>
    <row r="711" spans="1:6" ht="16.5" x14ac:dyDescent="0.3">
      <c r="A711" s="37"/>
      <c r="B711" s="37"/>
      <c r="C711" s="37"/>
      <c r="D711" s="37"/>
      <c r="E711" s="37"/>
      <c r="F711" s="37"/>
    </row>
    <row r="712" spans="1:6" ht="16.5" x14ac:dyDescent="0.3">
      <c r="A712" s="37"/>
      <c r="B712" s="37"/>
      <c r="C712" s="37"/>
      <c r="D712" s="37"/>
      <c r="E712" s="37"/>
      <c r="F712" s="37"/>
    </row>
    <row r="713" spans="1:6" ht="16.5" x14ac:dyDescent="0.3">
      <c r="A713" s="37"/>
      <c r="B713" s="37"/>
      <c r="C713" s="37"/>
      <c r="D713" s="37"/>
      <c r="E713" s="37"/>
      <c r="F713" s="37"/>
    </row>
    <row r="714" spans="1:6" ht="16.5" x14ac:dyDescent="0.3">
      <c r="A714" s="37"/>
      <c r="B714" s="37"/>
      <c r="C714" s="37"/>
      <c r="D714" s="37"/>
      <c r="E714" s="37"/>
      <c r="F714" s="37"/>
    </row>
    <row r="715" spans="1:6" ht="16.5" x14ac:dyDescent="0.3">
      <c r="A715" s="37"/>
      <c r="B715" s="37"/>
      <c r="C715" s="37"/>
      <c r="D715" s="37"/>
      <c r="E715" s="37"/>
      <c r="F715" s="37"/>
    </row>
    <row r="716" spans="1:6" ht="16.5" x14ac:dyDescent="0.3">
      <c r="A716" s="37"/>
      <c r="B716" s="37"/>
      <c r="C716" s="37"/>
      <c r="D716" s="37"/>
      <c r="E716" s="37"/>
      <c r="F716" s="37"/>
    </row>
    <row r="717" spans="1:6" ht="16.5" x14ac:dyDescent="0.3">
      <c r="A717" s="37"/>
      <c r="B717" s="37"/>
      <c r="C717" s="37"/>
      <c r="D717" s="37"/>
      <c r="E717" s="37"/>
      <c r="F717" s="37"/>
    </row>
    <row r="718" spans="1:6" ht="16.5" x14ac:dyDescent="0.3">
      <c r="A718" s="37"/>
      <c r="B718" s="37"/>
      <c r="C718" s="37"/>
      <c r="D718" s="37"/>
      <c r="E718" s="37"/>
      <c r="F718" s="37"/>
    </row>
    <row r="719" spans="1:6" ht="16.5" x14ac:dyDescent="0.3">
      <c r="A719" s="37"/>
      <c r="B719" s="37"/>
      <c r="C719" s="37"/>
      <c r="D719" s="37"/>
      <c r="E719" s="37"/>
      <c r="F719" s="37"/>
    </row>
    <row r="720" spans="1:6" ht="16.5" x14ac:dyDescent="0.3">
      <c r="A720" s="37"/>
      <c r="B720" s="37"/>
      <c r="C720" s="37"/>
      <c r="D720" s="37"/>
      <c r="E720" s="37"/>
      <c r="F720" s="37"/>
    </row>
    <row r="721" spans="1:6" ht="16.5" x14ac:dyDescent="0.3">
      <c r="A721" s="37"/>
      <c r="B721" s="37"/>
      <c r="C721" s="37"/>
      <c r="D721" s="37"/>
      <c r="E721" s="37"/>
      <c r="F721" s="37"/>
    </row>
    <row r="722" spans="1:6" ht="16.5" x14ac:dyDescent="0.3">
      <c r="A722" s="37"/>
      <c r="B722" s="37"/>
      <c r="C722" s="37"/>
      <c r="D722" s="37"/>
      <c r="E722" s="37"/>
      <c r="F722" s="37"/>
    </row>
    <row r="723" spans="1:6" ht="16.5" x14ac:dyDescent="0.3">
      <c r="A723" s="37"/>
      <c r="B723" s="37"/>
      <c r="C723" s="37"/>
      <c r="D723" s="37"/>
      <c r="E723" s="37"/>
      <c r="F723" s="37"/>
    </row>
    <row r="724" spans="1:6" ht="16.5" x14ac:dyDescent="0.3">
      <c r="A724" s="37"/>
      <c r="B724" s="37"/>
      <c r="C724" s="37"/>
      <c r="D724" s="37"/>
      <c r="E724" s="37"/>
      <c r="F724" s="37"/>
    </row>
    <row r="725" spans="1:6" ht="16.5" x14ac:dyDescent="0.3">
      <c r="A725" s="37"/>
      <c r="B725" s="37"/>
      <c r="C725" s="37"/>
      <c r="D725" s="37"/>
      <c r="E725" s="37"/>
      <c r="F725" s="37"/>
    </row>
    <row r="726" spans="1:6" ht="16.5" x14ac:dyDescent="0.3">
      <c r="A726" s="37"/>
      <c r="B726" s="37"/>
      <c r="C726" s="37"/>
      <c r="D726" s="37"/>
      <c r="E726" s="37"/>
      <c r="F726" s="37"/>
    </row>
    <row r="727" spans="1:6" ht="16.5" x14ac:dyDescent="0.3">
      <c r="A727" s="37"/>
      <c r="B727" s="37"/>
      <c r="C727" s="37"/>
      <c r="D727" s="37"/>
      <c r="E727" s="37"/>
      <c r="F727" s="37"/>
    </row>
    <row r="728" spans="1:6" ht="16.5" x14ac:dyDescent="0.3">
      <c r="A728" s="37"/>
      <c r="B728" s="37"/>
      <c r="C728" s="37"/>
      <c r="D728" s="37"/>
      <c r="E728" s="37"/>
      <c r="F728" s="37"/>
    </row>
    <row r="729" spans="1:6" ht="16.5" x14ac:dyDescent="0.3">
      <c r="A729" s="37"/>
      <c r="B729" s="37"/>
      <c r="C729" s="37"/>
      <c r="D729" s="37"/>
      <c r="E729" s="37"/>
      <c r="F729" s="37"/>
    </row>
    <row r="730" spans="1:6" ht="16.5" x14ac:dyDescent="0.3">
      <c r="A730" s="37"/>
      <c r="B730" s="37"/>
      <c r="C730" s="37"/>
      <c r="D730" s="37"/>
      <c r="E730" s="37"/>
      <c r="F730" s="37"/>
    </row>
    <row r="731" spans="1:6" ht="16.5" x14ac:dyDescent="0.3">
      <c r="A731" s="37"/>
      <c r="B731" s="37"/>
      <c r="C731" s="37"/>
      <c r="D731" s="37"/>
      <c r="E731" s="37"/>
      <c r="F731" s="37"/>
    </row>
    <row r="732" spans="1:6" ht="16.5" x14ac:dyDescent="0.3">
      <c r="A732" s="37"/>
      <c r="B732" s="37"/>
      <c r="C732" s="37"/>
      <c r="D732" s="37"/>
      <c r="E732" s="37"/>
      <c r="F732" s="37"/>
    </row>
    <row r="733" spans="1:6" ht="16.5" x14ac:dyDescent="0.3">
      <c r="A733" s="37"/>
      <c r="B733" s="37"/>
      <c r="C733" s="37"/>
      <c r="D733" s="37"/>
      <c r="E733" s="37"/>
      <c r="F733" s="37"/>
    </row>
    <row r="734" spans="1:6" ht="16.5" x14ac:dyDescent="0.3">
      <c r="A734" s="37"/>
      <c r="B734" s="37"/>
      <c r="C734" s="37"/>
      <c r="D734" s="37"/>
      <c r="E734" s="37"/>
      <c r="F734" s="37"/>
    </row>
    <row r="735" spans="1:6" ht="16.5" x14ac:dyDescent="0.3">
      <c r="A735" s="37"/>
      <c r="B735" s="37"/>
      <c r="C735" s="37"/>
      <c r="D735" s="37"/>
      <c r="E735" s="37"/>
      <c r="F735" s="37"/>
    </row>
    <row r="736" spans="1:6" ht="16.5" x14ac:dyDescent="0.3">
      <c r="A736" s="37"/>
      <c r="B736" s="37"/>
      <c r="C736" s="37"/>
      <c r="D736" s="37"/>
      <c r="E736" s="37"/>
      <c r="F736" s="37"/>
    </row>
    <row r="737" spans="1:6" ht="16.5" x14ac:dyDescent="0.3">
      <c r="A737" s="37"/>
      <c r="B737" s="37"/>
      <c r="C737" s="37"/>
      <c r="D737" s="37"/>
      <c r="E737" s="37"/>
      <c r="F737" s="37"/>
    </row>
    <row r="738" spans="1:6" ht="16.5" x14ac:dyDescent="0.3">
      <c r="A738" s="37"/>
      <c r="B738" s="37"/>
      <c r="C738" s="37"/>
      <c r="D738" s="37"/>
      <c r="E738" s="37"/>
      <c r="F738" s="37"/>
    </row>
    <row r="739" spans="1:6" ht="16.5" x14ac:dyDescent="0.3">
      <c r="A739" s="37"/>
      <c r="B739" s="37"/>
      <c r="C739" s="37"/>
      <c r="D739" s="37"/>
      <c r="E739" s="37"/>
      <c r="F739" s="37"/>
    </row>
    <row r="740" spans="1:6" ht="16.5" x14ac:dyDescent="0.3">
      <c r="A740" s="37"/>
      <c r="B740" s="37"/>
      <c r="C740" s="37"/>
      <c r="D740" s="37"/>
      <c r="E740" s="37"/>
      <c r="F740" s="37"/>
    </row>
    <row r="741" spans="1:6" ht="16.5" x14ac:dyDescent="0.3">
      <c r="A741" s="37"/>
      <c r="B741" s="37"/>
      <c r="C741" s="37"/>
      <c r="D741" s="37"/>
      <c r="E741" s="37"/>
      <c r="F741" s="37"/>
    </row>
    <row r="742" spans="1:6" ht="16.5" x14ac:dyDescent="0.3">
      <c r="A742" s="37"/>
      <c r="B742" s="37"/>
      <c r="C742" s="37"/>
      <c r="D742" s="37"/>
      <c r="E742" s="37"/>
      <c r="F742" s="37"/>
    </row>
    <row r="743" spans="1:6" ht="16.5" x14ac:dyDescent="0.3">
      <c r="A743" s="37"/>
      <c r="B743" s="37"/>
      <c r="C743" s="37"/>
      <c r="D743" s="37"/>
      <c r="E743" s="37"/>
      <c r="F743" s="37"/>
    </row>
    <row r="744" spans="1:6" ht="16.5" x14ac:dyDescent="0.3">
      <c r="A744" s="37"/>
      <c r="B744" s="37"/>
      <c r="C744" s="37"/>
      <c r="D744" s="37"/>
      <c r="E744" s="37"/>
      <c r="F744" s="37"/>
    </row>
    <row r="745" spans="1:6" ht="16.5" x14ac:dyDescent="0.3">
      <c r="A745" s="37"/>
      <c r="B745" s="37"/>
      <c r="C745" s="37"/>
      <c r="D745" s="37"/>
      <c r="E745" s="37"/>
      <c r="F745" s="37"/>
    </row>
    <row r="746" spans="1:6" ht="16.5" x14ac:dyDescent="0.3">
      <c r="A746" s="37"/>
      <c r="B746" s="37"/>
      <c r="C746" s="37"/>
      <c r="D746" s="37"/>
      <c r="E746" s="37"/>
      <c r="F746" s="37"/>
    </row>
    <row r="747" spans="1:6" ht="16.5" x14ac:dyDescent="0.3">
      <c r="A747" s="37"/>
      <c r="B747" s="37"/>
      <c r="C747" s="37"/>
      <c r="D747" s="37"/>
      <c r="E747" s="37"/>
      <c r="F747" s="37"/>
    </row>
    <row r="748" spans="1:6" ht="16.5" x14ac:dyDescent="0.3">
      <c r="A748" s="37"/>
      <c r="B748" s="37"/>
      <c r="C748" s="37"/>
      <c r="D748" s="37"/>
      <c r="E748" s="37"/>
      <c r="F748" s="37"/>
    </row>
    <row r="749" spans="1:6" ht="16.5" x14ac:dyDescent="0.3">
      <c r="A749" s="37"/>
      <c r="B749" s="37"/>
      <c r="C749" s="37"/>
      <c r="D749" s="37"/>
      <c r="E749" s="37"/>
      <c r="F749" s="37"/>
    </row>
    <row r="750" spans="1:6" ht="16.5" x14ac:dyDescent="0.3">
      <c r="A750" s="37"/>
      <c r="B750" s="37"/>
      <c r="C750" s="37"/>
      <c r="D750" s="37"/>
      <c r="E750" s="37"/>
      <c r="F750" s="37"/>
    </row>
    <row r="751" spans="1:6" ht="16.5" x14ac:dyDescent="0.3">
      <c r="A751" s="37"/>
      <c r="B751" s="37"/>
      <c r="C751" s="37"/>
      <c r="D751" s="37"/>
      <c r="E751" s="37"/>
      <c r="F751" s="37"/>
    </row>
    <row r="752" spans="1:6" ht="16.5" x14ac:dyDescent="0.3">
      <c r="A752" s="37"/>
      <c r="B752" s="37"/>
      <c r="C752" s="37"/>
      <c r="D752" s="37"/>
      <c r="E752" s="37"/>
      <c r="F752" s="37"/>
    </row>
    <row r="753" spans="1:6" ht="16.5" x14ac:dyDescent="0.3">
      <c r="A753" s="37"/>
      <c r="B753" s="37"/>
      <c r="C753" s="37"/>
      <c r="D753" s="37"/>
      <c r="E753" s="37"/>
      <c r="F753" s="37"/>
    </row>
    <row r="754" spans="1:6" ht="16.5" x14ac:dyDescent="0.3">
      <c r="A754" s="37"/>
      <c r="B754" s="37"/>
      <c r="C754" s="37"/>
      <c r="D754" s="37"/>
      <c r="E754" s="37"/>
      <c r="F754" s="37"/>
    </row>
    <row r="755" spans="1:6" ht="16.5" x14ac:dyDescent="0.3">
      <c r="A755" s="37"/>
      <c r="B755" s="37"/>
      <c r="C755" s="37"/>
      <c r="D755" s="37"/>
      <c r="E755" s="37"/>
      <c r="F755" s="37"/>
    </row>
    <row r="756" spans="1:6" ht="16.5" x14ac:dyDescent="0.3">
      <c r="A756" s="37"/>
      <c r="B756" s="37"/>
      <c r="C756" s="37"/>
      <c r="D756" s="37"/>
      <c r="E756" s="37"/>
      <c r="F756" s="37"/>
    </row>
    <row r="757" spans="1:6" ht="16.5" x14ac:dyDescent="0.3">
      <c r="A757" s="37"/>
      <c r="B757" s="37"/>
      <c r="C757" s="37"/>
      <c r="D757" s="37"/>
      <c r="E757" s="37"/>
      <c r="F757" s="37"/>
    </row>
    <row r="758" spans="1:6" ht="16.5" x14ac:dyDescent="0.3">
      <c r="A758" s="37"/>
      <c r="B758" s="37"/>
      <c r="C758" s="37"/>
      <c r="D758" s="37"/>
      <c r="E758" s="37"/>
      <c r="F758" s="37"/>
    </row>
    <row r="759" spans="1:6" ht="16.5" x14ac:dyDescent="0.3">
      <c r="A759" s="37"/>
      <c r="B759" s="37"/>
      <c r="C759" s="37"/>
      <c r="D759" s="37"/>
      <c r="E759" s="37"/>
      <c r="F759" s="37"/>
    </row>
    <row r="760" spans="1:6" ht="16.5" x14ac:dyDescent="0.3">
      <c r="A760" s="37"/>
      <c r="B760" s="37"/>
      <c r="C760" s="37"/>
      <c r="D760" s="37"/>
      <c r="E760" s="37"/>
      <c r="F760" s="37"/>
    </row>
    <row r="761" spans="1:6" ht="16.5" x14ac:dyDescent="0.3">
      <c r="A761" s="37"/>
      <c r="B761" s="37"/>
      <c r="C761" s="37"/>
      <c r="D761" s="37"/>
      <c r="E761" s="37"/>
      <c r="F761" s="37"/>
    </row>
    <row r="762" spans="1:6" ht="16.5" x14ac:dyDescent="0.3">
      <c r="A762" s="37"/>
      <c r="B762" s="37"/>
      <c r="C762" s="37"/>
      <c r="D762" s="37"/>
      <c r="E762" s="37"/>
      <c r="F762" s="37"/>
    </row>
    <row r="763" spans="1:6" ht="16.5" x14ac:dyDescent="0.3">
      <c r="A763" s="37"/>
      <c r="B763" s="37"/>
      <c r="C763" s="37"/>
      <c r="D763" s="37"/>
      <c r="E763" s="37"/>
      <c r="F763" s="37"/>
    </row>
    <row r="764" spans="1:6" ht="16.5" x14ac:dyDescent="0.3">
      <c r="A764" s="37"/>
      <c r="B764" s="37"/>
      <c r="C764" s="37"/>
      <c r="D764" s="37"/>
      <c r="E764" s="37"/>
      <c r="F764" s="37"/>
    </row>
    <row r="765" spans="1:6" ht="16.5" x14ac:dyDescent="0.3">
      <c r="A765" s="37"/>
      <c r="B765" s="37"/>
      <c r="C765" s="37"/>
      <c r="D765" s="37"/>
      <c r="E765" s="37"/>
      <c r="F765" s="37"/>
    </row>
    <row r="766" spans="1:6" ht="16.5" x14ac:dyDescent="0.3">
      <c r="A766" s="37"/>
      <c r="B766" s="37"/>
      <c r="C766" s="37"/>
      <c r="D766" s="37"/>
      <c r="E766" s="37"/>
      <c r="F766" s="37"/>
    </row>
    <row r="767" spans="1:6" ht="16.5" x14ac:dyDescent="0.3">
      <c r="A767" s="37"/>
      <c r="B767" s="37"/>
      <c r="C767" s="37"/>
      <c r="D767" s="37"/>
      <c r="E767" s="37"/>
      <c r="F767" s="37"/>
    </row>
    <row r="768" spans="1:6" ht="16.5" x14ac:dyDescent="0.3">
      <c r="A768" s="37"/>
      <c r="B768" s="37"/>
      <c r="C768" s="37"/>
      <c r="D768" s="37"/>
      <c r="E768" s="37"/>
      <c r="F768" s="37"/>
    </row>
    <row r="769" spans="1:6" ht="16.5" x14ac:dyDescent="0.3">
      <c r="A769" s="37"/>
      <c r="B769" s="37"/>
      <c r="C769" s="37"/>
      <c r="D769" s="37"/>
      <c r="E769" s="37"/>
      <c r="F769" s="37"/>
    </row>
    <row r="770" spans="1:6" ht="16.5" x14ac:dyDescent="0.3">
      <c r="A770" s="37"/>
      <c r="B770" s="37"/>
      <c r="C770" s="37"/>
      <c r="D770" s="37"/>
      <c r="E770" s="37"/>
      <c r="F770" s="37"/>
    </row>
    <row r="771" spans="1:6" ht="16.5" x14ac:dyDescent="0.3">
      <c r="A771" s="37"/>
      <c r="B771" s="37"/>
      <c r="C771" s="37"/>
      <c r="D771" s="37"/>
      <c r="E771" s="37"/>
      <c r="F771" s="37"/>
    </row>
    <row r="772" spans="1:6" ht="16.5" x14ac:dyDescent="0.3">
      <c r="A772" s="37"/>
      <c r="B772" s="37"/>
      <c r="C772" s="37"/>
      <c r="D772" s="37"/>
      <c r="E772" s="37"/>
      <c r="F772" s="37"/>
    </row>
    <row r="773" spans="1:6" ht="16.5" x14ac:dyDescent="0.3">
      <c r="A773" s="37"/>
      <c r="B773" s="37"/>
      <c r="C773" s="37"/>
      <c r="D773" s="37"/>
      <c r="E773" s="37"/>
      <c r="F773" s="37"/>
    </row>
    <row r="774" spans="1:6" ht="16.5" x14ac:dyDescent="0.3">
      <c r="A774" s="37"/>
      <c r="B774" s="37"/>
      <c r="C774" s="37"/>
      <c r="D774" s="37"/>
      <c r="E774" s="37"/>
      <c r="F774" s="37"/>
    </row>
    <row r="775" spans="1:6" ht="16.5" x14ac:dyDescent="0.3">
      <c r="A775" s="37"/>
      <c r="B775" s="37"/>
      <c r="C775" s="37"/>
      <c r="D775" s="37"/>
      <c r="E775" s="37"/>
      <c r="F775" s="37"/>
    </row>
    <row r="776" spans="1:6" ht="16.5" x14ac:dyDescent="0.3">
      <c r="A776" s="37"/>
      <c r="B776" s="37"/>
      <c r="C776" s="37"/>
      <c r="D776" s="37"/>
      <c r="E776" s="37"/>
      <c r="F776" s="37"/>
    </row>
    <row r="777" spans="1:6" ht="16.5" x14ac:dyDescent="0.3">
      <c r="A777" s="37"/>
      <c r="B777" s="37"/>
      <c r="C777" s="37"/>
      <c r="D777" s="37"/>
      <c r="E777" s="37"/>
      <c r="F777" s="37"/>
    </row>
    <row r="778" spans="1:6" ht="16.5" x14ac:dyDescent="0.3">
      <c r="A778" s="37"/>
      <c r="B778" s="37"/>
      <c r="C778" s="37"/>
      <c r="D778" s="37"/>
      <c r="E778" s="37"/>
      <c r="F778" s="37"/>
    </row>
    <row r="779" spans="1:6" ht="16.5" x14ac:dyDescent="0.3">
      <c r="A779" s="37"/>
      <c r="B779" s="37"/>
      <c r="C779" s="37"/>
      <c r="D779" s="37"/>
      <c r="E779" s="37"/>
      <c r="F779" s="37"/>
    </row>
    <row r="780" spans="1:6" ht="16.5" x14ac:dyDescent="0.3">
      <c r="A780" s="37"/>
      <c r="B780" s="37"/>
      <c r="C780" s="37"/>
      <c r="D780" s="37"/>
      <c r="E780" s="37"/>
      <c r="F780" s="37"/>
    </row>
    <row r="781" spans="1:6" ht="16.5" x14ac:dyDescent="0.3">
      <c r="A781" s="37"/>
      <c r="B781" s="37"/>
      <c r="C781" s="37"/>
      <c r="D781" s="37"/>
      <c r="E781" s="37"/>
      <c r="F781" s="37"/>
    </row>
    <row r="782" spans="1:6" ht="16.5" x14ac:dyDescent="0.3">
      <c r="A782" s="37"/>
      <c r="B782" s="37"/>
      <c r="C782" s="37"/>
      <c r="D782" s="37"/>
      <c r="E782" s="37"/>
      <c r="F782" s="37"/>
    </row>
    <row r="783" spans="1:6" ht="16.5" x14ac:dyDescent="0.3">
      <c r="A783" s="37"/>
      <c r="B783" s="37"/>
      <c r="C783" s="37"/>
      <c r="D783" s="37"/>
      <c r="E783" s="37"/>
      <c r="F783" s="37"/>
    </row>
    <row r="784" spans="1:6" ht="16.5" x14ac:dyDescent="0.3">
      <c r="A784" s="37"/>
      <c r="B784" s="37"/>
      <c r="C784" s="37"/>
      <c r="D784" s="37"/>
      <c r="E784" s="37"/>
      <c r="F784" s="37"/>
    </row>
    <row r="785" spans="1:6" ht="16.5" x14ac:dyDescent="0.3">
      <c r="A785" s="37"/>
      <c r="B785" s="37"/>
      <c r="C785" s="37"/>
      <c r="D785" s="37"/>
      <c r="E785" s="37"/>
      <c r="F785" s="37"/>
    </row>
    <row r="786" spans="1:6" ht="16.5" x14ac:dyDescent="0.3">
      <c r="A786" s="37"/>
      <c r="B786" s="37"/>
      <c r="C786" s="37"/>
      <c r="D786" s="37"/>
      <c r="E786" s="37"/>
      <c r="F786" s="37"/>
    </row>
    <row r="787" spans="1:6" ht="16.5" x14ac:dyDescent="0.3">
      <c r="A787" s="37"/>
      <c r="B787" s="37"/>
      <c r="C787" s="37"/>
      <c r="D787" s="37"/>
      <c r="E787" s="37"/>
      <c r="F787" s="37"/>
    </row>
    <row r="788" spans="1:6" ht="16.5" x14ac:dyDescent="0.3">
      <c r="A788" s="37"/>
      <c r="B788" s="37"/>
      <c r="C788" s="37"/>
      <c r="D788" s="37"/>
      <c r="E788" s="37"/>
      <c r="F788" s="37"/>
    </row>
    <row r="789" spans="1:6" ht="16.5" x14ac:dyDescent="0.3">
      <c r="A789" s="37"/>
      <c r="B789" s="37"/>
      <c r="C789" s="37"/>
      <c r="D789" s="37"/>
      <c r="E789" s="37"/>
      <c r="F789" s="37"/>
    </row>
    <row r="790" spans="1:6" ht="16.5" x14ac:dyDescent="0.3">
      <c r="A790" s="37"/>
      <c r="B790" s="37"/>
      <c r="C790" s="37"/>
      <c r="D790" s="37"/>
      <c r="E790" s="37"/>
      <c r="F790" s="37"/>
    </row>
    <row r="791" spans="1:6" ht="16.5" x14ac:dyDescent="0.3">
      <c r="A791" s="37"/>
      <c r="B791" s="37"/>
      <c r="C791" s="37"/>
      <c r="D791" s="37"/>
      <c r="E791" s="37"/>
      <c r="F791" s="37"/>
    </row>
    <row r="792" spans="1:6" ht="16.5" x14ac:dyDescent="0.3">
      <c r="A792" s="37"/>
      <c r="B792" s="37"/>
      <c r="C792" s="37"/>
      <c r="D792" s="37"/>
      <c r="E792" s="37"/>
      <c r="F792" s="37"/>
    </row>
    <row r="793" spans="1:6" ht="16.5" x14ac:dyDescent="0.3">
      <c r="A793" s="37"/>
      <c r="B793" s="37"/>
      <c r="C793" s="37"/>
      <c r="D793" s="37"/>
      <c r="E793" s="37"/>
      <c r="F793" s="37"/>
    </row>
    <row r="794" spans="1:6" ht="16.5" x14ac:dyDescent="0.3">
      <c r="A794" s="37"/>
      <c r="B794" s="37"/>
      <c r="C794" s="37"/>
      <c r="D794" s="37"/>
      <c r="E794" s="37"/>
      <c r="F794" s="37"/>
    </row>
    <row r="795" spans="1:6" ht="16.5" x14ac:dyDescent="0.3">
      <c r="A795" s="37"/>
      <c r="B795" s="37"/>
      <c r="C795" s="37"/>
      <c r="D795" s="37"/>
      <c r="E795" s="37"/>
      <c r="F795" s="37"/>
    </row>
    <row r="796" spans="1:6" ht="16.5" x14ac:dyDescent="0.3">
      <c r="A796" s="37"/>
      <c r="B796" s="37"/>
      <c r="C796" s="37"/>
      <c r="D796" s="37"/>
      <c r="E796" s="37"/>
      <c r="F796" s="37"/>
    </row>
    <row r="797" spans="1:6" ht="16.5" x14ac:dyDescent="0.3">
      <c r="A797" s="37"/>
      <c r="B797" s="37"/>
      <c r="C797" s="37"/>
      <c r="D797" s="37"/>
      <c r="E797" s="37"/>
      <c r="F797" s="37"/>
    </row>
    <row r="798" spans="1:6" ht="16.5" x14ac:dyDescent="0.3">
      <c r="A798" s="37"/>
      <c r="B798" s="37"/>
      <c r="C798" s="37"/>
      <c r="D798" s="37"/>
      <c r="E798" s="37"/>
      <c r="F798" s="37"/>
    </row>
    <row r="799" spans="1:6" ht="16.5" x14ac:dyDescent="0.3">
      <c r="A799" s="37"/>
      <c r="B799" s="37"/>
      <c r="C799" s="37"/>
      <c r="D799" s="37"/>
      <c r="E799" s="37"/>
      <c r="F799" s="37"/>
    </row>
    <row r="800" spans="1:6" ht="16.5" x14ac:dyDescent="0.3">
      <c r="A800" s="37"/>
      <c r="B800" s="37"/>
      <c r="C800" s="37"/>
      <c r="D800" s="37"/>
      <c r="E800" s="37"/>
      <c r="F800" s="37"/>
    </row>
    <row r="801" spans="1:6" ht="16.5" x14ac:dyDescent="0.3">
      <c r="A801" s="37"/>
      <c r="B801" s="37"/>
      <c r="C801" s="37"/>
      <c r="D801" s="37"/>
      <c r="E801" s="37"/>
      <c r="F801" s="37"/>
    </row>
    <row r="802" spans="1:6" ht="16.5" x14ac:dyDescent="0.3">
      <c r="A802" s="37"/>
      <c r="B802" s="37"/>
      <c r="C802" s="37"/>
      <c r="D802" s="37"/>
      <c r="E802" s="37"/>
      <c r="F802" s="37"/>
    </row>
    <row r="803" spans="1:6" ht="16.5" x14ac:dyDescent="0.3">
      <c r="A803" s="37"/>
      <c r="B803" s="37"/>
      <c r="C803" s="37"/>
      <c r="D803" s="37"/>
      <c r="E803" s="37"/>
      <c r="F803" s="37"/>
    </row>
    <row r="804" spans="1:6" ht="16.5" x14ac:dyDescent="0.3">
      <c r="A804" s="37"/>
      <c r="B804" s="37"/>
      <c r="C804" s="37"/>
      <c r="D804" s="37"/>
      <c r="E804" s="37"/>
      <c r="F804" s="37"/>
    </row>
    <row r="805" spans="1:6" ht="16.5" x14ac:dyDescent="0.3">
      <c r="A805" s="37"/>
      <c r="B805" s="37"/>
      <c r="C805" s="37"/>
      <c r="D805" s="37"/>
      <c r="E805" s="37"/>
      <c r="F805" s="37"/>
    </row>
    <row r="806" spans="1:6" ht="16.5" x14ac:dyDescent="0.3">
      <c r="A806" s="37"/>
      <c r="B806" s="37"/>
      <c r="C806" s="37"/>
      <c r="D806" s="37"/>
      <c r="E806" s="37"/>
      <c r="F806" s="37"/>
    </row>
    <row r="807" spans="1:6" ht="16.5" x14ac:dyDescent="0.3">
      <c r="A807" s="37"/>
      <c r="B807" s="37"/>
      <c r="C807" s="37"/>
      <c r="D807" s="37"/>
      <c r="E807" s="37"/>
      <c r="F807" s="37"/>
    </row>
    <row r="808" spans="1:6" ht="16.5" x14ac:dyDescent="0.3">
      <c r="A808" s="37"/>
      <c r="B808" s="37"/>
      <c r="C808" s="37"/>
      <c r="D808" s="37"/>
      <c r="E808" s="37"/>
      <c r="F808" s="37"/>
    </row>
    <row r="809" spans="1:6" ht="16.5" x14ac:dyDescent="0.3">
      <c r="A809" s="37"/>
      <c r="B809" s="37"/>
      <c r="C809" s="37"/>
      <c r="D809" s="37"/>
      <c r="E809" s="37"/>
      <c r="F809" s="37"/>
    </row>
    <row r="810" spans="1:6" ht="16.5" x14ac:dyDescent="0.3">
      <c r="A810" s="37"/>
      <c r="B810" s="37"/>
      <c r="C810" s="37"/>
      <c r="D810" s="37"/>
      <c r="E810" s="37"/>
      <c r="F810" s="37"/>
    </row>
    <row r="811" spans="1:6" ht="16.5" x14ac:dyDescent="0.3">
      <c r="A811" s="37"/>
      <c r="B811" s="37"/>
      <c r="C811" s="37"/>
      <c r="D811" s="37"/>
      <c r="E811" s="37"/>
      <c r="F811" s="37"/>
    </row>
    <row r="812" spans="1:6" ht="16.5" x14ac:dyDescent="0.3">
      <c r="A812" s="37"/>
      <c r="B812" s="37"/>
      <c r="C812" s="37"/>
      <c r="D812" s="37"/>
      <c r="E812" s="37"/>
      <c r="F812" s="37"/>
    </row>
    <row r="813" spans="1:6" ht="16.5" x14ac:dyDescent="0.3">
      <c r="A813" s="37"/>
      <c r="B813" s="37"/>
      <c r="C813" s="37"/>
      <c r="D813" s="37"/>
      <c r="E813" s="37"/>
      <c r="F813" s="37"/>
    </row>
    <row r="814" spans="1:6" ht="16.5" x14ac:dyDescent="0.3">
      <c r="A814" s="37"/>
      <c r="B814" s="37"/>
      <c r="C814" s="37"/>
      <c r="D814" s="37"/>
      <c r="E814" s="37"/>
      <c r="F814" s="37"/>
    </row>
    <row r="815" spans="1:6" ht="16.5" x14ac:dyDescent="0.3">
      <c r="A815" s="37"/>
      <c r="B815" s="37"/>
      <c r="C815" s="37"/>
      <c r="D815" s="37"/>
      <c r="E815" s="37"/>
      <c r="F815" s="37"/>
    </row>
    <row r="816" spans="1:6" ht="16.5" x14ac:dyDescent="0.3">
      <c r="A816" s="37"/>
      <c r="B816" s="37"/>
      <c r="C816" s="37"/>
      <c r="D816" s="37"/>
      <c r="E816" s="37"/>
      <c r="F816" s="37"/>
    </row>
    <row r="817" spans="1:6" ht="16.5" x14ac:dyDescent="0.3">
      <c r="A817" s="37"/>
      <c r="B817" s="37"/>
      <c r="C817" s="37"/>
      <c r="D817" s="37"/>
      <c r="E817" s="37"/>
      <c r="F817" s="37"/>
    </row>
    <row r="818" spans="1:6" ht="16.5" x14ac:dyDescent="0.3">
      <c r="A818" s="37"/>
      <c r="B818" s="37"/>
      <c r="C818" s="37"/>
      <c r="D818" s="37"/>
      <c r="E818" s="37"/>
      <c r="F818" s="37"/>
    </row>
    <row r="819" spans="1:6" ht="16.5" x14ac:dyDescent="0.3">
      <c r="A819" s="37"/>
      <c r="B819" s="37"/>
      <c r="C819" s="37"/>
      <c r="D819" s="37"/>
      <c r="E819" s="37"/>
      <c r="F819" s="37"/>
    </row>
    <row r="820" spans="1:6" ht="16.5" x14ac:dyDescent="0.3">
      <c r="A820" s="37"/>
      <c r="B820" s="37"/>
      <c r="C820" s="37"/>
      <c r="D820" s="37"/>
      <c r="E820" s="37"/>
      <c r="F820" s="37"/>
    </row>
    <row r="821" spans="1:6" ht="16.5" x14ac:dyDescent="0.3">
      <c r="A821" s="37"/>
      <c r="B821" s="37"/>
      <c r="C821" s="37"/>
      <c r="D821" s="37"/>
      <c r="E821" s="37"/>
      <c r="F821" s="37"/>
    </row>
    <row r="822" spans="1:6" ht="16.5" x14ac:dyDescent="0.3">
      <c r="A822" s="37"/>
      <c r="B822" s="37"/>
      <c r="C822" s="37"/>
      <c r="D822" s="37"/>
      <c r="E822" s="37"/>
      <c r="F822" s="37"/>
    </row>
    <row r="823" spans="1:6" ht="16.5" x14ac:dyDescent="0.3">
      <c r="A823" s="37"/>
      <c r="B823" s="37"/>
      <c r="C823" s="37"/>
      <c r="D823" s="37"/>
      <c r="E823" s="37"/>
      <c r="F823" s="37"/>
    </row>
    <row r="824" spans="1:6" ht="16.5" x14ac:dyDescent="0.3">
      <c r="A824" s="37"/>
      <c r="B824" s="37"/>
      <c r="C824" s="37"/>
      <c r="D824" s="37"/>
      <c r="E824" s="37"/>
      <c r="F824" s="37"/>
    </row>
    <row r="825" spans="1:6" ht="16.5" x14ac:dyDescent="0.3">
      <c r="A825" s="37"/>
      <c r="B825" s="37"/>
      <c r="C825" s="37"/>
      <c r="D825" s="37"/>
      <c r="E825" s="37"/>
      <c r="F825" s="37"/>
    </row>
    <row r="826" spans="1:6" ht="16.5" x14ac:dyDescent="0.3">
      <c r="A826" s="37"/>
      <c r="B826" s="37"/>
      <c r="C826" s="37"/>
      <c r="D826" s="37"/>
      <c r="E826" s="37"/>
      <c r="F826" s="37"/>
    </row>
    <row r="827" spans="1:6" ht="16.5" x14ac:dyDescent="0.3">
      <c r="A827" s="37"/>
      <c r="B827" s="37"/>
      <c r="C827" s="37"/>
      <c r="D827" s="37"/>
      <c r="E827" s="37"/>
      <c r="F827" s="37"/>
    </row>
    <row r="828" spans="1:6" ht="16.5" x14ac:dyDescent="0.3">
      <c r="A828" s="37"/>
      <c r="B828" s="37"/>
      <c r="C828" s="37"/>
      <c r="D828" s="37"/>
      <c r="E828" s="37"/>
      <c r="F828" s="37"/>
    </row>
    <row r="829" spans="1:6" ht="16.5" x14ac:dyDescent="0.3">
      <c r="A829" s="37"/>
      <c r="B829" s="37"/>
      <c r="C829" s="37"/>
      <c r="D829" s="37"/>
      <c r="E829" s="37"/>
      <c r="F829" s="37"/>
    </row>
    <row r="830" spans="1:6" ht="16.5" x14ac:dyDescent="0.3">
      <c r="A830" s="37"/>
      <c r="B830" s="37"/>
      <c r="C830" s="37"/>
      <c r="D830" s="37"/>
      <c r="E830" s="37"/>
      <c r="F830" s="37"/>
    </row>
    <row r="831" spans="1:6" ht="16.5" x14ac:dyDescent="0.3">
      <c r="A831" s="37"/>
      <c r="B831" s="37"/>
      <c r="C831" s="37"/>
      <c r="D831" s="37"/>
      <c r="E831" s="37"/>
      <c r="F831" s="37"/>
    </row>
    <row r="832" spans="1:6" ht="16.5" x14ac:dyDescent="0.3">
      <c r="A832" s="37"/>
      <c r="B832" s="37"/>
      <c r="C832" s="37"/>
      <c r="D832" s="37"/>
      <c r="E832" s="37"/>
      <c r="F832" s="37"/>
    </row>
    <row r="833" spans="1:6" ht="16.5" x14ac:dyDescent="0.3">
      <c r="A833" s="37"/>
      <c r="B833" s="37"/>
      <c r="C833" s="37"/>
      <c r="D833" s="37"/>
      <c r="E833" s="37"/>
      <c r="F833" s="37"/>
    </row>
    <row r="834" spans="1:6" ht="16.5" x14ac:dyDescent="0.3">
      <c r="A834" s="37"/>
      <c r="B834" s="37"/>
      <c r="C834" s="37"/>
      <c r="D834" s="37"/>
      <c r="E834" s="37"/>
      <c r="F834" s="37"/>
    </row>
    <row r="835" spans="1:6" ht="16.5" x14ac:dyDescent="0.3">
      <c r="A835" s="37"/>
      <c r="B835" s="37"/>
      <c r="C835" s="37"/>
      <c r="D835" s="37"/>
      <c r="E835" s="37"/>
      <c r="F835" s="37"/>
    </row>
    <row r="836" spans="1:6" ht="16.5" x14ac:dyDescent="0.3">
      <c r="A836" s="37"/>
      <c r="B836" s="37"/>
      <c r="C836" s="37"/>
      <c r="D836" s="37"/>
      <c r="E836" s="37"/>
      <c r="F836" s="37"/>
    </row>
    <row r="837" spans="1:6" ht="16.5" x14ac:dyDescent="0.3">
      <c r="A837" s="37"/>
      <c r="B837" s="37"/>
      <c r="C837" s="37"/>
      <c r="D837" s="37"/>
      <c r="E837" s="37"/>
      <c r="F837" s="37"/>
    </row>
    <row r="838" spans="1:6" ht="16.5" x14ac:dyDescent="0.3">
      <c r="A838" s="37"/>
      <c r="B838" s="37"/>
      <c r="C838" s="37"/>
      <c r="D838" s="37"/>
      <c r="E838" s="37"/>
      <c r="F838" s="37"/>
    </row>
    <row r="839" spans="1:6" ht="16.5" x14ac:dyDescent="0.3">
      <c r="A839" s="37"/>
      <c r="B839" s="37"/>
      <c r="C839" s="37"/>
      <c r="D839" s="37"/>
      <c r="E839" s="37"/>
      <c r="F839" s="37"/>
    </row>
    <row r="840" spans="1:6" ht="16.5" x14ac:dyDescent="0.3">
      <c r="A840" s="37"/>
      <c r="B840" s="37"/>
      <c r="C840" s="37"/>
      <c r="D840" s="37"/>
      <c r="E840" s="37"/>
      <c r="F840" s="37"/>
    </row>
    <row r="841" spans="1:6" ht="16.5" x14ac:dyDescent="0.3">
      <c r="A841" s="37"/>
      <c r="B841" s="37"/>
      <c r="C841" s="37"/>
      <c r="D841" s="37"/>
      <c r="E841" s="37"/>
      <c r="F841" s="37"/>
    </row>
    <row r="842" spans="1:6" ht="16.5" x14ac:dyDescent="0.3">
      <c r="A842" s="37"/>
      <c r="B842" s="37"/>
      <c r="C842" s="37"/>
      <c r="D842" s="37"/>
      <c r="E842" s="37"/>
      <c r="F842" s="37"/>
    </row>
    <row r="843" spans="1:6" ht="16.5" x14ac:dyDescent="0.3">
      <c r="A843" s="37"/>
      <c r="B843" s="37"/>
      <c r="C843" s="37"/>
      <c r="D843" s="37"/>
      <c r="E843" s="37"/>
      <c r="F843" s="37"/>
    </row>
    <row r="844" spans="1:6" ht="16.5" x14ac:dyDescent="0.3">
      <c r="A844" s="37"/>
      <c r="B844" s="37"/>
      <c r="C844" s="37"/>
      <c r="D844" s="37"/>
      <c r="E844" s="37"/>
      <c r="F844" s="37"/>
    </row>
    <row r="845" spans="1:6" ht="16.5" x14ac:dyDescent="0.3">
      <c r="A845" s="37"/>
      <c r="B845" s="37"/>
      <c r="C845" s="37"/>
      <c r="D845" s="37"/>
      <c r="E845" s="37"/>
      <c r="F845" s="37"/>
    </row>
    <row r="846" spans="1:6" ht="16.5" x14ac:dyDescent="0.3">
      <c r="A846" s="37"/>
      <c r="B846" s="37"/>
      <c r="C846" s="37"/>
      <c r="D846" s="37"/>
      <c r="E846" s="37"/>
      <c r="F846" s="37"/>
    </row>
    <row r="847" spans="1:6" ht="16.5" x14ac:dyDescent="0.3">
      <c r="A847" s="37"/>
      <c r="B847" s="37"/>
      <c r="C847" s="37"/>
      <c r="D847" s="37"/>
      <c r="E847" s="37"/>
      <c r="F847" s="37"/>
    </row>
    <row r="848" spans="1:6" ht="16.5" x14ac:dyDescent="0.3">
      <c r="A848" s="37"/>
      <c r="B848" s="37"/>
      <c r="C848" s="37"/>
      <c r="D848" s="37"/>
      <c r="E848" s="37"/>
      <c r="F848" s="37"/>
    </row>
    <row r="849" spans="1:6" ht="16.5" x14ac:dyDescent="0.3">
      <c r="A849" s="37"/>
      <c r="B849" s="37"/>
      <c r="C849" s="37"/>
      <c r="D849" s="37"/>
      <c r="E849" s="37"/>
      <c r="F849" s="37"/>
    </row>
    <row r="850" spans="1:6" ht="16.5" x14ac:dyDescent="0.3">
      <c r="A850" s="37"/>
      <c r="B850" s="37"/>
      <c r="C850" s="37"/>
      <c r="D850" s="37"/>
      <c r="E850" s="37"/>
      <c r="F850" s="37"/>
    </row>
    <row r="851" spans="1:6" ht="16.5" x14ac:dyDescent="0.3">
      <c r="A851" s="37"/>
      <c r="B851" s="37"/>
      <c r="C851" s="37"/>
      <c r="D851" s="37"/>
      <c r="E851" s="37"/>
      <c r="F851" s="37"/>
    </row>
    <row r="852" spans="1:6" ht="16.5" x14ac:dyDescent="0.3">
      <c r="A852" s="37"/>
      <c r="B852" s="37"/>
      <c r="C852" s="37"/>
      <c r="D852" s="37"/>
      <c r="E852" s="37"/>
      <c r="F852" s="37"/>
    </row>
    <row r="853" spans="1:6" ht="16.5" x14ac:dyDescent="0.3">
      <c r="A853" s="37"/>
      <c r="B853" s="37"/>
      <c r="C853" s="37"/>
      <c r="D853" s="37"/>
      <c r="E853" s="37"/>
      <c r="F853" s="37"/>
    </row>
    <row r="854" spans="1:6" ht="16.5" x14ac:dyDescent="0.3">
      <c r="A854" s="37"/>
      <c r="B854" s="37"/>
      <c r="C854" s="37"/>
      <c r="D854" s="37"/>
      <c r="E854" s="37"/>
      <c r="F854" s="37"/>
    </row>
    <row r="855" spans="1:6" ht="16.5" x14ac:dyDescent="0.3">
      <c r="A855" s="37"/>
      <c r="B855" s="37"/>
      <c r="C855" s="37"/>
      <c r="D855" s="37"/>
      <c r="E855" s="37"/>
      <c r="F855" s="37"/>
    </row>
    <row r="856" spans="1:6" ht="16.5" x14ac:dyDescent="0.3">
      <c r="A856" s="37"/>
      <c r="B856" s="37"/>
      <c r="C856" s="37"/>
      <c r="D856" s="37"/>
      <c r="E856" s="37"/>
      <c r="F856" s="37"/>
    </row>
    <row r="857" spans="1:6" ht="16.5" x14ac:dyDescent="0.3">
      <c r="A857" s="37"/>
      <c r="B857" s="37"/>
      <c r="C857" s="37"/>
      <c r="D857" s="37"/>
      <c r="E857" s="37"/>
      <c r="F857" s="37"/>
    </row>
    <row r="858" spans="1:6" ht="16.5" x14ac:dyDescent="0.3">
      <c r="A858" s="37"/>
      <c r="B858" s="37"/>
      <c r="C858" s="37"/>
      <c r="D858" s="37"/>
      <c r="E858" s="37"/>
      <c r="F858" s="37"/>
    </row>
    <row r="859" spans="1:6" ht="16.5" x14ac:dyDescent="0.3">
      <c r="A859" s="37"/>
      <c r="B859" s="37"/>
      <c r="C859" s="37"/>
      <c r="D859" s="37"/>
      <c r="E859" s="37"/>
      <c r="F859" s="37"/>
    </row>
    <row r="860" spans="1:6" ht="16.5" x14ac:dyDescent="0.3">
      <c r="A860" s="37"/>
      <c r="B860" s="37"/>
      <c r="C860" s="37"/>
      <c r="D860" s="37"/>
      <c r="E860" s="37"/>
      <c r="F860" s="37"/>
    </row>
    <row r="861" spans="1:6" ht="16.5" x14ac:dyDescent="0.3">
      <c r="A861" s="37"/>
      <c r="B861" s="37"/>
      <c r="C861" s="37"/>
      <c r="D861" s="37"/>
      <c r="E861" s="37"/>
      <c r="F861" s="37"/>
    </row>
    <row r="862" spans="1:6" ht="16.5" x14ac:dyDescent="0.3">
      <c r="A862" s="37"/>
      <c r="B862" s="37"/>
      <c r="C862" s="37"/>
      <c r="D862" s="37"/>
      <c r="E862" s="37"/>
      <c r="F862" s="37"/>
    </row>
    <row r="863" spans="1:6" ht="16.5" x14ac:dyDescent="0.3">
      <c r="A863" s="37"/>
      <c r="B863" s="37"/>
      <c r="C863" s="37"/>
      <c r="D863" s="37"/>
      <c r="E863" s="37"/>
      <c r="F863" s="37"/>
    </row>
    <row r="864" spans="1:6" ht="16.5" x14ac:dyDescent="0.3">
      <c r="A864" s="37"/>
      <c r="B864" s="37"/>
      <c r="C864" s="37"/>
      <c r="D864" s="37"/>
      <c r="E864" s="37"/>
      <c r="F864" s="37"/>
    </row>
    <row r="865" spans="1:6" ht="16.5" x14ac:dyDescent="0.3">
      <c r="A865" s="37"/>
      <c r="B865" s="37"/>
      <c r="C865" s="37"/>
      <c r="D865" s="37"/>
      <c r="E865" s="37"/>
      <c r="F865" s="37"/>
    </row>
    <row r="866" spans="1:6" ht="16.5" x14ac:dyDescent="0.3">
      <c r="A866" s="37"/>
      <c r="B866" s="37"/>
      <c r="C866" s="37"/>
      <c r="D866" s="37"/>
      <c r="E866" s="37"/>
      <c r="F866" s="37"/>
    </row>
    <row r="867" spans="1:6" ht="16.5" x14ac:dyDescent="0.3">
      <c r="A867" s="37"/>
      <c r="B867" s="37"/>
      <c r="C867" s="37"/>
      <c r="D867" s="37"/>
      <c r="E867" s="37"/>
      <c r="F867" s="37"/>
    </row>
    <row r="868" spans="1:6" ht="16.5" x14ac:dyDescent="0.3">
      <c r="A868" s="37"/>
      <c r="B868" s="37"/>
      <c r="C868" s="37"/>
      <c r="D868" s="37"/>
      <c r="E868" s="37"/>
      <c r="F868" s="37"/>
    </row>
    <row r="869" spans="1:6" ht="16.5" x14ac:dyDescent="0.3">
      <c r="A869" s="37"/>
      <c r="B869" s="37"/>
      <c r="C869" s="37"/>
      <c r="D869" s="37"/>
      <c r="E869" s="37"/>
      <c r="F869" s="37"/>
    </row>
    <row r="870" spans="1:6" ht="16.5" x14ac:dyDescent="0.3">
      <c r="A870" s="37"/>
      <c r="B870" s="37"/>
      <c r="C870" s="37"/>
      <c r="D870" s="37"/>
      <c r="E870" s="37"/>
      <c r="F870" s="37"/>
    </row>
    <row r="871" spans="1:6" ht="16.5" x14ac:dyDescent="0.3">
      <c r="A871" s="37"/>
      <c r="B871" s="37"/>
      <c r="C871" s="37"/>
      <c r="D871" s="37"/>
      <c r="E871" s="37"/>
      <c r="F871" s="37"/>
    </row>
    <row r="872" spans="1:6" ht="16.5" x14ac:dyDescent="0.3">
      <c r="A872" s="37"/>
      <c r="B872" s="37"/>
      <c r="C872" s="37"/>
      <c r="D872" s="37"/>
      <c r="E872" s="37"/>
      <c r="F872" s="37"/>
    </row>
    <row r="873" spans="1:6" ht="16.5" x14ac:dyDescent="0.3">
      <c r="A873" s="37"/>
      <c r="B873" s="37"/>
      <c r="C873" s="37"/>
      <c r="D873" s="37"/>
      <c r="E873" s="37"/>
      <c r="F873" s="37"/>
    </row>
    <row r="874" spans="1:6" ht="16.5" x14ac:dyDescent="0.3">
      <c r="A874" s="37"/>
      <c r="B874" s="37"/>
      <c r="C874" s="37"/>
      <c r="D874" s="37"/>
      <c r="E874" s="37"/>
      <c r="F874" s="37"/>
    </row>
    <row r="875" spans="1:6" ht="16.5" x14ac:dyDescent="0.3">
      <c r="A875" s="37"/>
      <c r="B875" s="37"/>
      <c r="C875" s="37"/>
      <c r="D875" s="37"/>
      <c r="E875" s="37"/>
      <c r="F875" s="37"/>
    </row>
    <row r="876" spans="1:6" ht="16.5" x14ac:dyDescent="0.3">
      <c r="A876" s="37"/>
      <c r="B876" s="37"/>
      <c r="C876" s="37"/>
      <c r="D876" s="37"/>
      <c r="E876" s="37"/>
      <c r="F876" s="37"/>
    </row>
    <row r="877" spans="1:6" ht="16.5" x14ac:dyDescent="0.3">
      <c r="A877" s="37"/>
      <c r="B877" s="37"/>
      <c r="C877" s="37"/>
      <c r="D877" s="37"/>
      <c r="E877" s="37"/>
      <c r="F877" s="37"/>
    </row>
    <row r="878" spans="1:6" ht="16.5" x14ac:dyDescent="0.3">
      <c r="A878" s="37"/>
      <c r="B878" s="37"/>
      <c r="C878" s="37"/>
      <c r="D878" s="37"/>
      <c r="E878" s="37"/>
      <c r="F878" s="37"/>
    </row>
    <row r="879" spans="1:6" ht="16.5" x14ac:dyDescent="0.3">
      <c r="A879" s="37"/>
      <c r="B879" s="37"/>
      <c r="C879" s="37"/>
      <c r="D879" s="37"/>
      <c r="E879" s="37"/>
      <c r="F879" s="37"/>
    </row>
    <row r="880" spans="1:6" ht="16.5" x14ac:dyDescent="0.3">
      <c r="A880" s="37"/>
      <c r="B880" s="37"/>
      <c r="C880" s="37"/>
      <c r="D880" s="37"/>
      <c r="E880" s="37"/>
      <c r="F880" s="37"/>
    </row>
    <row r="881" spans="1:6" ht="16.5" x14ac:dyDescent="0.3">
      <c r="A881" s="37"/>
      <c r="B881" s="37"/>
      <c r="C881" s="37"/>
      <c r="D881" s="37"/>
      <c r="E881" s="37"/>
      <c r="F881" s="37"/>
    </row>
    <row r="882" spans="1:6" ht="16.5" x14ac:dyDescent="0.3">
      <c r="A882" s="37"/>
      <c r="B882" s="37"/>
      <c r="C882" s="37"/>
      <c r="D882" s="37"/>
      <c r="E882" s="37"/>
      <c r="F882" s="37"/>
    </row>
    <row r="883" spans="1:6" ht="16.5" x14ac:dyDescent="0.3">
      <c r="A883" s="37"/>
      <c r="B883" s="37"/>
      <c r="C883" s="37"/>
      <c r="D883" s="37"/>
      <c r="E883" s="37"/>
      <c r="F883" s="37"/>
    </row>
    <row r="884" spans="1:6" ht="16.5" x14ac:dyDescent="0.3">
      <c r="A884" s="37"/>
      <c r="B884" s="37"/>
      <c r="C884" s="37"/>
      <c r="D884" s="37"/>
      <c r="E884" s="37"/>
      <c r="F884" s="37"/>
    </row>
    <row r="885" spans="1:6" ht="16.5" x14ac:dyDescent="0.3">
      <c r="A885" s="37"/>
      <c r="B885" s="37"/>
      <c r="C885" s="37"/>
      <c r="D885" s="37"/>
      <c r="E885" s="37"/>
      <c r="F885" s="37"/>
    </row>
    <row r="886" spans="1:6" ht="16.5" x14ac:dyDescent="0.3">
      <c r="A886" s="37"/>
      <c r="B886" s="37"/>
      <c r="C886" s="37"/>
      <c r="D886" s="37"/>
      <c r="E886" s="37"/>
      <c r="F886" s="37"/>
    </row>
    <row r="887" spans="1:6" ht="16.5" x14ac:dyDescent="0.3">
      <c r="A887" s="37"/>
      <c r="B887" s="37"/>
      <c r="C887" s="37"/>
      <c r="D887" s="37"/>
      <c r="E887" s="37"/>
      <c r="F887" s="37"/>
    </row>
    <row r="888" spans="1:6" ht="16.5" x14ac:dyDescent="0.3">
      <c r="A888" s="37"/>
      <c r="B888" s="37"/>
      <c r="C888" s="37"/>
      <c r="D888" s="37"/>
      <c r="E888" s="37"/>
      <c r="F888" s="37"/>
    </row>
    <row r="889" spans="1:6" ht="16.5" x14ac:dyDescent="0.3">
      <c r="A889" s="37"/>
      <c r="B889" s="37"/>
      <c r="C889" s="37"/>
      <c r="D889" s="37"/>
      <c r="E889" s="37"/>
      <c r="F889" s="37"/>
    </row>
    <row r="890" spans="1:6" ht="16.5" x14ac:dyDescent="0.3">
      <c r="A890" s="37"/>
      <c r="B890" s="37"/>
      <c r="C890" s="37"/>
      <c r="D890" s="37"/>
      <c r="E890" s="37"/>
      <c r="F890" s="37"/>
    </row>
    <row r="891" spans="1:6" ht="16.5" x14ac:dyDescent="0.3">
      <c r="A891" s="37"/>
      <c r="B891" s="37"/>
      <c r="C891" s="37"/>
      <c r="D891" s="37"/>
      <c r="E891" s="37"/>
      <c r="F891" s="37"/>
    </row>
    <row r="892" spans="1:6" ht="16.5" x14ac:dyDescent="0.3">
      <c r="A892" s="37"/>
      <c r="B892" s="37"/>
      <c r="C892" s="37"/>
      <c r="D892" s="37"/>
      <c r="E892" s="37"/>
      <c r="F892" s="37"/>
    </row>
    <row r="893" spans="1:6" ht="16.5" x14ac:dyDescent="0.3">
      <c r="A893" s="37"/>
      <c r="B893" s="37"/>
      <c r="C893" s="37"/>
      <c r="D893" s="37"/>
      <c r="E893" s="37"/>
      <c r="F893" s="37"/>
    </row>
    <row r="894" spans="1:6" ht="16.5" x14ac:dyDescent="0.3">
      <c r="A894" s="37"/>
      <c r="B894" s="37"/>
      <c r="C894" s="37"/>
      <c r="D894" s="37"/>
      <c r="E894" s="37"/>
      <c r="F894" s="37"/>
    </row>
    <row r="895" spans="1:6" ht="16.5" x14ac:dyDescent="0.3">
      <c r="A895" s="37"/>
      <c r="B895" s="37"/>
      <c r="C895" s="37"/>
      <c r="D895" s="37"/>
      <c r="E895" s="37"/>
      <c r="F895" s="37"/>
    </row>
    <row r="896" spans="1:6" ht="16.5" x14ac:dyDescent="0.3">
      <c r="A896" s="37"/>
      <c r="B896" s="37"/>
      <c r="C896" s="37"/>
      <c r="D896" s="37"/>
      <c r="E896" s="37"/>
      <c r="F896" s="37"/>
    </row>
    <row r="897" spans="1:6" ht="16.5" x14ac:dyDescent="0.3">
      <c r="A897" s="37"/>
      <c r="B897" s="37"/>
      <c r="C897" s="37"/>
      <c r="D897" s="37"/>
      <c r="E897" s="37"/>
      <c r="F897" s="37"/>
    </row>
    <row r="898" spans="1:6" ht="16.5" x14ac:dyDescent="0.3">
      <c r="A898" s="37"/>
      <c r="B898" s="37"/>
      <c r="C898" s="37"/>
      <c r="D898" s="37"/>
      <c r="E898" s="37"/>
      <c r="F898" s="37"/>
    </row>
    <row r="899" spans="1:6" ht="16.5" x14ac:dyDescent="0.3">
      <c r="A899" s="37"/>
      <c r="B899" s="37"/>
      <c r="C899" s="37"/>
      <c r="D899" s="37"/>
      <c r="E899" s="37"/>
      <c r="F899" s="37"/>
    </row>
    <row r="900" spans="1:6" ht="16.5" x14ac:dyDescent="0.3">
      <c r="A900" s="37"/>
      <c r="B900" s="37"/>
      <c r="C900" s="37"/>
      <c r="D900" s="37"/>
      <c r="E900" s="37"/>
      <c r="F900" s="37"/>
    </row>
    <row r="901" spans="1:6" ht="16.5" x14ac:dyDescent="0.3">
      <c r="A901" s="37"/>
      <c r="B901" s="37"/>
      <c r="C901" s="37"/>
      <c r="D901" s="37"/>
      <c r="E901" s="37"/>
      <c r="F901" s="37"/>
    </row>
    <row r="902" spans="1:6" ht="16.5" x14ac:dyDescent="0.3">
      <c r="A902" s="37"/>
      <c r="B902" s="37"/>
      <c r="C902" s="37"/>
      <c r="D902" s="37"/>
      <c r="E902" s="37"/>
      <c r="F902" s="37"/>
    </row>
    <row r="903" spans="1:6" ht="16.5" x14ac:dyDescent="0.3">
      <c r="A903" s="37"/>
      <c r="B903" s="37"/>
      <c r="C903" s="37"/>
      <c r="D903" s="37"/>
      <c r="E903" s="37"/>
      <c r="F903" s="37"/>
    </row>
    <row r="904" spans="1:6" ht="16.5" x14ac:dyDescent="0.3">
      <c r="A904" s="37"/>
      <c r="B904" s="37"/>
      <c r="C904" s="37"/>
      <c r="D904" s="37"/>
      <c r="E904" s="37"/>
      <c r="F904" s="37"/>
    </row>
    <row r="905" spans="1:6" ht="16.5" x14ac:dyDescent="0.3">
      <c r="A905" s="37"/>
      <c r="B905" s="37"/>
      <c r="C905" s="37"/>
      <c r="D905" s="37"/>
      <c r="E905" s="37"/>
      <c r="F905" s="37"/>
    </row>
    <row r="906" spans="1:6" ht="16.5" x14ac:dyDescent="0.3">
      <c r="A906" s="37"/>
      <c r="B906" s="37"/>
      <c r="C906" s="37"/>
      <c r="D906" s="37"/>
      <c r="E906" s="37"/>
      <c r="F906" s="37"/>
    </row>
    <row r="907" spans="1:6" ht="16.5" x14ac:dyDescent="0.3">
      <c r="A907" s="37"/>
      <c r="B907" s="37"/>
      <c r="C907" s="37"/>
      <c r="D907" s="37"/>
      <c r="E907" s="37"/>
      <c r="F907" s="37"/>
    </row>
    <row r="908" spans="1:6" ht="16.5" x14ac:dyDescent="0.3">
      <c r="A908" s="37"/>
      <c r="B908" s="37"/>
      <c r="C908" s="37"/>
      <c r="D908" s="37"/>
      <c r="E908" s="37"/>
      <c r="F908" s="37"/>
    </row>
    <row r="909" spans="1:6" ht="16.5" x14ac:dyDescent="0.3">
      <c r="A909" s="37"/>
      <c r="B909" s="37"/>
      <c r="C909" s="37"/>
      <c r="D909" s="37"/>
      <c r="E909" s="37"/>
      <c r="F909" s="37"/>
    </row>
    <row r="910" spans="1:6" ht="16.5" x14ac:dyDescent="0.3">
      <c r="A910" s="37"/>
      <c r="B910" s="37"/>
      <c r="C910" s="37"/>
      <c r="D910" s="37"/>
      <c r="E910" s="37"/>
      <c r="F910" s="37"/>
    </row>
    <row r="911" spans="1:6" ht="16.5" x14ac:dyDescent="0.3">
      <c r="A911" s="37"/>
      <c r="B911" s="37"/>
      <c r="C911" s="37"/>
      <c r="D911" s="37"/>
      <c r="E911" s="37"/>
      <c r="F911" s="37"/>
    </row>
    <row r="912" spans="1:6" ht="16.5" x14ac:dyDescent="0.3">
      <c r="A912" s="37"/>
      <c r="B912" s="37"/>
      <c r="C912" s="37"/>
      <c r="D912" s="37"/>
      <c r="E912" s="37"/>
      <c r="F912" s="37"/>
    </row>
    <row r="913" spans="1:6" ht="16.5" x14ac:dyDescent="0.3">
      <c r="A913" s="37"/>
      <c r="B913" s="37"/>
      <c r="C913" s="37"/>
      <c r="D913" s="37"/>
      <c r="E913" s="37"/>
      <c r="F913" s="37"/>
    </row>
    <row r="914" spans="1:6" ht="16.5" x14ac:dyDescent="0.3">
      <c r="A914" s="37"/>
      <c r="B914" s="37"/>
      <c r="C914" s="37"/>
      <c r="D914" s="37"/>
      <c r="E914" s="37"/>
      <c r="F914" s="37"/>
    </row>
    <row r="915" spans="1:6" ht="16.5" x14ac:dyDescent="0.3">
      <c r="A915" s="37"/>
      <c r="B915" s="37"/>
      <c r="C915" s="37"/>
      <c r="D915" s="37"/>
      <c r="E915" s="37"/>
      <c r="F915" s="37"/>
    </row>
    <row r="916" spans="1:6" ht="16.5" x14ac:dyDescent="0.3">
      <c r="A916" s="37"/>
      <c r="B916" s="37"/>
      <c r="C916" s="37"/>
      <c r="D916" s="37"/>
      <c r="E916" s="37"/>
      <c r="F916" s="37"/>
    </row>
    <row r="917" spans="1:6" ht="16.5" x14ac:dyDescent="0.3">
      <c r="A917" s="37"/>
      <c r="B917" s="37"/>
      <c r="C917" s="37"/>
      <c r="D917" s="37"/>
      <c r="E917" s="37"/>
      <c r="F917" s="37"/>
    </row>
    <row r="918" spans="1:6" ht="16.5" x14ac:dyDescent="0.3">
      <c r="A918" s="37"/>
      <c r="B918" s="37"/>
      <c r="C918" s="37"/>
      <c r="D918" s="37"/>
      <c r="E918" s="37"/>
      <c r="F918" s="37"/>
    </row>
    <row r="919" spans="1:6" ht="16.5" x14ac:dyDescent="0.3">
      <c r="A919" s="37"/>
      <c r="B919" s="37"/>
      <c r="C919" s="37"/>
      <c r="D919" s="37"/>
      <c r="E919" s="37"/>
      <c r="F919" s="37"/>
    </row>
    <row r="920" spans="1:6" ht="16.5" x14ac:dyDescent="0.3">
      <c r="A920" s="37"/>
      <c r="B920" s="37"/>
      <c r="C920" s="37"/>
      <c r="D920" s="37"/>
      <c r="E920" s="37"/>
      <c r="F920" s="37"/>
    </row>
    <row r="921" spans="1:6" ht="16.5" x14ac:dyDescent="0.3">
      <c r="A921" s="37"/>
      <c r="B921" s="37"/>
      <c r="C921" s="37"/>
      <c r="D921" s="37"/>
      <c r="E921" s="37"/>
      <c r="F921" s="37"/>
    </row>
    <row r="922" spans="1:6" ht="16.5" x14ac:dyDescent="0.3">
      <c r="A922" s="37"/>
      <c r="B922" s="37"/>
      <c r="C922" s="37"/>
      <c r="D922" s="37"/>
      <c r="E922" s="37"/>
      <c r="F922" s="37"/>
    </row>
    <row r="923" spans="1:6" ht="16.5" x14ac:dyDescent="0.3">
      <c r="A923" s="37"/>
      <c r="B923" s="37"/>
      <c r="C923" s="37"/>
      <c r="D923" s="37"/>
      <c r="E923" s="37"/>
      <c r="F923" s="37"/>
    </row>
    <row r="924" spans="1:6" ht="16.5" x14ac:dyDescent="0.3">
      <c r="A924" s="37"/>
      <c r="B924" s="37"/>
      <c r="C924" s="37"/>
      <c r="D924" s="37"/>
      <c r="E924" s="37"/>
      <c r="F924" s="37"/>
    </row>
    <row r="925" spans="1:6" ht="16.5" x14ac:dyDescent="0.3">
      <c r="A925" s="37"/>
      <c r="B925" s="37"/>
      <c r="C925" s="37"/>
      <c r="D925" s="37"/>
      <c r="E925" s="37"/>
      <c r="F925" s="37"/>
    </row>
    <row r="926" spans="1:6" ht="16.5" x14ac:dyDescent="0.3">
      <c r="A926" s="37"/>
      <c r="B926" s="37"/>
      <c r="C926" s="37"/>
      <c r="D926" s="37"/>
      <c r="E926" s="37"/>
      <c r="F926" s="37"/>
    </row>
    <row r="927" spans="1:6" ht="16.5" x14ac:dyDescent="0.3">
      <c r="A927" s="37"/>
      <c r="B927" s="37"/>
      <c r="C927" s="37"/>
      <c r="D927" s="37"/>
      <c r="E927" s="37"/>
      <c r="F927" s="37"/>
    </row>
    <row r="928" spans="1:6" ht="16.5" x14ac:dyDescent="0.3">
      <c r="A928" s="37"/>
      <c r="B928" s="37"/>
      <c r="C928" s="37"/>
      <c r="D928" s="37"/>
      <c r="E928" s="37"/>
      <c r="F928" s="37"/>
    </row>
    <row r="929" spans="1:6" ht="16.5" x14ac:dyDescent="0.3">
      <c r="A929" s="37"/>
      <c r="B929" s="37"/>
      <c r="C929" s="37"/>
      <c r="D929" s="37"/>
      <c r="E929" s="37"/>
      <c r="F929" s="37"/>
    </row>
    <row r="930" spans="1:6" ht="16.5" x14ac:dyDescent="0.3">
      <c r="A930" s="37"/>
      <c r="B930" s="37"/>
      <c r="C930" s="37"/>
      <c r="D930" s="37"/>
      <c r="E930" s="37"/>
      <c r="F930" s="37"/>
    </row>
    <row r="931" spans="1:6" ht="16.5" x14ac:dyDescent="0.3">
      <c r="A931" s="37"/>
      <c r="B931" s="37"/>
      <c r="C931" s="37"/>
      <c r="D931" s="37"/>
      <c r="E931" s="37"/>
      <c r="F931" s="37"/>
    </row>
    <row r="932" spans="1:6" ht="16.5" x14ac:dyDescent="0.3">
      <c r="A932" s="37"/>
      <c r="B932" s="37"/>
      <c r="C932" s="37"/>
      <c r="D932" s="37"/>
      <c r="E932" s="37"/>
      <c r="F932" s="37"/>
    </row>
    <row r="933" spans="1:6" ht="16.5" x14ac:dyDescent="0.3">
      <c r="A933" s="37"/>
      <c r="B933" s="37"/>
      <c r="C933" s="37"/>
      <c r="D933" s="37"/>
      <c r="E933" s="37"/>
      <c r="F933" s="37"/>
    </row>
    <row r="934" spans="1:6" ht="16.5" x14ac:dyDescent="0.3">
      <c r="A934" s="37"/>
      <c r="B934" s="37"/>
      <c r="C934" s="37"/>
      <c r="D934" s="37"/>
      <c r="E934" s="37"/>
      <c r="F934" s="37"/>
    </row>
    <row r="935" spans="1:6" ht="16.5" x14ac:dyDescent="0.3">
      <c r="A935" s="37"/>
      <c r="B935" s="37"/>
      <c r="C935" s="37"/>
      <c r="D935" s="37"/>
      <c r="E935" s="37"/>
      <c r="F935" s="37"/>
    </row>
    <row r="936" spans="1:6" ht="16.5" x14ac:dyDescent="0.3">
      <c r="A936" s="37"/>
      <c r="B936" s="37"/>
      <c r="C936" s="37"/>
      <c r="D936" s="37"/>
      <c r="E936" s="37"/>
      <c r="F936" s="37"/>
    </row>
    <row r="937" spans="1:6" ht="16.5" x14ac:dyDescent="0.3">
      <c r="A937" s="37"/>
      <c r="B937" s="37"/>
      <c r="C937" s="37"/>
      <c r="D937" s="37"/>
      <c r="E937" s="37"/>
      <c r="F937" s="37"/>
    </row>
    <row r="938" spans="1:6" ht="16.5" x14ac:dyDescent="0.3">
      <c r="A938" s="37"/>
      <c r="B938" s="37"/>
      <c r="C938" s="37"/>
      <c r="D938" s="37"/>
      <c r="E938" s="37"/>
      <c r="F938" s="37"/>
    </row>
    <row r="939" spans="1:6" ht="16.5" x14ac:dyDescent="0.3">
      <c r="A939" s="37"/>
      <c r="B939" s="37"/>
      <c r="C939" s="37"/>
      <c r="D939" s="37"/>
      <c r="E939" s="37"/>
      <c r="F939" s="37"/>
    </row>
    <row r="940" spans="1:6" ht="16.5" x14ac:dyDescent="0.3">
      <c r="A940" s="37"/>
      <c r="B940" s="37"/>
      <c r="C940" s="37"/>
      <c r="D940" s="37"/>
      <c r="E940" s="37"/>
      <c r="F940" s="37"/>
    </row>
    <row r="941" spans="1:6" ht="16.5" x14ac:dyDescent="0.3">
      <c r="A941" s="37"/>
      <c r="B941" s="37"/>
      <c r="C941" s="37"/>
      <c r="D941" s="37"/>
      <c r="E941" s="37"/>
      <c r="F941" s="37"/>
    </row>
    <row r="942" spans="1:6" ht="16.5" x14ac:dyDescent="0.3">
      <c r="A942" s="37"/>
      <c r="B942" s="37"/>
      <c r="C942" s="37"/>
      <c r="D942" s="37"/>
      <c r="E942" s="37"/>
      <c r="F942" s="37"/>
    </row>
    <row r="943" spans="1:6" ht="16.5" x14ac:dyDescent="0.3">
      <c r="A943" s="37"/>
      <c r="B943" s="37"/>
      <c r="C943" s="37"/>
      <c r="D943" s="37"/>
      <c r="E943" s="37"/>
      <c r="F943" s="37"/>
    </row>
    <row r="944" spans="1:6" ht="16.5" x14ac:dyDescent="0.3">
      <c r="A944" s="37"/>
      <c r="B944" s="37"/>
      <c r="C944" s="37"/>
      <c r="D944" s="37"/>
      <c r="E944" s="37"/>
      <c r="F944" s="37"/>
    </row>
    <row r="945" spans="1:6" ht="16.5" x14ac:dyDescent="0.3">
      <c r="A945" s="37"/>
      <c r="B945" s="37"/>
      <c r="C945" s="37"/>
      <c r="D945" s="37"/>
      <c r="E945" s="37"/>
      <c r="F945" s="37"/>
    </row>
    <row r="946" spans="1:6" ht="16.5" x14ac:dyDescent="0.3">
      <c r="A946" s="37"/>
      <c r="B946" s="37"/>
      <c r="C946" s="37"/>
      <c r="D946" s="37"/>
      <c r="E946" s="37"/>
      <c r="F946" s="37"/>
    </row>
    <row r="947" spans="1:6" ht="16.5" x14ac:dyDescent="0.3">
      <c r="A947" s="37"/>
      <c r="B947" s="37"/>
      <c r="C947" s="37"/>
      <c r="D947" s="37"/>
      <c r="E947" s="37"/>
      <c r="F947" s="37"/>
    </row>
    <row r="948" spans="1:6" ht="16.5" x14ac:dyDescent="0.3">
      <c r="A948" s="37"/>
      <c r="B948" s="37"/>
      <c r="C948" s="37"/>
      <c r="D948" s="37"/>
      <c r="E948" s="37"/>
      <c r="F948" s="37"/>
    </row>
    <row r="949" spans="1:6" ht="16.5" x14ac:dyDescent="0.3">
      <c r="A949" s="37"/>
      <c r="B949" s="37"/>
      <c r="C949" s="37"/>
      <c r="D949" s="37"/>
      <c r="E949" s="37"/>
      <c r="F949" s="37"/>
    </row>
    <row r="950" spans="1:6" ht="16.5" x14ac:dyDescent="0.3">
      <c r="A950" s="37"/>
      <c r="B950" s="37"/>
      <c r="C950" s="37"/>
      <c r="D950" s="37"/>
      <c r="E950" s="37"/>
      <c r="F950" s="37"/>
    </row>
    <row r="951" spans="1:6" ht="16.5" x14ac:dyDescent="0.3">
      <c r="A951" s="37"/>
      <c r="B951" s="37"/>
      <c r="C951" s="37"/>
      <c r="D951" s="37"/>
      <c r="E951" s="37"/>
      <c r="F951" s="37"/>
    </row>
    <row r="952" spans="1:6" ht="16.5" x14ac:dyDescent="0.3">
      <c r="A952" s="37"/>
      <c r="B952" s="37"/>
      <c r="C952" s="37"/>
      <c r="D952" s="37"/>
      <c r="E952" s="37"/>
      <c r="F952" s="37"/>
    </row>
    <row r="953" spans="1:6" ht="16.5" x14ac:dyDescent="0.3">
      <c r="A953" s="37"/>
      <c r="B953" s="37"/>
      <c r="C953" s="37"/>
      <c r="D953" s="37"/>
      <c r="E953" s="37"/>
      <c r="F953" s="37"/>
    </row>
    <row r="954" spans="1:6" ht="16.5" x14ac:dyDescent="0.3">
      <c r="A954" s="37"/>
      <c r="B954" s="37"/>
      <c r="C954" s="37"/>
      <c r="D954" s="37"/>
      <c r="E954" s="37"/>
      <c r="F954" s="37"/>
    </row>
    <row r="955" spans="1:6" ht="16.5" x14ac:dyDescent="0.3">
      <c r="A955" s="37"/>
      <c r="B955" s="37"/>
      <c r="C955" s="37"/>
      <c r="D955" s="37"/>
      <c r="E955" s="37"/>
      <c r="F955" s="37"/>
    </row>
    <row r="956" spans="1:6" ht="16.5" x14ac:dyDescent="0.3">
      <c r="A956" s="37"/>
      <c r="B956" s="37"/>
      <c r="C956" s="37"/>
      <c r="D956" s="37"/>
      <c r="E956" s="37"/>
      <c r="F956" s="37"/>
    </row>
    <row r="957" spans="1:6" ht="16.5" x14ac:dyDescent="0.3">
      <c r="A957" s="37"/>
      <c r="B957" s="37"/>
      <c r="C957" s="37"/>
      <c r="D957" s="37"/>
      <c r="E957" s="37"/>
      <c r="F957" s="37"/>
    </row>
    <row r="958" spans="1:6" ht="16.5" x14ac:dyDescent="0.3">
      <c r="A958" s="37"/>
      <c r="B958" s="37"/>
      <c r="C958" s="37"/>
      <c r="D958" s="37"/>
      <c r="E958" s="37"/>
      <c r="F958" s="37"/>
    </row>
    <row r="959" spans="1:6" ht="16.5" x14ac:dyDescent="0.3">
      <c r="A959" s="37"/>
      <c r="B959" s="37"/>
      <c r="C959" s="37"/>
      <c r="D959" s="37"/>
      <c r="E959" s="37"/>
      <c r="F959" s="37"/>
    </row>
    <row r="960" spans="1:6" ht="16.5" x14ac:dyDescent="0.3">
      <c r="A960" s="37"/>
      <c r="B960" s="37"/>
      <c r="C960" s="37"/>
      <c r="D960" s="37"/>
      <c r="E960" s="37"/>
      <c r="F960" s="37"/>
    </row>
    <row r="961" spans="1:6" ht="16.5" x14ac:dyDescent="0.3">
      <c r="A961" s="37"/>
      <c r="B961" s="37"/>
      <c r="C961" s="37"/>
      <c r="D961" s="37"/>
      <c r="E961" s="37"/>
      <c r="F961" s="37"/>
    </row>
    <row r="962" spans="1:6" ht="16.5" x14ac:dyDescent="0.3">
      <c r="A962" s="37"/>
      <c r="B962" s="37"/>
      <c r="C962" s="37"/>
      <c r="D962" s="37"/>
      <c r="E962" s="37"/>
      <c r="F962" s="37"/>
    </row>
    <row r="963" spans="1:6" ht="16.5" x14ac:dyDescent="0.3">
      <c r="A963" s="37"/>
      <c r="B963" s="37"/>
      <c r="C963" s="37"/>
      <c r="D963" s="37"/>
      <c r="E963" s="37"/>
      <c r="F963" s="37"/>
    </row>
    <row r="964" spans="1:6" ht="16.5" x14ac:dyDescent="0.3">
      <c r="A964" s="37"/>
      <c r="B964" s="37"/>
      <c r="C964" s="37"/>
      <c r="D964" s="37"/>
      <c r="E964" s="37"/>
      <c r="F964" s="37"/>
    </row>
    <row r="965" spans="1:6" ht="16.5" x14ac:dyDescent="0.3">
      <c r="A965" s="37"/>
      <c r="B965" s="37"/>
      <c r="C965" s="37"/>
      <c r="D965" s="37"/>
      <c r="E965" s="37"/>
      <c r="F965" s="37"/>
    </row>
    <row r="966" spans="1:6" ht="16.5" x14ac:dyDescent="0.3">
      <c r="A966" s="37"/>
      <c r="B966" s="37"/>
      <c r="C966" s="37"/>
      <c r="D966" s="37"/>
      <c r="E966" s="37"/>
      <c r="F966" s="37"/>
    </row>
    <row r="967" spans="1:6" ht="16.5" x14ac:dyDescent="0.3">
      <c r="A967" s="37"/>
      <c r="B967" s="37"/>
      <c r="C967" s="37"/>
      <c r="D967" s="37"/>
      <c r="E967" s="37"/>
      <c r="F967" s="37"/>
    </row>
    <row r="968" spans="1:6" ht="16.5" x14ac:dyDescent="0.3">
      <c r="A968" s="37"/>
      <c r="B968" s="37"/>
      <c r="C968" s="37"/>
      <c r="D968" s="37"/>
      <c r="E968" s="37"/>
      <c r="F968" s="37"/>
    </row>
    <row r="969" spans="1:6" ht="16.5" x14ac:dyDescent="0.3">
      <c r="A969" s="37"/>
      <c r="B969" s="37"/>
      <c r="C969" s="37"/>
      <c r="D969" s="37"/>
      <c r="E969" s="37"/>
      <c r="F969" s="37"/>
    </row>
    <row r="970" spans="1:6" ht="16.5" x14ac:dyDescent="0.3">
      <c r="A970" s="37"/>
      <c r="B970" s="37"/>
      <c r="C970" s="37"/>
      <c r="D970" s="37"/>
      <c r="E970" s="37"/>
      <c r="F970" s="37"/>
    </row>
    <row r="971" spans="1:6" ht="16.5" x14ac:dyDescent="0.3">
      <c r="A971" s="37"/>
      <c r="B971" s="37"/>
      <c r="C971" s="37"/>
      <c r="D971" s="37"/>
      <c r="E971" s="37"/>
      <c r="F971" s="37"/>
    </row>
    <row r="972" spans="1:6" ht="16.5" x14ac:dyDescent="0.3">
      <c r="A972" s="37"/>
      <c r="B972" s="37"/>
      <c r="C972" s="37"/>
      <c r="D972" s="37"/>
      <c r="E972" s="37"/>
      <c r="F972" s="37"/>
    </row>
    <row r="973" spans="1:6" ht="16.5" x14ac:dyDescent="0.3">
      <c r="A973" s="37"/>
      <c r="B973" s="37"/>
      <c r="C973" s="37"/>
      <c r="D973" s="37"/>
      <c r="E973" s="37"/>
      <c r="F973" s="37"/>
    </row>
    <row r="974" spans="1:6" ht="16.5" x14ac:dyDescent="0.3">
      <c r="A974" s="37"/>
      <c r="B974" s="37"/>
      <c r="C974" s="37"/>
      <c r="D974" s="37"/>
      <c r="E974" s="37"/>
      <c r="F974" s="37"/>
    </row>
    <row r="975" spans="1:6" ht="16.5" x14ac:dyDescent="0.3">
      <c r="A975" s="37"/>
      <c r="B975" s="37"/>
      <c r="C975" s="37"/>
      <c r="D975" s="37"/>
      <c r="E975" s="37"/>
      <c r="F975" s="37"/>
    </row>
    <row r="976" spans="1:6" ht="16.5" x14ac:dyDescent="0.3">
      <c r="A976" s="37"/>
      <c r="B976" s="37"/>
      <c r="C976" s="37"/>
      <c r="D976" s="37"/>
      <c r="E976" s="37"/>
      <c r="F976" s="37"/>
    </row>
    <row r="977" spans="1:6" ht="16.5" x14ac:dyDescent="0.3">
      <c r="A977" s="37"/>
      <c r="B977" s="37"/>
      <c r="C977" s="37"/>
      <c r="D977" s="37"/>
      <c r="E977" s="37"/>
      <c r="F977" s="37"/>
    </row>
    <row r="978" spans="1:6" ht="16.5" x14ac:dyDescent="0.3">
      <c r="A978" s="37"/>
      <c r="B978" s="37"/>
      <c r="C978" s="37"/>
      <c r="D978" s="37"/>
      <c r="E978" s="37"/>
      <c r="F978" s="37"/>
    </row>
    <row r="979" spans="1:6" ht="16.5" x14ac:dyDescent="0.3">
      <c r="A979" s="37"/>
      <c r="B979" s="37"/>
      <c r="C979" s="37"/>
      <c r="D979" s="37"/>
      <c r="E979" s="37"/>
      <c r="F979" s="37"/>
    </row>
    <row r="980" spans="1:6" ht="16.5" x14ac:dyDescent="0.3">
      <c r="A980" s="37"/>
      <c r="B980" s="37"/>
      <c r="C980" s="37"/>
      <c r="D980" s="37"/>
      <c r="E980" s="37"/>
      <c r="F980" s="37"/>
    </row>
    <row r="981" spans="1:6" ht="16.5" x14ac:dyDescent="0.3">
      <c r="A981" s="37"/>
      <c r="B981" s="37"/>
      <c r="C981" s="37"/>
      <c r="D981" s="37"/>
      <c r="E981" s="37"/>
      <c r="F981" s="37"/>
    </row>
    <row r="982" spans="1:6" ht="16.5" x14ac:dyDescent="0.3">
      <c r="A982" s="37"/>
      <c r="B982" s="37"/>
      <c r="C982" s="37"/>
      <c r="D982" s="37"/>
      <c r="E982" s="37"/>
      <c r="F982" s="37"/>
    </row>
    <row r="983" spans="1:6" ht="16.5" x14ac:dyDescent="0.3">
      <c r="A983" s="37"/>
      <c r="B983" s="37"/>
      <c r="C983" s="37"/>
      <c r="D983" s="37"/>
      <c r="E983" s="37"/>
      <c r="F983" s="37"/>
    </row>
    <row r="984" spans="1:6" ht="16.5" x14ac:dyDescent="0.3">
      <c r="A984" s="37"/>
      <c r="B984" s="37"/>
      <c r="C984" s="37"/>
      <c r="D984" s="37"/>
      <c r="E984" s="37"/>
      <c r="F984" s="37"/>
    </row>
    <row r="985" spans="1:6" ht="16.5" x14ac:dyDescent="0.3">
      <c r="A985" s="37"/>
      <c r="B985" s="37"/>
      <c r="C985" s="37"/>
      <c r="D985" s="37"/>
      <c r="E985" s="37"/>
      <c r="F985" s="37"/>
    </row>
    <row r="986" spans="1:6" ht="16.5" x14ac:dyDescent="0.3">
      <c r="A986" s="37"/>
      <c r="B986" s="37"/>
      <c r="C986" s="37"/>
      <c r="D986" s="37"/>
      <c r="E986" s="37"/>
      <c r="F986" s="37"/>
    </row>
    <row r="987" spans="1:6" ht="16.5" x14ac:dyDescent="0.3">
      <c r="A987" s="37"/>
      <c r="B987" s="37"/>
      <c r="C987" s="37"/>
      <c r="D987" s="37"/>
      <c r="E987" s="37"/>
      <c r="F987" s="37"/>
    </row>
    <row r="988" spans="1:6" ht="16.5" x14ac:dyDescent="0.3">
      <c r="A988" s="37"/>
      <c r="B988" s="37"/>
      <c r="C988" s="37"/>
      <c r="D988" s="37"/>
      <c r="E988" s="37"/>
      <c r="F988" s="37"/>
    </row>
    <row r="989" spans="1:6" ht="16.5" x14ac:dyDescent="0.3">
      <c r="A989" s="37"/>
      <c r="B989" s="37"/>
      <c r="C989" s="37"/>
      <c r="D989" s="37"/>
      <c r="E989" s="37"/>
      <c r="F989" s="37"/>
    </row>
    <row r="990" spans="1:6" ht="16.5" x14ac:dyDescent="0.3">
      <c r="A990" s="37"/>
      <c r="B990" s="37"/>
      <c r="C990" s="37"/>
      <c r="D990" s="37"/>
      <c r="E990" s="37"/>
      <c r="F990" s="37"/>
    </row>
    <row r="991" spans="1:6" ht="16.5" x14ac:dyDescent="0.3">
      <c r="A991" s="37"/>
      <c r="B991" s="37"/>
      <c r="C991" s="37"/>
      <c r="D991" s="37"/>
      <c r="E991" s="37"/>
      <c r="F991" s="37"/>
    </row>
    <row r="992" spans="1:6" ht="16.5" x14ac:dyDescent="0.3">
      <c r="A992" s="37"/>
      <c r="B992" s="37"/>
      <c r="C992" s="37"/>
      <c r="D992" s="37"/>
      <c r="E992" s="37"/>
      <c r="F992" s="37"/>
    </row>
    <row r="993" spans="1:6" ht="16.5" x14ac:dyDescent="0.3">
      <c r="A993" s="37"/>
      <c r="B993" s="37"/>
      <c r="C993" s="37"/>
      <c r="D993" s="37"/>
      <c r="E993" s="37"/>
      <c r="F993" s="37"/>
    </row>
    <row r="994" spans="1:6" ht="16.5" x14ac:dyDescent="0.3">
      <c r="A994" s="37"/>
      <c r="B994" s="37"/>
      <c r="C994" s="37"/>
      <c r="D994" s="37"/>
      <c r="E994" s="37"/>
      <c r="F994" s="37"/>
    </row>
    <row r="995" spans="1:6" ht="16.5" x14ac:dyDescent="0.3">
      <c r="A995" s="37"/>
      <c r="B995" s="37"/>
      <c r="C995" s="37"/>
      <c r="D995" s="37"/>
      <c r="E995" s="37"/>
      <c r="F995" s="37"/>
    </row>
    <row r="996" spans="1:6" ht="16.5" x14ac:dyDescent="0.3">
      <c r="A996" s="37"/>
      <c r="B996" s="37"/>
      <c r="C996" s="37"/>
      <c r="D996" s="37"/>
      <c r="E996" s="37"/>
      <c r="F996" s="37"/>
    </row>
    <row r="997" spans="1:6" ht="16.5" x14ac:dyDescent="0.3">
      <c r="A997" s="37"/>
      <c r="B997" s="37"/>
      <c r="C997" s="37"/>
      <c r="D997" s="37"/>
      <c r="E997" s="37"/>
      <c r="F997" s="37"/>
    </row>
    <row r="998" spans="1:6" ht="16.5" x14ac:dyDescent="0.3">
      <c r="A998" s="37"/>
      <c r="B998" s="37"/>
      <c r="C998" s="37"/>
      <c r="D998" s="37"/>
      <c r="E998" s="37"/>
      <c r="F998" s="37"/>
    </row>
    <row r="999" spans="1:6" ht="16.5" x14ac:dyDescent="0.3">
      <c r="A999" s="37"/>
      <c r="B999" s="37"/>
      <c r="C999" s="37"/>
      <c r="D999" s="37"/>
      <c r="E999" s="37"/>
      <c r="F999" s="37"/>
    </row>
    <row r="1000" spans="1:6" ht="16.5" x14ac:dyDescent="0.3">
      <c r="A1000" s="37"/>
      <c r="B1000" s="37"/>
      <c r="C1000" s="37"/>
      <c r="D1000" s="37"/>
      <c r="E1000" s="37"/>
      <c r="F1000" s="37"/>
    </row>
    <row r="1001" spans="1:6" ht="16.5" x14ac:dyDescent="0.3">
      <c r="A1001" s="37"/>
      <c r="B1001" s="37"/>
      <c r="C1001" s="37"/>
      <c r="D1001" s="37"/>
      <c r="E1001" s="37"/>
      <c r="F1001" s="37"/>
    </row>
    <row r="1002" spans="1:6" ht="16.5" x14ac:dyDescent="0.3">
      <c r="A1002" s="37"/>
      <c r="B1002" s="37"/>
      <c r="C1002" s="37"/>
      <c r="D1002" s="37"/>
      <c r="E1002" s="37"/>
      <c r="F1002" s="37"/>
    </row>
    <row r="1003" spans="1:6" ht="16.5" x14ac:dyDescent="0.3">
      <c r="A1003" s="37"/>
      <c r="B1003" s="37"/>
      <c r="C1003" s="37"/>
      <c r="D1003" s="37"/>
      <c r="E1003" s="37"/>
      <c r="F1003" s="37"/>
    </row>
    <row r="1004" spans="1:6" ht="16.5" x14ac:dyDescent="0.3">
      <c r="A1004" s="37"/>
      <c r="B1004" s="37"/>
      <c r="C1004" s="37"/>
      <c r="D1004" s="37"/>
      <c r="E1004" s="37"/>
      <c r="F1004" s="37"/>
    </row>
    <row r="1005" spans="1:6" ht="16.5" x14ac:dyDescent="0.3">
      <c r="A1005" s="37"/>
      <c r="B1005" s="37"/>
      <c r="C1005" s="37"/>
      <c r="D1005" s="37"/>
      <c r="E1005" s="37"/>
      <c r="F1005" s="37"/>
    </row>
    <row r="1006" spans="1:6" ht="16.5" x14ac:dyDescent="0.3">
      <c r="A1006" s="37"/>
      <c r="B1006" s="37"/>
      <c r="C1006" s="37"/>
      <c r="D1006" s="37"/>
      <c r="E1006" s="37"/>
      <c r="F1006" s="37"/>
    </row>
    <row r="1007" spans="1:6" ht="16.5" x14ac:dyDescent="0.3">
      <c r="A1007" s="37"/>
      <c r="B1007" s="37"/>
      <c r="C1007" s="37"/>
      <c r="D1007" s="37"/>
      <c r="E1007" s="37"/>
      <c r="F1007" s="37"/>
    </row>
    <row r="1008" spans="1:6" ht="16.5" x14ac:dyDescent="0.3">
      <c r="A1008" s="37"/>
      <c r="B1008" s="37"/>
      <c r="C1008" s="37"/>
      <c r="D1008" s="37"/>
      <c r="E1008" s="37"/>
      <c r="F1008" s="37"/>
    </row>
    <row r="1009" spans="1:6" ht="16.5" x14ac:dyDescent="0.3">
      <c r="A1009" s="37"/>
      <c r="B1009" s="37"/>
      <c r="C1009" s="37"/>
      <c r="D1009" s="37"/>
      <c r="E1009" s="37"/>
      <c r="F1009" s="37"/>
    </row>
    <row r="1010" spans="1:6" ht="16.5" x14ac:dyDescent="0.3">
      <c r="A1010" s="37"/>
      <c r="B1010" s="37"/>
      <c r="C1010" s="37"/>
      <c r="D1010" s="37"/>
      <c r="E1010" s="37"/>
      <c r="F1010" s="37"/>
    </row>
    <row r="1011" spans="1:6" ht="16.5" x14ac:dyDescent="0.3">
      <c r="A1011" s="37"/>
      <c r="B1011" s="37"/>
      <c r="C1011" s="37"/>
      <c r="D1011" s="37"/>
      <c r="E1011" s="37"/>
      <c r="F1011" s="37"/>
    </row>
    <row r="1012" spans="1:6" ht="16.5" x14ac:dyDescent="0.3">
      <c r="A1012" s="37"/>
      <c r="B1012" s="37"/>
      <c r="C1012" s="37"/>
      <c r="D1012" s="37"/>
      <c r="E1012" s="37"/>
      <c r="F1012" s="37"/>
    </row>
    <row r="1013" spans="1:6" ht="16.5" x14ac:dyDescent="0.3">
      <c r="A1013" s="37"/>
      <c r="B1013" s="37"/>
      <c r="C1013" s="37"/>
      <c r="D1013" s="37"/>
      <c r="E1013" s="37"/>
      <c r="F1013" s="37"/>
    </row>
    <row r="1014" spans="1:6" ht="16.5" x14ac:dyDescent="0.3">
      <c r="A1014" s="37"/>
      <c r="B1014" s="37"/>
      <c r="C1014" s="37"/>
      <c r="D1014" s="37"/>
      <c r="E1014" s="37"/>
      <c r="F1014" s="37"/>
    </row>
    <row r="1015" spans="1:6" ht="16.5" x14ac:dyDescent="0.3">
      <c r="A1015" s="37"/>
      <c r="B1015" s="37"/>
      <c r="C1015" s="37"/>
      <c r="D1015" s="37"/>
      <c r="E1015" s="37"/>
      <c r="F1015" s="37"/>
    </row>
    <row r="1016" spans="1:6" ht="16.5" x14ac:dyDescent="0.3">
      <c r="A1016" s="37"/>
      <c r="B1016" s="37"/>
      <c r="C1016" s="37"/>
      <c r="D1016" s="37"/>
      <c r="E1016" s="37"/>
      <c r="F1016" s="37"/>
    </row>
    <row r="1017" spans="1:6" ht="16.5" x14ac:dyDescent="0.3">
      <c r="A1017" s="37"/>
      <c r="B1017" s="37"/>
      <c r="C1017" s="37"/>
      <c r="D1017" s="37"/>
      <c r="E1017" s="37"/>
      <c r="F1017" s="37"/>
    </row>
    <row r="1018" spans="1:6" ht="16.5" x14ac:dyDescent="0.3">
      <c r="A1018" s="37"/>
      <c r="B1018" s="37"/>
      <c r="C1018" s="37"/>
      <c r="D1018" s="37"/>
      <c r="E1018" s="37"/>
      <c r="F1018" s="37"/>
    </row>
    <row r="1019" spans="1:6" ht="16.5" x14ac:dyDescent="0.3">
      <c r="A1019" s="37"/>
      <c r="B1019" s="37"/>
      <c r="C1019" s="37"/>
      <c r="D1019" s="37"/>
      <c r="E1019" s="37"/>
      <c r="F1019" s="37"/>
    </row>
    <row r="1020" spans="1:6" ht="16.5" x14ac:dyDescent="0.3">
      <c r="A1020" s="37"/>
      <c r="B1020" s="37"/>
      <c r="C1020" s="37"/>
      <c r="D1020" s="37"/>
      <c r="E1020" s="37"/>
      <c r="F1020" s="37"/>
    </row>
    <row r="1021" spans="1:6" ht="16.5" x14ac:dyDescent="0.3">
      <c r="A1021" s="37"/>
      <c r="B1021" s="37"/>
      <c r="C1021" s="37"/>
      <c r="D1021" s="37"/>
      <c r="E1021" s="37"/>
      <c r="F1021" s="37"/>
    </row>
    <row r="1022" spans="1:6" ht="16.5" x14ac:dyDescent="0.3">
      <c r="A1022" s="37"/>
      <c r="B1022" s="37"/>
      <c r="C1022" s="37"/>
      <c r="D1022" s="37"/>
      <c r="E1022" s="37"/>
      <c r="F1022" s="37"/>
    </row>
    <row r="1023" spans="1:6" ht="16.5" x14ac:dyDescent="0.3">
      <c r="A1023" s="37"/>
      <c r="B1023" s="37"/>
      <c r="C1023" s="37"/>
      <c r="D1023" s="37"/>
      <c r="E1023" s="37"/>
      <c r="F1023" s="37"/>
    </row>
    <row r="1024" spans="1:6" ht="16.5" x14ac:dyDescent="0.3">
      <c r="A1024" s="37"/>
      <c r="B1024" s="37"/>
      <c r="C1024" s="37"/>
      <c r="D1024" s="37"/>
      <c r="E1024" s="37"/>
      <c r="F1024" s="37"/>
    </row>
    <row r="1025" spans="1:6" ht="16.5" x14ac:dyDescent="0.3">
      <c r="A1025" s="37"/>
      <c r="B1025" s="37"/>
      <c r="C1025" s="37"/>
      <c r="D1025" s="37"/>
      <c r="E1025" s="37"/>
      <c r="F1025" s="37"/>
    </row>
    <row r="1026" spans="1:6" ht="16.5" x14ac:dyDescent="0.3">
      <c r="A1026" s="37"/>
      <c r="B1026" s="37"/>
      <c r="C1026" s="37"/>
      <c r="D1026" s="37"/>
      <c r="E1026" s="37"/>
      <c r="F1026" s="37"/>
    </row>
    <row r="1027" spans="1:6" ht="16.5" x14ac:dyDescent="0.3">
      <c r="A1027" s="37"/>
      <c r="B1027" s="37"/>
      <c r="C1027" s="37"/>
      <c r="D1027" s="37"/>
      <c r="E1027" s="37"/>
      <c r="F1027" s="37"/>
    </row>
    <row r="1028" spans="1:6" ht="16.5" x14ac:dyDescent="0.3">
      <c r="A1028" s="37"/>
      <c r="B1028" s="37"/>
      <c r="C1028" s="37"/>
      <c r="D1028" s="37"/>
      <c r="E1028" s="37"/>
      <c r="F1028" s="37"/>
    </row>
    <row r="1029" spans="1:6" ht="16.5" x14ac:dyDescent="0.3">
      <c r="A1029" s="37"/>
      <c r="B1029" s="37"/>
      <c r="C1029" s="37"/>
      <c r="D1029" s="37"/>
      <c r="E1029" s="37"/>
      <c r="F1029" s="37"/>
    </row>
    <row r="1030" spans="1:6" ht="16.5" x14ac:dyDescent="0.3">
      <c r="A1030" s="37"/>
      <c r="B1030" s="37"/>
      <c r="C1030" s="37"/>
      <c r="D1030" s="37"/>
      <c r="E1030" s="37"/>
      <c r="F1030" s="37"/>
    </row>
    <row r="1031" spans="1:6" ht="16.5" x14ac:dyDescent="0.3">
      <c r="A1031" s="37"/>
      <c r="B1031" s="37"/>
      <c r="C1031" s="37"/>
      <c r="D1031" s="37"/>
      <c r="E1031" s="37"/>
      <c r="F1031" s="37"/>
    </row>
    <row r="1032" spans="1:6" ht="16.5" x14ac:dyDescent="0.3">
      <c r="A1032" s="37"/>
      <c r="B1032" s="37"/>
      <c r="C1032" s="37"/>
      <c r="D1032" s="37"/>
      <c r="E1032" s="37"/>
      <c r="F1032" s="37"/>
    </row>
    <row r="1033" spans="1:6" ht="16.5" x14ac:dyDescent="0.3">
      <c r="A1033" s="37"/>
      <c r="B1033" s="37"/>
      <c r="C1033" s="37"/>
      <c r="D1033" s="37"/>
      <c r="E1033" s="37"/>
      <c r="F1033" s="37"/>
    </row>
    <row r="1034" spans="1:6" ht="16.5" x14ac:dyDescent="0.3">
      <c r="A1034" s="37"/>
      <c r="B1034" s="37"/>
      <c r="C1034" s="37"/>
      <c r="D1034" s="37"/>
      <c r="E1034" s="37"/>
      <c r="F1034" s="37"/>
    </row>
    <row r="1035" spans="1:6" ht="16.5" x14ac:dyDescent="0.3">
      <c r="A1035" s="37"/>
      <c r="B1035" s="37"/>
      <c r="C1035" s="37"/>
      <c r="D1035" s="37"/>
      <c r="E1035" s="37"/>
      <c r="F1035" s="37"/>
    </row>
    <row r="1036" spans="1:6" ht="16.5" x14ac:dyDescent="0.3">
      <c r="A1036" s="37"/>
      <c r="B1036" s="37"/>
      <c r="C1036" s="37"/>
      <c r="D1036" s="37"/>
      <c r="E1036" s="37"/>
      <c r="F1036" s="37"/>
    </row>
    <row r="1037" spans="1:6" ht="16.5" x14ac:dyDescent="0.3">
      <c r="A1037" s="37"/>
      <c r="B1037" s="37"/>
      <c r="C1037" s="37"/>
      <c r="D1037" s="37"/>
      <c r="E1037" s="37"/>
      <c r="F1037" s="37"/>
    </row>
    <row r="1038" spans="1:6" ht="16.5" x14ac:dyDescent="0.3">
      <c r="A1038" s="37"/>
      <c r="B1038" s="37"/>
      <c r="C1038" s="37"/>
      <c r="D1038" s="37"/>
      <c r="E1038" s="37"/>
      <c r="F1038" s="37"/>
    </row>
    <row r="1039" spans="1:6" ht="16.5" x14ac:dyDescent="0.3">
      <c r="A1039" s="37"/>
      <c r="B1039" s="37"/>
      <c r="C1039" s="37"/>
      <c r="D1039" s="37"/>
      <c r="E1039" s="37"/>
      <c r="F1039" s="37"/>
    </row>
    <row r="1040" spans="1:6" ht="16.5" x14ac:dyDescent="0.3">
      <c r="A1040" s="37"/>
      <c r="B1040" s="37"/>
      <c r="C1040" s="37"/>
      <c r="D1040" s="37"/>
      <c r="E1040" s="37"/>
      <c r="F1040" s="37"/>
    </row>
    <row r="1041" spans="1:6" ht="16.5" x14ac:dyDescent="0.3">
      <c r="A1041" s="37"/>
      <c r="B1041" s="37"/>
      <c r="C1041" s="37"/>
      <c r="D1041" s="37"/>
      <c r="E1041" s="37"/>
      <c r="F1041" s="37"/>
    </row>
    <row r="1042" spans="1:6" ht="16.5" x14ac:dyDescent="0.3">
      <c r="A1042" s="37"/>
      <c r="B1042" s="37"/>
      <c r="C1042" s="37"/>
      <c r="D1042" s="37"/>
      <c r="E1042" s="37"/>
      <c r="F1042" s="37"/>
    </row>
    <row r="1043" spans="1:6" ht="16.5" x14ac:dyDescent="0.3">
      <c r="A1043" s="37"/>
      <c r="B1043" s="37"/>
      <c r="C1043" s="37"/>
      <c r="D1043" s="37"/>
      <c r="E1043" s="37"/>
      <c r="F1043" s="37"/>
    </row>
    <row r="1044" spans="1:6" ht="16.5" x14ac:dyDescent="0.3">
      <c r="A1044" s="37"/>
      <c r="B1044" s="37"/>
      <c r="C1044" s="37"/>
      <c r="D1044" s="37"/>
      <c r="E1044" s="37"/>
      <c r="F1044" s="37"/>
    </row>
    <row r="1045" spans="1:6" ht="16.5" x14ac:dyDescent="0.3">
      <c r="A1045" s="37"/>
      <c r="B1045" s="37"/>
      <c r="C1045" s="37"/>
      <c r="D1045" s="37"/>
      <c r="E1045" s="37"/>
      <c r="F1045" s="37"/>
    </row>
    <row r="1046" spans="1:6" ht="16.5" x14ac:dyDescent="0.3">
      <c r="A1046" s="37"/>
      <c r="B1046" s="37"/>
      <c r="C1046" s="37"/>
      <c r="D1046" s="37"/>
      <c r="E1046" s="37"/>
      <c r="F1046" s="37"/>
    </row>
    <row r="1047" spans="1:6" ht="16.5" x14ac:dyDescent="0.3">
      <c r="A1047" s="37"/>
      <c r="B1047" s="37"/>
      <c r="C1047" s="37"/>
      <c r="D1047" s="37"/>
      <c r="E1047" s="37"/>
      <c r="F1047" s="37"/>
    </row>
    <row r="1048" spans="1:6" ht="16.5" x14ac:dyDescent="0.3">
      <c r="A1048" s="37"/>
      <c r="B1048" s="37"/>
      <c r="C1048" s="37"/>
      <c r="D1048" s="37"/>
      <c r="E1048" s="37"/>
      <c r="F1048" s="37"/>
    </row>
    <row r="1049" spans="1:6" ht="16.5" x14ac:dyDescent="0.3">
      <c r="A1049" s="37"/>
      <c r="B1049" s="37"/>
      <c r="C1049" s="37"/>
      <c r="D1049" s="37"/>
      <c r="E1049" s="37"/>
      <c r="F1049" s="37"/>
    </row>
    <row r="1050" spans="1:6" ht="16.5" x14ac:dyDescent="0.3">
      <c r="A1050" s="37"/>
      <c r="B1050" s="37"/>
      <c r="C1050" s="37"/>
      <c r="D1050" s="37"/>
      <c r="E1050" s="37"/>
      <c r="F1050" s="37"/>
    </row>
    <row r="1051" spans="1:6" ht="16.5" x14ac:dyDescent="0.3">
      <c r="A1051" s="37"/>
      <c r="B1051" s="37"/>
      <c r="C1051" s="37"/>
      <c r="D1051" s="37"/>
      <c r="E1051" s="37"/>
      <c r="F1051" s="37"/>
    </row>
    <row r="1052" spans="1:6" ht="16.5" x14ac:dyDescent="0.3">
      <c r="A1052" s="37"/>
      <c r="B1052" s="37"/>
      <c r="C1052" s="37"/>
      <c r="D1052" s="37"/>
      <c r="E1052" s="37"/>
      <c r="F1052" s="37"/>
    </row>
    <row r="1053" spans="1:6" ht="16.5" x14ac:dyDescent="0.3">
      <c r="A1053" s="37"/>
      <c r="B1053" s="37"/>
      <c r="C1053" s="37"/>
      <c r="D1053" s="37"/>
      <c r="E1053" s="37"/>
      <c r="F1053" s="37"/>
    </row>
    <row r="1054" spans="1:6" ht="16.5" x14ac:dyDescent="0.3">
      <c r="A1054" s="37"/>
      <c r="B1054" s="37"/>
      <c r="C1054" s="37"/>
      <c r="D1054" s="37"/>
      <c r="E1054" s="37"/>
      <c r="F1054" s="37"/>
    </row>
    <row r="1055" spans="1:6" ht="16.5" x14ac:dyDescent="0.3">
      <c r="A1055" s="37"/>
      <c r="B1055" s="37"/>
      <c r="C1055" s="37"/>
      <c r="D1055" s="37"/>
      <c r="E1055" s="37"/>
      <c r="F1055" s="37"/>
    </row>
    <row r="1056" spans="1:6" ht="16.5" x14ac:dyDescent="0.3">
      <c r="A1056" s="37"/>
      <c r="B1056" s="37"/>
      <c r="C1056" s="37"/>
      <c r="D1056" s="37"/>
      <c r="E1056" s="37"/>
      <c r="F1056" s="37"/>
    </row>
    <row r="1057" spans="1:6" ht="16.5" x14ac:dyDescent="0.3">
      <c r="A1057" s="37"/>
      <c r="B1057" s="37"/>
      <c r="C1057" s="37"/>
      <c r="D1057" s="37"/>
      <c r="E1057" s="37"/>
      <c r="F1057" s="37"/>
    </row>
    <row r="1058" spans="1:6" ht="16.5" x14ac:dyDescent="0.3">
      <c r="A1058" s="37"/>
      <c r="B1058" s="37"/>
      <c r="C1058" s="37"/>
      <c r="D1058" s="37"/>
      <c r="E1058" s="37"/>
      <c r="F1058" s="37"/>
    </row>
    <row r="1059" spans="1:6" ht="16.5" x14ac:dyDescent="0.3">
      <c r="A1059" s="37"/>
      <c r="B1059" s="37"/>
      <c r="C1059" s="37"/>
      <c r="D1059" s="37"/>
      <c r="E1059" s="37"/>
      <c r="F1059" s="37"/>
    </row>
    <row r="1060" spans="1:6" ht="16.5" x14ac:dyDescent="0.3">
      <c r="A1060" s="37"/>
      <c r="B1060" s="37"/>
      <c r="C1060" s="37"/>
      <c r="D1060" s="37"/>
      <c r="E1060" s="37"/>
      <c r="F1060" s="37"/>
    </row>
    <row r="1061" spans="1:6" ht="16.5" x14ac:dyDescent="0.3">
      <c r="A1061" s="37"/>
      <c r="B1061" s="37"/>
      <c r="C1061" s="37"/>
      <c r="D1061" s="37"/>
      <c r="E1061" s="37"/>
      <c r="F1061" s="37"/>
    </row>
    <row r="1062" spans="1:6" ht="16.5" x14ac:dyDescent="0.3">
      <c r="A1062" s="37"/>
      <c r="B1062" s="37"/>
      <c r="C1062" s="37"/>
      <c r="D1062" s="37"/>
      <c r="E1062" s="37"/>
      <c r="F1062" s="37"/>
    </row>
    <row r="1063" spans="1:6" ht="16.5" x14ac:dyDescent="0.3">
      <c r="A1063" s="37"/>
      <c r="B1063" s="37"/>
      <c r="C1063" s="37"/>
      <c r="D1063" s="37"/>
      <c r="E1063" s="37"/>
      <c r="F1063" s="37"/>
    </row>
    <row r="1064" spans="1:6" ht="16.5" x14ac:dyDescent="0.3">
      <c r="A1064" s="37"/>
      <c r="B1064" s="37"/>
      <c r="C1064" s="37"/>
      <c r="D1064" s="37"/>
      <c r="E1064" s="37"/>
      <c r="F1064" s="37"/>
    </row>
    <row r="1065" spans="1:6" ht="16.5" x14ac:dyDescent="0.3">
      <c r="A1065" s="37"/>
      <c r="B1065" s="37"/>
      <c r="C1065" s="37"/>
      <c r="D1065" s="37"/>
      <c r="E1065" s="37"/>
      <c r="F1065" s="37"/>
    </row>
    <row r="1066" spans="1:6" ht="16.5" x14ac:dyDescent="0.3">
      <c r="A1066" s="37"/>
      <c r="B1066" s="37"/>
      <c r="C1066" s="37"/>
      <c r="D1066" s="37"/>
      <c r="E1066" s="37"/>
      <c r="F1066" s="37"/>
    </row>
    <row r="1067" spans="1:6" ht="16.5" x14ac:dyDescent="0.3">
      <c r="A1067" s="37"/>
      <c r="B1067" s="37"/>
      <c r="C1067" s="37"/>
      <c r="D1067" s="37"/>
      <c r="E1067" s="37"/>
      <c r="F1067" s="37"/>
    </row>
    <row r="1068" spans="1:6" ht="16.5" x14ac:dyDescent="0.3">
      <c r="A1068" s="37"/>
      <c r="B1068" s="37"/>
      <c r="C1068" s="37"/>
      <c r="D1068" s="37"/>
      <c r="E1068" s="37"/>
      <c r="F1068" s="37"/>
    </row>
    <row r="1069" spans="1:6" ht="16.5" x14ac:dyDescent="0.3">
      <c r="A1069" s="37"/>
      <c r="B1069" s="37"/>
      <c r="C1069" s="37"/>
      <c r="D1069" s="37"/>
      <c r="E1069" s="37"/>
      <c r="F1069" s="37"/>
    </row>
    <row r="1070" spans="1:6" ht="16.5" x14ac:dyDescent="0.3">
      <c r="A1070" s="37"/>
      <c r="B1070" s="37"/>
      <c r="C1070" s="37"/>
      <c r="D1070" s="37"/>
      <c r="E1070" s="37"/>
      <c r="F1070" s="37"/>
    </row>
    <row r="1071" spans="1:6" ht="16.5" x14ac:dyDescent="0.3">
      <c r="A1071" s="37"/>
      <c r="B1071" s="37"/>
      <c r="C1071" s="37"/>
      <c r="D1071" s="37"/>
      <c r="E1071" s="37"/>
      <c r="F1071" s="37"/>
    </row>
    <row r="1072" spans="1:6" ht="16.5" x14ac:dyDescent="0.3">
      <c r="A1072" s="37"/>
      <c r="B1072" s="37"/>
      <c r="C1072" s="37"/>
      <c r="D1072" s="37"/>
      <c r="E1072" s="37"/>
      <c r="F1072" s="37"/>
    </row>
    <row r="1073" spans="1:6" ht="16.5" x14ac:dyDescent="0.3">
      <c r="A1073" s="37"/>
      <c r="B1073" s="37"/>
      <c r="C1073" s="37"/>
      <c r="D1073" s="37"/>
      <c r="E1073" s="37"/>
      <c r="F1073" s="37"/>
    </row>
    <row r="1074" spans="1:6" ht="16.5" x14ac:dyDescent="0.3">
      <c r="A1074" s="37"/>
      <c r="B1074" s="37"/>
      <c r="C1074" s="37"/>
      <c r="D1074" s="37"/>
      <c r="E1074" s="37"/>
      <c r="F1074" s="37"/>
    </row>
    <row r="1075" spans="1:6" ht="16.5" x14ac:dyDescent="0.3">
      <c r="A1075" s="37"/>
      <c r="B1075" s="37"/>
      <c r="C1075" s="37"/>
      <c r="D1075" s="37"/>
      <c r="E1075" s="37"/>
      <c r="F1075" s="37"/>
    </row>
    <row r="1076" spans="1:6" ht="16.5" x14ac:dyDescent="0.3">
      <c r="A1076" s="37"/>
      <c r="B1076" s="37"/>
      <c r="C1076" s="37"/>
      <c r="D1076" s="37"/>
      <c r="E1076" s="37"/>
      <c r="F1076" s="37"/>
    </row>
    <row r="1077" spans="1:6" ht="16.5" x14ac:dyDescent="0.3">
      <c r="A1077" s="37"/>
      <c r="B1077" s="37"/>
      <c r="C1077" s="37"/>
      <c r="D1077" s="37"/>
      <c r="E1077" s="37"/>
      <c r="F1077" s="37"/>
    </row>
    <row r="1078" spans="1:6" ht="16.5" x14ac:dyDescent="0.3">
      <c r="A1078" s="37"/>
      <c r="B1078" s="37"/>
      <c r="C1078" s="37"/>
      <c r="D1078" s="37"/>
      <c r="E1078" s="37"/>
      <c r="F1078" s="37"/>
    </row>
    <row r="1079" spans="1:6" ht="16.5" x14ac:dyDescent="0.3">
      <c r="A1079" s="37"/>
      <c r="B1079" s="37"/>
      <c r="C1079" s="37"/>
      <c r="D1079" s="37"/>
      <c r="E1079" s="37"/>
      <c r="F1079" s="37"/>
    </row>
    <row r="1080" spans="1:6" ht="16.5" x14ac:dyDescent="0.3">
      <c r="A1080" s="37"/>
      <c r="B1080" s="37"/>
      <c r="C1080" s="37"/>
      <c r="D1080" s="37"/>
      <c r="E1080" s="37"/>
      <c r="F1080" s="37"/>
    </row>
    <row r="1081" spans="1:6" ht="16.5" x14ac:dyDescent="0.3">
      <c r="A1081" s="37"/>
      <c r="B1081" s="37"/>
      <c r="C1081" s="37"/>
      <c r="D1081" s="37"/>
      <c r="E1081" s="37"/>
      <c r="F1081" s="37"/>
    </row>
    <row r="1082" spans="1:6" ht="16.5" x14ac:dyDescent="0.3">
      <c r="A1082" s="37"/>
      <c r="B1082" s="37"/>
      <c r="C1082" s="37"/>
      <c r="D1082" s="37"/>
      <c r="E1082" s="37"/>
      <c r="F1082" s="37"/>
    </row>
    <row r="1083" spans="1:6" ht="16.5" x14ac:dyDescent="0.3">
      <c r="A1083" s="37"/>
      <c r="B1083" s="37"/>
      <c r="C1083" s="37"/>
      <c r="D1083" s="37"/>
      <c r="E1083" s="37"/>
      <c r="F1083" s="37"/>
    </row>
    <row r="1084" spans="1:6" ht="16.5" x14ac:dyDescent="0.3">
      <c r="A1084" s="37"/>
      <c r="B1084" s="37"/>
      <c r="C1084" s="37"/>
      <c r="D1084" s="37"/>
      <c r="E1084" s="37"/>
      <c r="F1084" s="37"/>
    </row>
    <row r="1085" spans="1:6" ht="16.5" x14ac:dyDescent="0.3">
      <c r="A1085" s="37"/>
      <c r="B1085" s="37"/>
      <c r="C1085" s="37"/>
      <c r="D1085" s="37"/>
      <c r="E1085" s="37"/>
      <c r="F1085" s="37"/>
    </row>
    <row r="1086" spans="1:6" ht="16.5" x14ac:dyDescent="0.3">
      <c r="A1086" s="37"/>
      <c r="B1086" s="37"/>
      <c r="C1086" s="37"/>
      <c r="D1086" s="37"/>
      <c r="E1086" s="37"/>
      <c r="F1086" s="37"/>
    </row>
    <row r="1087" spans="1:6" ht="16.5" x14ac:dyDescent="0.3">
      <c r="A1087" s="37"/>
      <c r="B1087" s="37"/>
      <c r="C1087" s="37"/>
      <c r="D1087" s="37"/>
      <c r="E1087" s="37"/>
      <c r="F1087" s="37"/>
    </row>
    <row r="1088" spans="1:6" ht="16.5" x14ac:dyDescent="0.3">
      <c r="A1088" s="37"/>
      <c r="B1088" s="37"/>
      <c r="C1088" s="37"/>
      <c r="D1088" s="37"/>
      <c r="E1088" s="37"/>
      <c r="F1088" s="37"/>
    </row>
    <row r="1089" spans="1:6" ht="16.5" x14ac:dyDescent="0.3">
      <c r="A1089" s="37"/>
      <c r="B1089" s="37"/>
      <c r="C1089" s="37"/>
      <c r="D1089" s="37"/>
      <c r="E1089" s="37"/>
      <c r="F1089" s="37"/>
    </row>
    <row r="1090" spans="1:6" ht="16.5" x14ac:dyDescent="0.3">
      <c r="A1090" s="37"/>
      <c r="B1090" s="37"/>
      <c r="C1090" s="37"/>
      <c r="D1090" s="37"/>
      <c r="E1090" s="37"/>
      <c r="F1090" s="37"/>
    </row>
    <row r="1091" spans="1:6" ht="16.5" x14ac:dyDescent="0.3">
      <c r="A1091" s="37"/>
      <c r="B1091" s="37"/>
      <c r="C1091" s="37"/>
      <c r="D1091" s="37"/>
      <c r="E1091" s="37"/>
      <c r="F1091" s="37"/>
    </row>
    <row r="1092" spans="1:6" ht="16.5" x14ac:dyDescent="0.3">
      <c r="A1092" s="37"/>
      <c r="B1092" s="37"/>
      <c r="C1092" s="37"/>
      <c r="D1092" s="37"/>
      <c r="E1092" s="37"/>
      <c r="F1092" s="37"/>
    </row>
    <row r="1093" spans="1:6" ht="16.5" x14ac:dyDescent="0.3">
      <c r="A1093" s="37"/>
      <c r="B1093" s="37"/>
      <c r="C1093" s="37"/>
      <c r="D1093" s="37"/>
      <c r="E1093" s="37"/>
      <c r="F1093" s="37"/>
    </row>
    <row r="1094" spans="1:6" ht="16.5" x14ac:dyDescent="0.3">
      <c r="A1094" s="37"/>
      <c r="B1094" s="37"/>
      <c r="C1094" s="37"/>
      <c r="D1094" s="37"/>
      <c r="E1094" s="37"/>
      <c r="F1094" s="37"/>
    </row>
    <row r="1095" spans="1:6" ht="16.5" x14ac:dyDescent="0.3">
      <c r="A1095" s="37"/>
      <c r="B1095" s="37"/>
      <c r="C1095" s="37"/>
      <c r="D1095" s="37"/>
      <c r="E1095" s="37"/>
      <c r="F1095" s="37"/>
    </row>
    <row r="1096" spans="1:6" ht="16.5" x14ac:dyDescent="0.3">
      <c r="A1096" s="37"/>
      <c r="B1096" s="37"/>
      <c r="C1096" s="37"/>
      <c r="D1096" s="37"/>
      <c r="E1096" s="37"/>
      <c r="F1096" s="37"/>
    </row>
    <row r="1097" spans="1:6" ht="16.5" x14ac:dyDescent="0.3">
      <c r="A1097" s="37"/>
      <c r="B1097" s="37"/>
      <c r="C1097" s="37"/>
      <c r="D1097" s="37"/>
      <c r="E1097" s="37"/>
      <c r="F1097" s="37"/>
    </row>
    <row r="1098" spans="1:6" ht="16.5" x14ac:dyDescent="0.3">
      <c r="A1098" s="37"/>
      <c r="B1098" s="37"/>
      <c r="C1098" s="37"/>
      <c r="D1098" s="37"/>
      <c r="E1098" s="37"/>
      <c r="F1098" s="37"/>
    </row>
    <row r="1099" spans="1:6" ht="16.5" x14ac:dyDescent="0.3">
      <c r="A1099" s="37"/>
      <c r="B1099" s="37"/>
      <c r="C1099" s="37"/>
      <c r="D1099" s="37"/>
      <c r="E1099" s="37"/>
      <c r="F1099" s="37"/>
    </row>
    <row r="1100" spans="1:6" ht="16.5" x14ac:dyDescent="0.3">
      <c r="A1100" s="37"/>
      <c r="B1100" s="37"/>
      <c r="C1100" s="37"/>
      <c r="D1100" s="37"/>
      <c r="E1100" s="37"/>
      <c r="F1100" s="37"/>
    </row>
    <row r="1101" spans="1:6" ht="16.5" x14ac:dyDescent="0.3">
      <c r="A1101" s="37"/>
      <c r="B1101" s="37"/>
      <c r="C1101" s="37"/>
      <c r="D1101" s="37"/>
      <c r="E1101" s="37"/>
      <c r="F1101" s="37"/>
    </row>
    <row r="1102" spans="1:6" ht="16.5" x14ac:dyDescent="0.3">
      <c r="A1102" s="37"/>
      <c r="B1102" s="37"/>
      <c r="C1102" s="37"/>
      <c r="D1102" s="37"/>
      <c r="E1102" s="37"/>
      <c r="F1102" s="37"/>
    </row>
    <row r="1103" spans="1:6" ht="16.5" x14ac:dyDescent="0.3">
      <c r="A1103" s="37"/>
      <c r="B1103" s="37"/>
      <c r="C1103" s="37"/>
      <c r="D1103" s="37"/>
      <c r="E1103" s="37"/>
      <c r="F1103" s="37"/>
    </row>
    <row r="1104" spans="1:6" ht="16.5" x14ac:dyDescent="0.3">
      <c r="A1104" s="37"/>
      <c r="B1104" s="37"/>
      <c r="C1104" s="37"/>
      <c r="D1104" s="37"/>
      <c r="E1104" s="37"/>
      <c r="F1104" s="37"/>
    </row>
    <row r="1105" spans="1:6" ht="16.5" x14ac:dyDescent="0.3">
      <c r="A1105" s="37"/>
      <c r="B1105" s="37"/>
      <c r="C1105" s="37"/>
      <c r="D1105" s="37"/>
      <c r="E1105" s="37"/>
      <c r="F1105" s="37"/>
    </row>
    <row r="1106" spans="1:6" ht="16.5" x14ac:dyDescent="0.3">
      <c r="A1106" s="37"/>
      <c r="B1106" s="37"/>
      <c r="C1106" s="37"/>
      <c r="D1106" s="37"/>
      <c r="E1106" s="37"/>
      <c r="F1106" s="37"/>
    </row>
    <row r="1107" spans="1:6" ht="16.5" x14ac:dyDescent="0.3">
      <c r="A1107" s="37"/>
      <c r="B1107" s="37"/>
      <c r="C1107" s="37"/>
      <c r="D1107" s="37"/>
      <c r="E1107" s="37"/>
      <c r="F1107" s="37"/>
    </row>
    <row r="1108" spans="1:6" ht="16.5" x14ac:dyDescent="0.3">
      <c r="A1108" s="37"/>
      <c r="B1108" s="37"/>
      <c r="C1108" s="37"/>
      <c r="D1108" s="37"/>
      <c r="E1108" s="37"/>
      <c r="F1108" s="37"/>
    </row>
    <row r="1109" spans="1:6" ht="16.5" x14ac:dyDescent="0.3">
      <c r="A1109" s="37"/>
      <c r="B1109" s="37"/>
      <c r="C1109" s="37"/>
      <c r="D1109" s="37"/>
      <c r="E1109" s="37"/>
      <c r="F1109" s="37"/>
    </row>
    <row r="1110" spans="1:6" ht="16.5" x14ac:dyDescent="0.3">
      <c r="A1110" s="37"/>
      <c r="B1110" s="37"/>
      <c r="C1110" s="37"/>
      <c r="D1110" s="37"/>
      <c r="E1110" s="37"/>
      <c r="F1110" s="37"/>
    </row>
    <row r="1111" spans="1:6" ht="16.5" x14ac:dyDescent="0.3">
      <c r="A1111" s="37"/>
      <c r="B1111" s="37"/>
      <c r="C1111" s="37"/>
      <c r="D1111" s="37"/>
      <c r="E1111" s="37"/>
      <c r="F1111" s="37"/>
    </row>
    <row r="1112" spans="1:6" ht="16.5" x14ac:dyDescent="0.3">
      <c r="A1112" s="37"/>
      <c r="B1112" s="37"/>
      <c r="C1112" s="37"/>
      <c r="D1112" s="37"/>
      <c r="E1112" s="37"/>
      <c r="F1112" s="37"/>
    </row>
    <row r="1113" spans="1:6" ht="16.5" x14ac:dyDescent="0.3">
      <c r="A1113" s="37"/>
      <c r="B1113" s="37"/>
      <c r="C1113" s="37"/>
      <c r="D1113" s="37"/>
      <c r="E1113" s="37"/>
      <c r="F1113" s="37"/>
    </row>
    <row r="1114" spans="1:6" ht="16.5" x14ac:dyDescent="0.3">
      <c r="A1114" s="37"/>
      <c r="B1114" s="37"/>
      <c r="C1114" s="37"/>
      <c r="D1114" s="37"/>
      <c r="E1114" s="37"/>
      <c r="F1114" s="37"/>
    </row>
    <row r="1115" spans="1:6" ht="16.5" x14ac:dyDescent="0.3">
      <c r="A1115" s="37"/>
      <c r="B1115" s="37"/>
      <c r="C1115" s="37"/>
      <c r="D1115" s="37"/>
      <c r="E1115" s="37"/>
      <c r="F1115" s="37"/>
    </row>
    <row r="1116" spans="1:6" ht="16.5" x14ac:dyDescent="0.3">
      <c r="A1116" s="37"/>
      <c r="B1116" s="37"/>
      <c r="C1116" s="37"/>
      <c r="D1116" s="37"/>
      <c r="E1116" s="37"/>
      <c r="F1116" s="37"/>
    </row>
    <row r="1117" spans="1:6" ht="16.5" x14ac:dyDescent="0.3">
      <c r="A1117" s="37"/>
      <c r="B1117" s="37"/>
      <c r="C1117" s="37"/>
      <c r="D1117" s="37"/>
      <c r="E1117" s="37"/>
      <c r="F1117" s="37"/>
    </row>
    <row r="1118" spans="1:6" ht="16.5" x14ac:dyDescent="0.3">
      <c r="A1118" s="37"/>
      <c r="B1118" s="37"/>
      <c r="C1118" s="37"/>
      <c r="D1118" s="37"/>
      <c r="E1118" s="37"/>
      <c r="F1118" s="37"/>
    </row>
    <row r="1119" spans="1:6" ht="16.5" x14ac:dyDescent="0.3">
      <c r="A1119" s="37"/>
      <c r="B1119" s="37"/>
      <c r="C1119" s="37"/>
      <c r="D1119" s="37"/>
      <c r="E1119" s="37"/>
      <c r="F1119" s="37"/>
    </row>
    <row r="1120" spans="1:6" ht="16.5" x14ac:dyDescent="0.3">
      <c r="A1120" s="37"/>
      <c r="B1120" s="37"/>
      <c r="C1120" s="37"/>
      <c r="D1120" s="37"/>
      <c r="E1120" s="37"/>
      <c r="F1120" s="37"/>
    </row>
    <row r="1121" spans="1:6" ht="16.5" x14ac:dyDescent="0.3">
      <c r="A1121" s="37"/>
      <c r="B1121" s="37"/>
      <c r="C1121" s="37"/>
      <c r="D1121" s="37"/>
      <c r="E1121" s="37"/>
      <c r="F1121" s="37"/>
    </row>
    <row r="1122" spans="1:6" ht="16.5" x14ac:dyDescent="0.3">
      <c r="A1122" s="37"/>
      <c r="B1122" s="37"/>
      <c r="C1122" s="37"/>
      <c r="D1122" s="37"/>
      <c r="E1122" s="37"/>
      <c r="F1122" s="37"/>
    </row>
    <row r="1123" spans="1:6" ht="16.5" x14ac:dyDescent="0.3">
      <c r="A1123" s="37"/>
      <c r="B1123" s="37"/>
      <c r="C1123" s="37"/>
      <c r="D1123" s="37"/>
      <c r="E1123" s="37"/>
      <c r="F1123" s="37"/>
    </row>
    <row r="1124" spans="1:6" ht="16.5" x14ac:dyDescent="0.3">
      <c r="A1124" s="37"/>
      <c r="B1124" s="37"/>
      <c r="C1124" s="37"/>
      <c r="D1124" s="37"/>
      <c r="E1124" s="37"/>
      <c r="F1124" s="37"/>
    </row>
    <row r="1125" spans="1:6" ht="16.5" x14ac:dyDescent="0.3">
      <c r="A1125" s="37"/>
      <c r="B1125" s="37"/>
      <c r="C1125" s="37"/>
      <c r="D1125" s="37"/>
      <c r="E1125" s="37"/>
      <c r="F1125" s="37"/>
    </row>
    <row r="1126" spans="1:6" ht="16.5" x14ac:dyDescent="0.3">
      <c r="A1126" s="37"/>
      <c r="B1126" s="37"/>
      <c r="C1126" s="37"/>
      <c r="D1126" s="37"/>
      <c r="E1126" s="37"/>
      <c r="F1126" s="37"/>
    </row>
    <row r="1127" spans="1:6" ht="16.5" x14ac:dyDescent="0.3">
      <c r="A1127" s="37"/>
      <c r="B1127" s="37"/>
      <c r="C1127" s="37"/>
      <c r="D1127" s="37"/>
      <c r="E1127" s="37"/>
      <c r="F1127" s="37"/>
    </row>
    <row r="1128" spans="1:6" ht="16.5" x14ac:dyDescent="0.3">
      <c r="A1128" s="37"/>
      <c r="B1128" s="37"/>
      <c r="C1128" s="37"/>
      <c r="D1128" s="37"/>
      <c r="E1128" s="37"/>
      <c r="F1128" s="37"/>
    </row>
    <row r="1129" spans="1:6" ht="16.5" x14ac:dyDescent="0.3">
      <c r="A1129" s="37"/>
      <c r="B1129" s="37"/>
      <c r="C1129" s="37"/>
      <c r="D1129" s="37"/>
      <c r="E1129" s="37"/>
      <c r="F1129" s="37"/>
    </row>
    <row r="1130" spans="1:6" ht="16.5" x14ac:dyDescent="0.3">
      <c r="A1130" s="37"/>
      <c r="B1130" s="37"/>
      <c r="C1130" s="37"/>
      <c r="D1130" s="37"/>
      <c r="E1130" s="37"/>
      <c r="F1130" s="37"/>
    </row>
    <row r="1131" spans="1:6" ht="16.5" x14ac:dyDescent="0.3">
      <c r="A1131" s="37"/>
      <c r="B1131" s="37"/>
      <c r="C1131" s="37"/>
      <c r="D1131" s="37"/>
      <c r="E1131" s="37"/>
      <c r="F1131" s="37"/>
    </row>
    <row r="1132" spans="1:6" ht="16.5" x14ac:dyDescent="0.3">
      <c r="A1132" s="37"/>
      <c r="B1132" s="37"/>
      <c r="C1132" s="37"/>
      <c r="D1132" s="37"/>
      <c r="E1132" s="37"/>
      <c r="F1132" s="37"/>
    </row>
    <row r="1133" spans="1:6" ht="16.5" x14ac:dyDescent="0.3">
      <c r="A1133" s="37"/>
      <c r="B1133" s="37"/>
      <c r="C1133" s="37"/>
      <c r="D1133" s="37"/>
      <c r="E1133" s="37"/>
      <c r="F1133" s="37"/>
    </row>
    <row r="1134" spans="1:6" ht="16.5" x14ac:dyDescent="0.3">
      <c r="A1134" s="37"/>
      <c r="B1134" s="37"/>
      <c r="C1134" s="37"/>
      <c r="D1134" s="37"/>
      <c r="E1134" s="37"/>
      <c r="F1134" s="37"/>
    </row>
    <row r="1135" spans="1:6" ht="16.5" x14ac:dyDescent="0.3">
      <c r="A1135" s="37"/>
      <c r="B1135" s="37"/>
      <c r="C1135" s="37"/>
      <c r="D1135" s="37"/>
      <c r="E1135" s="37"/>
      <c r="F1135" s="37"/>
    </row>
    <row r="1136" spans="1:6" ht="16.5" x14ac:dyDescent="0.3">
      <c r="A1136" s="37"/>
      <c r="B1136" s="37"/>
      <c r="C1136" s="37"/>
      <c r="D1136" s="37"/>
      <c r="E1136" s="37"/>
      <c r="F1136" s="37"/>
    </row>
    <row r="1137" spans="1:6" ht="16.5" x14ac:dyDescent="0.3">
      <c r="A1137" s="37"/>
      <c r="B1137" s="37"/>
      <c r="C1137" s="37"/>
      <c r="D1137" s="37"/>
      <c r="E1137" s="37"/>
      <c r="F1137" s="37"/>
    </row>
    <row r="1138" spans="1:6" ht="16.5" x14ac:dyDescent="0.3">
      <c r="A1138" s="37"/>
      <c r="B1138" s="37"/>
      <c r="C1138" s="37"/>
      <c r="D1138" s="37"/>
      <c r="E1138" s="37"/>
      <c r="F1138" s="37"/>
    </row>
    <row r="1139" spans="1:6" ht="16.5" x14ac:dyDescent="0.3">
      <c r="A1139" s="37"/>
      <c r="B1139" s="37"/>
      <c r="C1139" s="37"/>
      <c r="D1139" s="37"/>
      <c r="E1139" s="37"/>
      <c r="F1139" s="37"/>
    </row>
    <row r="1140" spans="1:6" ht="16.5" x14ac:dyDescent="0.3">
      <c r="A1140" s="37"/>
      <c r="B1140" s="37"/>
      <c r="C1140" s="37"/>
      <c r="D1140" s="37"/>
      <c r="E1140" s="37"/>
      <c r="F1140" s="37"/>
    </row>
    <row r="1141" spans="1:6" ht="16.5" x14ac:dyDescent="0.3">
      <c r="A1141" s="37"/>
      <c r="B1141" s="37"/>
      <c r="C1141" s="37"/>
      <c r="D1141" s="37"/>
      <c r="E1141" s="37"/>
      <c r="F1141" s="37"/>
    </row>
    <row r="1142" spans="1:6" ht="16.5" x14ac:dyDescent="0.3">
      <c r="A1142" s="37"/>
      <c r="B1142" s="37"/>
      <c r="C1142" s="37"/>
      <c r="D1142" s="37"/>
      <c r="E1142" s="37"/>
      <c r="F1142" s="37"/>
    </row>
    <row r="1143" spans="1:6" ht="16.5" x14ac:dyDescent="0.3">
      <c r="A1143" s="37"/>
      <c r="B1143" s="37"/>
      <c r="C1143" s="37"/>
      <c r="D1143" s="37"/>
      <c r="E1143" s="37"/>
      <c r="F1143" s="37"/>
    </row>
    <row r="1144" spans="1:6" ht="16.5" x14ac:dyDescent="0.3">
      <c r="A1144" s="37"/>
      <c r="B1144" s="37"/>
      <c r="C1144" s="37"/>
      <c r="D1144" s="37"/>
      <c r="E1144" s="37"/>
      <c r="F1144" s="37"/>
    </row>
    <row r="1145" spans="1:6" ht="16.5" x14ac:dyDescent="0.3">
      <c r="A1145" s="37"/>
      <c r="B1145" s="37"/>
      <c r="C1145" s="37"/>
      <c r="D1145" s="37"/>
      <c r="E1145" s="37"/>
      <c r="F1145" s="37"/>
    </row>
    <row r="1146" spans="1:6" ht="16.5" x14ac:dyDescent="0.3">
      <c r="A1146" s="37"/>
      <c r="B1146" s="37"/>
      <c r="C1146" s="37"/>
      <c r="D1146" s="37"/>
      <c r="E1146" s="37"/>
      <c r="F1146" s="37"/>
    </row>
    <row r="1147" spans="1:6" ht="16.5" x14ac:dyDescent="0.3">
      <c r="A1147" s="37"/>
      <c r="B1147" s="37"/>
      <c r="C1147" s="37"/>
      <c r="D1147" s="37"/>
      <c r="E1147" s="37"/>
      <c r="F1147" s="37"/>
    </row>
    <row r="1148" spans="1:6" ht="16.5" x14ac:dyDescent="0.3">
      <c r="A1148" s="37"/>
      <c r="B1148" s="37"/>
      <c r="C1148" s="37"/>
      <c r="D1148" s="37"/>
      <c r="E1148" s="37"/>
      <c r="F1148" s="37"/>
    </row>
    <row r="1149" spans="1:6" ht="16.5" x14ac:dyDescent="0.3">
      <c r="A1149" s="37"/>
      <c r="B1149" s="37"/>
      <c r="C1149" s="37"/>
      <c r="D1149" s="37"/>
      <c r="E1149" s="37"/>
      <c r="F1149" s="37"/>
    </row>
    <row r="1150" spans="1:6" ht="16.5" x14ac:dyDescent="0.3">
      <c r="A1150" s="37"/>
      <c r="B1150" s="37"/>
      <c r="C1150" s="37"/>
      <c r="D1150" s="37"/>
      <c r="E1150" s="37"/>
      <c r="F1150" s="37"/>
    </row>
    <row r="1151" spans="1:6" ht="16.5" x14ac:dyDescent="0.3">
      <c r="A1151" s="37"/>
      <c r="B1151" s="37"/>
      <c r="C1151" s="37"/>
      <c r="D1151" s="37"/>
      <c r="E1151" s="37"/>
      <c r="F1151" s="37"/>
    </row>
    <row r="1152" spans="1:6" ht="16.5" x14ac:dyDescent="0.3">
      <c r="A1152" s="37"/>
      <c r="B1152" s="37"/>
      <c r="C1152" s="37"/>
      <c r="D1152" s="37"/>
      <c r="E1152" s="37"/>
      <c r="F1152" s="37"/>
    </row>
    <row r="1153" spans="1:6" ht="16.5" x14ac:dyDescent="0.3">
      <c r="A1153" s="37"/>
      <c r="B1153" s="37"/>
      <c r="C1153" s="37"/>
      <c r="D1153" s="37"/>
      <c r="E1153" s="37"/>
      <c r="F1153" s="37"/>
    </row>
    <row r="1154" spans="1:6" ht="16.5" x14ac:dyDescent="0.3">
      <c r="A1154" s="37"/>
      <c r="B1154" s="37"/>
      <c r="C1154" s="37"/>
      <c r="D1154" s="37"/>
      <c r="E1154" s="37"/>
      <c r="F1154" s="37"/>
    </row>
    <row r="1155" spans="1:6" ht="16.5" x14ac:dyDescent="0.3">
      <c r="A1155" s="37"/>
      <c r="B1155" s="37"/>
      <c r="C1155" s="37"/>
      <c r="D1155" s="37"/>
      <c r="E1155" s="37"/>
      <c r="F1155" s="37"/>
    </row>
    <row r="1156" spans="1:6" ht="16.5" x14ac:dyDescent="0.3">
      <c r="A1156" s="37"/>
      <c r="B1156" s="37"/>
      <c r="C1156" s="37"/>
      <c r="D1156" s="37"/>
      <c r="E1156" s="37"/>
      <c r="F1156" s="37"/>
    </row>
    <row r="1157" spans="1:6" ht="16.5" x14ac:dyDescent="0.3">
      <c r="A1157" s="37"/>
      <c r="B1157" s="37"/>
      <c r="C1157" s="37"/>
      <c r="D1157" s="37"/>
      <c r="E1157" s="37"/>
      <c r="F1157" s="37"/>
    </row>
    <row r="1158" spans="1:6" ht="16.5" x14ac:dyDescent="0.3">
      <c r="A1158" s="37"/>
      <c r="B1158" s="37"/>
      <c r="C1158" s="37"/>
      <c r="D1158" s="37"/>
      <c r="E1158" s="37"/>
      <c r="F1158" s="37"/>
    </row>
    <row r="1159" spans="1:6" ht="16.5" x14ac:dyDescent="0.3">
      <c r="A1159" s="37"/>
      <c r="B1159" s="37"/>
      <c r="C1159" s="37"/>
      <c r="D1159" s="37"/>
      <c r="E1159" s="37"/>
      <c r="F1159" s="37"/>
    </row>
    <row r="1160" spans="1:6" ht="16.5" x14ac:dyDescent="0.3">
      <c r="A1160" s="37"/>
      <c r="B1160" s="37"/>
      <c r="C1160" s="37"/>
      <c r="D1160" s="37"/>
      <c r="E1160" s="37"/>
      <c r="F1160" s="37"/>
    </row>
    <row r="1161" spans="1:6" ht="16.5" x14ac:dyDescent="0.3">
      <c r="A1161" s="37"/>
      <c r="B1161" s="37"/>
      <c r="C1161" s="37"/>
      <c r="D1161" s="37"/>
      <c r="E1161" s="37"/>
      <c r="F1161" s="37"/>
    </row>
    <row r="1162" spans="1:6" ht="16.5" x14ac:dyDescent="0.3">
      <c r="A1162" s="37"/>
      <c r="B1162" s="37"/>
      <c r="C1162" s="37"/>
      <c r="D1162" s="37"/>
      <c r="E1162" s="37"/>
      <c r="F1162" s="37"/>
    </row>
    <row r="1163" spans="1:6" ht="16.5" x14ac:dyDescent="0.3">
      <c r="A1163" s="37"/>
      <c r="B1163" s="37"/>
      <c r="C1163" s="37"/>
      <c r="D1163" s="37"/>
      <c r="E1163" s="37"/>
      <c r="F1163" s="37"/>
    </row>
    <row r="1164" spans="1:6" ht="16.5" x14ac:dyDescent="0.3">
      <c r="A1164" s="37"/>
      <c r="B1164" s="37"/>
      <c r="C1164" s="37"/>
      <c r="D1164" s="37"/>
      <c r="E1164" s="37"/>
      <c r="F1164" s="37"/>
    </row>
    <row r="1165" spans="1:6" ht="16.5" x14ac:dyDescent="0.3">
      <c r="A1165" s="37"/>
      <c r="B1165" s="37"/>
      <c r="C1165" s="37"/>
      <c r="D1165" s="37"/>
      <c r="E1165" s="37"/>
      <c r="F1165" s="37"/>
    </row>
    <row r="1166" spans="1:6" ht="16.5" x14ac:dyDescent="0.3">
      <c r="A1166" s="37"/>
      <c r="B1166" s="37"/>
      <c r="C1166" s="37"/>
      <c r="D1166" s="37"/>
      <c r="E1166" s="37"/>
      <c r="F1166" s="37"/>
    </row>
    <row r="1167" spans="1:6" ht="16.5" x14ac:dyDescent="0.3">
      <c r="A1167" s="37"/>
      <c r="B1167" s="37"/>
      <c r="C1167" s="37"/>
      <c r="D1167" s="37"/>
      <c r="E1167" s="37"/>
      <c r="F1167" s="37"/>
    </row>
    <row r="1168" spans="1:6" ht="16.5" x14ac:dyDescent="0.3">
      <c r="A1168" s="37"/>
      <c r="B1168" s="37"/>
      <c r="C1168" s="37"/>
      <c r="D1168" s="37"/>
      <c r="E1168" s="37"/>
      <c r="F1168" s="37"/>
    </row>
    <row r="1169" spans="1:6" ht="16.5" x14ac:dyDescent="0.3">
      <c r="A1169" s="37"/>
      <c r="B1169" s="37"/>
      <c r="C1169" s="37"/>
      <c r="D1169" s="37"/>
      <c r="E1169" s="37"/>
      <c r="F1169" s="37"/>
    </row>
    <row r="1170" spans="1:6" ht="16.5" x14ac:dyDescent="0.3">
      <c r="A1170" s="37"/>
      <c r="B1170" s="37"/>
      <c r="C1170" s="37"/>
      <c r="D1170" s="37"/>
      <c r="E1170" s="37"/>
      <c r="F1170" s="37"/>
    </row>
    <row r="1171" spans="1:6" ht="16.5" x14ac:dyDescent="0.3">
      <c r="A1171" s="37"/>
      <c r="B1171" s="37"/>
      <c r="C1171" s="37"/>
      <c r="D1171" s="37"/>
      <c r="E1171" s="37"/>
      <c r="F1171" s="37"/>
    </row>
    <row r="1172" spans="1:6" ht="16.5" x14ac:dyDescent="0.3">
      <c r="A1172" s="37"/>
      <c r="B1172" s="37"/>
      <c r="C1172" s="37"/>
      <c r="D1172" s="37"/>
      <c r="E1172" s="37"/>
      <c r="F1172" s="37"/>
    </row>
    <row r="1173" spans="1:6" ht="16.5" x14ac:dyDescent="0.3">
      <c r="A1173" s="37"/>
      <c r="B1173" s="37"/>
      <c r="C1173" s="37"/>
      <c r="D1173" s="37"/>
      <c r="E1173" s="37"/>
      <c r="F1173" s="37"/>
    </row>
    <row r="1174" spans="1:6" ht="16.5" x14ac:dyDescent="0.3">
      <c r="A1174" s="37"/>
      <c r="B1174" s="37"/>
      <c r="C1174" s="37"/>
      <c r="D1174" s="37"/>
      <c r="E1174" s="37"/>
      <c r="F1174" s="37"/>
    </row>
    <row r="1175" spans="1:6" ht="16.5" x14ac:dyDescent="0.3">
      <c r="A1175" s="37"/>
      <c r="B1175" s="37"/>
      <c r="C1175" s="37"/>
      <c r="D1175" s="37"/>
      <c r="E1175" s="37"/>
      <c r="F1175" s="37"/>
    </row>
    <row r="1176" spans="1:6" ht="16.5" x14ac:dyDescent="0.3">
      <c r="A1176" s="37"/>
      <c r="B1176" s="37"/>
      <c r="C1176" s="37"/>
      <c r="D1176" s="37"/>
      <c r="E1176" s="37"/>
      <c r="F1176" s="37"/>
    </row>
    <row r="1177" spans="1:6" ht="16.5" x14ac:dyDescent="0.3">
      <c r="A1177" s="37"/>
      <c r="B1177" s="37"/>
      <c r="C1177" s="37"/>
      <c r="D1177" s="37"/>
      <c r="E1177" s="37"/>
      <c r="F1177" s="37"/>
    </row>
    <row r="1178" spans="1:6" ht="16.5" x14ac:dyDescent="0.3">
      <c r="A1178" s="37"/>
      <c r="B1178" s="37"/>
      <c r="C1178" s="37"/>
      <c r="D1178" s="37"/>
      <c r="E1178" s="37"/>
      <c r="F1178" s="37"/>
    </row>
    <row r="1179" spans="1:6" ht="16.5" x14ac:dyDescent="0.3">
      <c r="A1179" s="37"/>
      <c r="B1179" s="37"/>
      <c r="C1179" s="37"/>
      <c r="D1179" s="37"/>
      <c r="E1179" s="37"/>
      <c r="F1179" s="37"/>
    </row>
    <row r="1180" spans="1:6" ht="16.5" x14ac:dyDescent="0.3">
      <c r="A1180" s="37"/>
      <c r="B1180" s="37"/>
      <c r="C1180" s="37"/>
      <c r="D1180" s="37"/>
      <c r="E1180" s="37"/>
      <c r="F1180" s="37"/>
    </row>
    <row r="1181" spans="1:6" ht="16.5" x14ac:dyDescent="0.3">
      <c r="A1181" s="37"/>
      <c r="B1181" s="37"/>
      <c r="C1181" s="37"/>
      <c r="D1181" s="37"/>
      <c r="E1181" s="37"/>
      <c r="F1181" s="37"/>
    </row>
    <row r="1182" spans="1:6" ht="16.5" x14ac:dyDescent="0.3">
      <c r="A1182" s="37"/>
      <c r="B1182" s="37"/>
      <c r="C1182" s="37"/>
      <c r="D1182" s="37"/>
      <c r="E1182" s="37"/>
      <c r="F1182" s="37"/>
    </row>
    <row r="1183" spans="1:6" ht="16.5" x14ac:dyDescent="0.3">
      <c r="A1183" s="37"/>
      <c r="B1183" s="37"/>
      <c r="C1183" s="37"/>
      <c r="D1183" s="37"/>
      <c r="E1183" s="37"/>
      <c r="F1183" s="37"/>
    </row>
    <row r="1184" spans="1:6" ht="16.5" x14ac:dyDescent="0.3">
      <c r="A1184" s="37"/>
      <c r="B1184" s="37"/>
      <c r="C1184" s="37"/>
      <c r="D1184" s="37"/>
      <c r="E1184" s="37"/>
      <c r="F1184" s="37"/>
    </row>
    <row r="1185" spans="1:6" ht="16.5" x14ac:dyDescent="0.3">
      <c r="A1185" s="37"/>
      <c r="B1185" s="37"/>
      <c r="C1185" s="37"/>
      <c r="D1185" s="37"/>
      <c r="E1185" s="37"/>
      <c r="F1185" s="37"/>
    </row>
    <row r="1186" spans="1:6" ht="16.5" x14ac:dyDescent="0.3">
      <c r="A1186" s="37"/>
      <c r="B1186" s="37"/>
      <c r="C1186" s="37"/>
      <c r="D1186" s="37"/>
      <c r="E1186" s="37"/>
      <c r="F1186" s="37"/>
    </row>
    <row r="1187" spans="1:6" ht="16.5" x14ac:dyDescent="0.3">
      <c r="A1187" s="37"/>
      <c r="B1187" s="37"/>
      <c r="C1187" s="37"/>
      <c r="D1187" s="37"/>
      <c r="E1187" s="37"/>
      <c r="F1187" s="37"/>
    </row>
    <row r="1188" spans="1:6" ht="16.5" x14ac:dyDescent="0.3">
      <c r="A1188" s="37"/>
      <c r="B1188" s="37"/>
      <c r="C1188" s="37"/>
      <c r="D1188" s="37"/>
      <c r="E1188" s="37"/>
      <c r="F1188" s="37"/>
    </row>
    <row r="1189" spans="1:6" ht="16.5" x14ac:dyDescent="0.3">
      <c r="A1189" s="37"/>
      <c r="B1189" s="37"/>
      <c r="C1189" s="37"/>
      <c r="D1189" s="37"/>
      <c r="E1189" s="37"/>
      <c r="F1189" s="37"/>
    </row>
    <row r="1190" spans="1:6" ht="16.5" x14ac:dyDescent="0.3">
      <c r="A1190" s="37"/>
      <c r="B1190" s="37"/>
      <c r="C1190" s="37"/>
      <c r="D1190" s="37"/>
      <c r="E1190" s="37"/>
      <c r="F1190" s="37"/>
    </row>
    <row r="1191" spans="1:6" ht="16.5" x14ac:dyDescent="0.3">
      <c r="A1191" s="37"/>
      <c r="B1191" s="37"/>
      <c r="C1191" s="37"/>
      <c r="D1191" s="37"/>
      <c r="E1191" s="37"/>
      <c r="F1191" s="37"/>
    </row>
    <row r="1192" spans="1:6" ht="16.5" x14ac:dyDescent="0.3">
      <c r="A1192" s="37"/>
      <c r="B1192" s="37"/>
      <c r="C1192" s="37"/>
      <c r="D1192" s="37"/>
      <c r="E1192" s="37"/>
      <c r="F1192" s="37"/>
    </row>
    <row r="1193" spans="1:6" ht="16.5" x14ac:dyDescent="0.3">
      <c r="A1193" s="37"/>
      <c r="B1193" s="37"/>
      <c r="C1193" s="37"/>
      <c r="D1193" s="37"/>
      <c r="E1193" s="37"/>
      <c r="F1193" s="37"/>
    </row>
    <row r="1194" spans="1:6" ht="16.5" x14ac:dyDescent="0.3">
      <c r="A1194" s="37"/>
      <c r="B1194" s="37"/>
      <c r="C1194" s="37"/>
      <c r="D1194" s="37"/>
      <c r="E1194" s="37"/>
      <c r="F1194" s="37"/>
    </row>
    <row r="1195" spans="1:6" ht="16.5" x14ac:dyDescent="0.3">
      <c r="A1195" s="37"/>
      <c r="B1195" s="37"/>
      <c r="C1195" s="37"/>
      <c r="D1195" s="37"/>
      <c r="E1195" s="37"/>
      <c r="F1195" s="37"/>
    </row>
    <row r="1196" spans="1:6" ht="16.5" x14ac:dyDescent="0.3">
      <c r="A1196" s="37"/>
      <c r="B1196" s="37"/>
      <c r="C1196" s="37"/>
      <c r="D1196" s="37"/>
      <c r="E1196" s="37"/>
      <c r="F1196" s="37"/>
    </row>
    <row r="1197" spans="1:6" ht="16.5" x14ac:dyDescent="0.3">
      <c r="A1197" s="37"/>
      <c r="B1197" s="37"/>
      <c r="C1197" s="37"/>
      <c r="D1197" s="37"/>
      <c r="E1197" s="37"/>
      <c r="F1197" s="37"/>
    </row>
    <row r="1198" spans="1:6" ht="16.5" x14ac:dyDescent="0.3">
      <c r="A1198" s="37"/>
      <c r="B1198" s="37"/>
      <c r="C1198" s="37"/>
      <c r="D1198" s="37"/>
      <c r="E1198" s="37"/>
      <c r="F1198" s="37"/>
    </row>
    <row r="1199" spans="1:6" ht="16.5" x14ac:dyDescent="0.3">
      <c r="A1199" s="37"/>
      <c r="B1199" s="37"/>
      <c r="C1199" s="37"/>
      <c r="D1199" s="37"/>
      <c r="E1199" s="37"/>
      <c r="F1199" s="37"/>
    </row>
    <row r="1200" spans="1:6" ht="16.5" x14ac:dyDescent="0.3">
      <c r="A1200" s="37"/>
      <c r="B1200" s="37"/>
      <c r="C1200" s="37"/>
      <c r="D1200" s="37"/>
      <c r="E1200" s="37"/>
      <c r="F1200" s="37"/>
    </row>
    <row r="1201" spans="1:6" ht="16.5" x14ac:dyDescent="0.3">
      <c r="A1201" s="37"/>
      <c r="B1201" s="37"/>
      <c r="C1201" s="37"/>
      <c r="D1201" s="37"/>
      <c r="E1201" s="37"/>
      <c r="F1201" s="37"/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2" orientation="portrait" r:id="rId2"/>
  <headerFooter alignWithMargins="0"/>
</worksheet>
</file>

<file path=xl/worksheets/sheet6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2-000000000000}">
  <sheetPr codeName="Sheet671">
    <pageSetUpPr fitToPage="1"/>
  </sheetPr>
  <dimension ref="A1:F52"/>
  <sheetViews>
    <sheetView topLeftCell="A16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430</v>
      </c>
    </row>
    <row r="10" spans="1:6" x14ac:dyDescent="0.2">
      <c r="A10" s="1" t="s">
        <v>429</v>
      </c>
      <c r="D10" s="20" t="s">
        <v>27</v>
      </c>
      <c r="E10" s="20" t="s">
        <v>419</v>
      </c>
    </row>
    <row r="11" spans="1:6" x14ac:dyDescent="0.2">
      <c r="A11" s="1" t="s">
        <v>428</v>
      </c>
      <c r="D11" s="20" t="s">
        <v>24</v>
      </c>
      <c r="E11" s="20" t="s">
        <v>23</v>
      </c>
    </row>
    <row r="12" spans="1:6" x14ac:dyDescent="0.2">
      <c r="A12" s="1" t="s">
        <v>427</v>
      </c>
      <c r="D12" s="20" t="s">
        <v>22</v>
      </c>
      <c r="E12" s="20" t="s">
        <v>426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2" spans="1:6" x14ac:dyDescent="0.2">
      <c r="A22" s="8" t="s">
        <v>425</v>
      </c>
      <c r="C22" s="21" t="s">
        <v>424</v>
      </c>
      <c r="F22" s="1">
        <v>800</v>
      </c>
    </row>
    <row r="23" spans="1:6" x14ac:dyDescent="0.2">
      <c r="C23" s="1" t="s">
        <v>423</v>
      </c>
    </row>
    <row r="32" spans="1:6" ht="13.5" thickBot="1" x14ac:dyDescent="0.25">
      <c r="F32" s="11">
        <f>SUM(F18:F31)</f>
        <v>800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422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2-000000000000}">
  <sheetPr codeName="Sheet641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6.5703125" style="91" customWidth="1"/>
    <col min="2" max="2" width="15.140625" style="91" customWidth="1"/>
    <col min="3" max="3" width="21" style="91" customWidth="1"/>
    <col min="4" max="4" width="16.42578125" style="91" customWidth="1"/>
    <col min="5" max="5" width="18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1387</v>
      </c>
    </row>
    <row r="10" spans="1:6" x14ac:dyDescent="0.2">
      <c r="A10" s="91" t="s">
        <v>1263</v>
      </c>
      <c r="D10" s="92" t="s">
        <v>1329</v>
      </c>
      <c r="E10" s="133" t="s">
        <v>1380</v>
      </c>
    </row>
    <row r="11" spans="1:6" x14ac:dyDescent="0.2">
      <c r="A11" s="91" t="s">
        <v>1264</v>
      </c>
      <c r="D11" s="92" t="s">
        <v>1359</v>
      </c>
      <c r="E11" s="92" t="s">
        <v>1220</v>
      </c>
    </row>
    <row r="12" spans="1:6" x14ac:dyDescent="0.2">
      <c r="A12" s="91" t="s">
        <v>1265</v>
      </c>
      <c r="D12" s="92" t="s">
        <v>1268</v>
      </c>
      <c r="E12" s="92" t="s">
        <v>1388</v>
      </c>
    </row>
    <row r="13" spans="1:6" x14ac:dyDescent="0.2">
      <c r="A13" s="91" t="s">
        <v>1266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5" t="s">
        <v>18</v>
      </c>
    </row>
    <row r="17" spans="1:5" x14ac:dyDescent="0.2">
      <c r="A17" s="109"/>
    </row>
    <row r="18" spans="1:5" x14ac:dyDescent="0.2">
      <c r="C18" s="2"/>
    </row>
    <row r="20" spans="1:5" x14ac:dyDescent="0.2">
      <c r="A20" s="109">
        <v>40633</v>
      </c>
      <c r="B20" s="99" t="s">
        <v>1360</v>
      </c>
      <c r="C20" s="91" t="s">
        <v>1361</v>
      </c>
      <c r="E20" s="91">
        <v>88</v>
      </c>
    </row>
    <row r="21" spans="1:5" x14ac:dyDescent="0.2">
      <c r="A21" s="109"/>
      <c r="C21" s="91" t="s">
        <v>1362</v>
      </c>
    </row>
    <row r="22" spans="1:5" x14ac:dyDescent="0.2">
      <c r="A22" s="109"/>
      <c r="C22" s="94"/>
    </row>
    <row r="23" spans="1:5" x14ac:dyDescent="0.2">
      <c r="A23" s="109"/>
    </row>
    <row r="24" spans="1:5" x14ac:dyDescent="0.2">
      <c r="A24" s="109"/>
    </row>
    <row r="25" spans="1:5" x14ac:dyDescent="0.2">
      <c r="A25" s="109"/>
    </row>
    <row r="26" spans="1:5" x14ac:dyDescent="0.2">
      <c r="A26" s="109"/>
      <c r="B26" s="94"/>
    </row>
    <row r="27" spans="1:5" x14ac:dyDescent="0.2">
      <c r="A27" s="109"/>
      <c r="B27" s="94"/>
    </row>
    <row r="28" spans="1:5" x14ac:dyDescent="0.2">
      <c r="A28" s="109"/>
      <c r="B28" s="94"/>
    </row>
    <row r="29" spans="1:5" x14ac:dyDescent="0.2">
      <c r="A29" s="109"/>
    </row>
    <row r="30" spans="1:5" x14ac:dyDescent="0.2">
      <c r="A30" s="109"/>
    </row>
    <row r="31" spans="1:5" x14ac:dyDescent="0.2">
      <c r="A31" s="109"/>
    </row>
    <row r="32" spans="1:5" ht="13.5" thickBot="1" x14ac:dyDescent="0.25">
      <c r="A32" s="109"/>
      <c r="E32" s="107">
        <f>SUM(E20:E31)</f>
        <v>88</v>
      </c>
    </row>
    <row r="33" spans="1:6" ht="13.5" thickTop="1" x14ac:dyDescent="0.2">
      <c r="A33" s="109"/>
    </row>
    <row r="34" spans="1:6" ht="13.5" thickBot="1" x14ac:dyDescent="0.25">
      <c r="A34" s="109"/>
      <c r="F34" s="107"/>
    </row>
    <row r="35" spans="1:6" ht="20.100000000000001" customHeight="1" thickTop="1" x14ac:dyDescent="0.2">
      <c r="A35" s="96" t="s">
        <v>122</v>
      </c>
      <c r="B35" s="96" t="s">
        <v>1363</v>
      </c>
      <c r="C35" s="97"/>
      <c r="D35" s="97"/>
      <c r="E35" s="97"/>
      <c r="F35" s="61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1" spans="1:6" x14ac:dyDescent="0.2">
      <c r="B41" s="101"/>
    </row>
    <row r="42" spans="1:6" x14ac:dyDescent="0.2">
      <c r="A42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</row>
    <row r="48" spans="1:6" s="61" customFormat="1" ht="17.100000000000001" customHeight="1" x14ac:dyDescent="0.2">
      <c r="A48" s="104" t="s">
        <v>133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2-000000000000}">
  <sheetPr codeName="Sheet45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186</v>
      </c>
    </row>
    <row r="10" spans="1:6" x14ac:dyDescent="0.2">
      <c r="A10" s="1" t="s">
        <v>185</v>
      </c>
      <c r="D10" s="20" t="s">
        <v>27</v>
      </c>
      <c r="E10" s="20" t="s">
        <v>184</v>
      </c>
    </row>
    <row r="11" spans="1:6" x14ac:dyDescent="0.2">
      <c r="A11" s="1" t="s">
        <v>183</v>
      </c>
      <c r="D11" s="20" t="s">
        <v>24</v>
      </c>
      <c r="E11" s="20" t="s">
        <v>23</v>
      </c>
    </row>
    <row r="12" spans="1:6" x14ac:dyDescent="0.2">
      <c r="A12" s="1" t="s">
        <v>182</v>
      </c>
      <c r="D12" s="20" t="s">
        <v>22</v>
      </c>
      <c r="E12" s="20" t="s">
        <v>181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180</v>
      </c>
    </row>
    <row r="20" spans="1:6" x14ac:dyDescent="0.2">
      <c r="C20" s="13" t="s">
        <v>179</v>
      </c>
    </row>
    <row r="22" spans="1:6" x14ac:dyDescent="0.2">
      <c r="B22" s="8"/>
    </row>
    <row r="23" spans="1:6" x14ac:dyDescent="0.2">
      <c r="A23" s="1" t="s">
        <v>178</v>
      </c>
      <c r="C23" s="1" t="s">
        <v>177</v>
      </c>
      <c r="F23" s="1">
        <v>18730</v>
      </c>
    </row>
    <row r="24" spans="1:6" x14ac:dyDescent="0.2">
      <c r="B24" s="8"/>
    </row>
    <row r="25" spans="1:6" x14ac:dyDescent="0.2">
      <c r="B25" s="8"/>
    </row>
    <row r="26" spans="1:6" x14ac:dyDescent="0.2">
      <c r="C26" s="8"/>
    </row>
    <row r="27" spans="1:6" x14ac:dyDescent="0.2">
      <c r="B27" s="8"/>
    </row>
    <row r="28" spans="1:6" x14ac:dyDescent="0.2">
      <c r="B28" s="8"/>
    </row>
    <row r="32" spans="1:6" ht="13.5" thickBot="1" x14ac:dyDescent="0.25">
      <c r="F32" s="11">
        <f>SUM(F18:F31)</f>
        <v>18730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176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2-000000000000}">
  <sheetPr codeName="Sheet461">
    <pageSetUpPr fitToPage="1"/>
  </sheetPr>
  <dimension ref="A1:H81"/>
  <sheetViews>
    <sheetView workbookViewId="0">
      <selection activeCell="F60" sqref="F60"/>
    </sheetView>
  </sheetViews>
  <sheetFormatPr defaultRowHeight="12.75" x14ac:dyDescent="0.2"/>
  <cols>
    <col min="1" max="1" width="15.85546875" style="1" customWidth="1"/>
    <col min="2" max="2" width="15.28515625" style="1" customWidth="1"/>
    <col min="3" max="3" width="1.42578125" style="1" customWidth="1"/>
    <col min="4" max="4" width="21" style="1" customWidth="1"/>
    <col min="5" max="5" width="1.14062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6" spans="1:8" s="91" customFormat="1" x14ac:dyDescent="0.2"/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1317</v>
      </c>
      <c r="G9" s="155" t="s">
        <v>8379</v>
      </c>
    </row>
    <row r="10" spans="1:8" s="91" customFormat="1" x14ac:dyDescent="0.2">
      <c r="A10" s="91" t="s">
        <v>7516</v>
      </c>
      <c r="F10" s="92" t="s">
        <v>1357</v>
      </c>
      <c r="G10" s="155" t="s">
        <v>8332</v>
      </c>
    </row>
    <row r="11" spans="1:8" s="91" customFormat="1" x14ac:dyDescent="0.2">
      <c r="A11" s="91" t="s">
        <v>4314</v>
      </c>
      <c r="F11" s="92" t="s">
        <v>1330</v>
      </c>
      <c r="G11" s="155" t="s">
        <v>1220</v>
      </c>
    </row>
    <row r="12" spans="1:8" s="91" customFormat="1" x14ac:dyDescent="0.2">
      <c r="A12" s="91" t="s">
        <v>2109</v>
      </c>
      <c r="F12" s="92" t="s">
        <v>1224</v>
      </c>
      <c r="G12" s="94" t="s">
        <v>8380</v>
      </c>
    </row>
    <row r="13" spans="1:8" s="91" customFormat="1" x14ac:dyDescent="0.2">
      <c r="A13" s="91" t="s">
        <v>1284</v>
      </c>
    </row>
    <row r="14" spans="1:8" s="91" customFormat="1" x14ac:dyDescent="0.2"/>
    <row r="15" spans="1:8" s="91" customFormat="1" x14ac:dyDescent="0.2"/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7" spans="1:8" s="14" customFormat="1" x14ac:dyDescent="0.2">
      <c r="A17" s="34"/>
      <c r="B17" s="34"/>
      <c r="C17" s="34"/>
      <c r="D17" s="35"/>
      <c r="E17" s="35"/>
      <c r="F17" s="34"/>
      <c r="G17" s="33"/>
      <c r="H17" s="32"/>
    </row>
    <row r="18" spans="1:8" s="14" customFormat="1" x14ac:dyDescent="0.2">
      <c r="A18" s="34"/>
      <c r="B18" s="34"/>
      <c r="C18" s="34"/>
      <c r="D18" s="14" t="s">
        <v>8384</v>
      </c>
      <c r="F18" s="34"/>
      <c r="G18" s="33"/>
      <c r="H18" s="32"/>
    </row>
    <row r="19" spans="1:8" s="91" customFormat="1" x14ac:dyDescent="0.2"/>
    <row r="20" spans="1:8" s="91" customFormat="1" x14ac:dyDescent="0.2">
      <c r="A20" s="93" t="s">
        <v>8206</v>
      </c>
      <c r="B20" s="93" t="s">
        <v>8383</v>
      </c>
      <c r="C20" s="93"/>
      <c r="D20" s="91" t="s">
        <v>8386</v>
      </c>
      <c r="H20" s="91">
        <v>6250</v>
      </c>
    </row>
    <row r="21" spans="1:8" s="91" customFormat="1" x14ac:dyDescent="0.2">
      <c r="D21" s="91" t="s">
        <v>8385</v>
      </c>
    </row>
    <row r="22" spans="1:8" s="91" customFormat="1" x14ac:dyDescent="0.2">
      <c r="D22" s="91" t="s">
        <v>6886</v>
      </c>
      <c r="H22" s="91">
        <v>375</v>
      </c>
    </row>
    <row r="23" spans="1:8" s="91" customFormat="1" x14ac:dyDescent="0.2">
      <c r="A23" s="93"/>
      <c r="B23" s="99"/>
      <c r="C23" s="402"/>
    </row>
    <row r="24" spans="1:8" s="91" customFormat="1" x14ac:dyDescent="0.2">
      <c r="D24" s="2" t="s">
        <v>8387</v>
      </c>
    </row>
    <row r="25" spans="1:8" s="91" customFormat="1" x14ac:dyDescent="0.2"/>
    <row r="26" spans="1:8" s="91" customFormat="1" x14ac:dyDescent="0.2">
      <c r="A26" s="93" t="s">
        <v>8349</v>
      </c>
      <c r="B26" s="93" t="s">
        <v>8388</v>
      </c>
      <c r="D26" s="91" t="s">
        <v>8389</v>
      </c>
      <c r="H26" s="91">
        <v>5000</v>
      </c>
    </row>
    <row r="27" spans="1:8" s="91" customFormat="1" x14ac:dyDescent="0.2">
      <c r="D27" s="91" t="s">
        <v>8390</v>
      </c>
    </row>
    <row r="28" spans="1:8" s="91" customFormat="1" x14ac:dyDescent="0.2">
      <c r="D28" s="91" t="s">
        <v>8391</v>
      </c>
    </row>
    <row r="29" spans="1:8" s="91" customFormat="1" x14ac:dyDescent="0.2">
      <c r="D29" s="91" t="s">
        <v>8392</v>
      </c>
    </row>
    <row r="30" spans="1:8" s="91" customFormat="1" x14ac:dyDescent="0.2">
      <c r="D30" s="91" t="s">
        <v>8393</v>
      </c>
      <c r="H30" s="91">
        <f>0.3*50000</f>
        <v>15000</v>
      </c>
    </row>
    <row r="31" spans="1:8" s="91" customFormat="1" x14ac:dyDescent="0.2">
      <c r="D31" s="91" t="s">
        <v>8394</v>
      </c>
      <c r="H31" s="91">
        <f>0.3*50000</f>
        <v>15000</v>
      </c>
    </row>
    <row r="32" spans="1:8" s="91" customFormat="1" x14ac:dyDescent="0.2">
      <c r="D32" s="91" t="s">
        <v>6886</v>
      </c>
      <c r="H32" s="91">
        <f>SUM(H26+H30+H31)*6%</f>
        <v>2100</v>
      </c>
    </row>
    <row r="33" spans="1:8" s="91" customFormat="1" x14ac:dyDescent="0.2"/>
    <row r="34" spans="1:8" s="91" customFormat="1" x14ac:dyDescent="0.2">
      <c r="A34" s="93" t="s">
        <v>8349</v>
      </c>
      <c r="B34" s="93" t="s">
        <v>8395</v>
      </c>
      <c r="D34" s="91" t="s">
        <v>8396</v>
      </c>
      <c r="H34" s="91">
        <v>5000</v>
      </c>
    </row>
    <row r="35" spans="1:8" s="91" customFormat="1" x14ac:dyDescent="0.2">
      <c r="D35" s="91" t="s">
        <v>8390</v>
      </c>
    </row>
    <row r="36" spans="1:8" s="91" customFormat="1" x14ac:dyDescent="0.2">
      <c r="D36" s="91" t="s">
        <v>8391</v>
      </c>
    </row>
    <row r="37" spans="1:8" s="91" customFormat="1" x14ac:dyDescent="0.2">
      <c r="D37" s="91" t="s">
        <v>8392</v>
      </c>
    </row>
    <row r="38" spans="1:8" s="91" customFormat="1" x14ac:dyDescent="0.2">
      <c r="D38" s="91" t="s">
        <v>8397</v>
      </c>
      <c r="H38" s="91">
        <f>0.3*50000</f>
        <v>15000</v>
      </c>
    </row>
    <row r="39" spans="1:8" s="91" customFormat="1" x14ac:dyDescent="0.2">
      <c r="D39" s="91" t="s">
        <v>8398</v>
      </c>
      <c r="H39" s="91">
        <f>0.3*50000</f>
        <v>15000</v>
      </c>
    </row>
    <row r="40" spans="1:8" s="91" customFormat="1" x14ac:dyDescent="0.2">
      <c r="D40" s="91" t="s">
        <v>6886</v>
      </c>
      <c r="H40" s="91">
        <f>SUM(H34+H38+H39)*6%</f>
        <v>2100</v>
      </c>
    </row>
    <row r="41" spans="1:8" s="91" customFormat="1" x14ac:dyDescent="0.2"/>
    <row r="42" spans="1:8" s="91" customFormat="1" x14ac:dyDescent="0.2">
      <c r="A42" s="93" t="s">
        <v>8144</v>
      </c>
      <c r="B42" s="93" t="s">
        <v>8215</v>
      </c>
      <c r="C42" s="93"/>
      <c r="D42" s="91" t="s">
        <v>8381</v>
      </c>
      <c r="H42" s="91">
        <v>270</v>
      </c>
    </row>
    <row r="43" spans="1:8" s="91" customFormat="1" x14ac:dyDescent="0.2">
      <c r="D43" s="91" t="s">
        <v>8382</v>
      </c>
    </row>
    <row r="44" spans="1:8" s="91" customFormat="1" x14ac:dyDescent="0.2"/>
    <row r="45" spans="1:8" s="91" customFormat="1" ht="13.5" thickBot="1" x14ac:dyDescent="0.25">
      <c r="H45" s="95">
        <f>SUM(H19:H43)</f>
        <v>81095</v>
      </c>
    </row>
    <row r="46" spans="1:8" s="91" customFormat="1" ht="13.5" thickTop="1" x14ac:dyDescent="0.2"/>
    <row r="47" spans="1:8" s="91" customFormat="1" ht="20.100000000000001" customHeight="1" x14ac:dyDescent="0.2">
      <c r="A47" s="96" t="s">
        <v>336</v>
      </c>
      <c r="B47" s="185" t="str">
        <f>IF(OR(H45&gt;1000000,H45&lt;=0),"",IF(H45&lt;1000,"",IF(MOD(H45,1000000)&gt;=100000,INDEX(numbers,TRUNC(MOD(H45,1000000)/100000,0)+1)&amp;" Hundred","")&amp;IF(MOD(H45,100000)&gt;=20000," "&amp;INDEX(tens,TRUNC(MOD(H45,100000)/10000,0)+1)&amp;IF(MOD(MOD(H45,100000),10000)&gt;=1000,"-"&amp;INDEX(numbers,TRUNC(MOD(MOD(H45,100000),10000)/1000,0)+1),""),IF(MOD(H45,100000)&gt;=1000," "&amp;INDEX(numbers,TRUNC(MOD(H45,100000)/1000,0)+1),""))&amp;" Thousand") &amp; IF(H45&lt;1,"Zero Dollars",IF(MOD(H45,1000)&gt;=100," "&amp;INDEX(numbers,TRUNC(MOD(H45,1000)/100,0)+1)&amp;" Hundred","")&amp;IF(MOD(H45,100)&gt;=20," "&amp;INDEX(tens,TRUNC(MOD(H45,100)/10,0)+1)&amp;IF(MOD(MOD(H45,100),10)&gt;=1,"-"&amp;INDEX(numbers,TRUNC(MOD(MOD(H45,100),10),0)+1),""),IF(MOD(H45,100)&gt;=1," "&amp;INDEX(numbers,TRUNC(MOD(H45,100),0)+1),""))&amp;"") &amp; " and " &amp; IF(MOD(H45,1)&lt;0.005,"NO",ROUND(MOD(H45,1)*100,0)) &amp; "/100 -----------")</f>
        <v xml:space="preserve"> Eighty-One Thousand Ninety-Five and NO/100 -----------</v>
      </c>
      <c r="C47" s="185"/>
      <c r="D47" s="97"/>
      <c r="E47" s="97"/>
      <c r="F47" s="206"/>
      <c r="G47" s="206"/>
      <c r="H47" s="206"/>
    </row>
    <row r="48" spans="1:8" s="91" customFormat="1" x14ac:dyDescent="0.2">
      <c r="A48" s="94" t="s">
        <v>11</v>
      </c>
    </row>
    <row r="49" spans="1:8" s="91" customFormat="1" ht="25.5" x14ac:dyDescent="0.2">
      <c r="A49" s="91" t="s">
        <v>10</v>
      </c>
      <c r="F49" s="218" t="s">
        <v>3975</v>
      </c>
      <c r="G49" s="219"/>
      <c r="H49" s="220"/>
    </row>
    <row r="50" spans="1:8" s="91" customFormat="1" x14ac:dyDescent="0.2">
      <c r="F50" s="227"/>
      <c r="G50" s="227"/>
      <c r="H50" s="227"/>
    </row>
    <row r="51" spans="1:8" s="91" customFormat="1" x14ac:dyDescent="0.2">
      <c r="F51" s="228"/>
      <c r="G51" s="229"/>
      <c r="H51" s="229"/>
    </row>
    <row r="52" spans="1:8" s="91" customFormat="1" x14ac:dyDescent="0.2"/>
    <row r="53" spans="1:8" s="91" customFormat="1" x14ac:dyDescent="0.2">
      <c r="A53" s="101"/>
      <c r="B53" s="101"/>
      <c r="C53" s="386"/>
    </row>
    <row r="54" spans="1:8" s="91" customFormat="1" x14ac:dyDescent="0.2"/>
    <row r="55" spans="1:8" s="91" customFormat="1" x14ac:dyDescent="0.2">
      <c r="A55" s="98" t="s">
        <v>8</v>
      </c>
      <c r="D55" s="98" t="s">
        <v>8</v>
      </c>
      <c r="F55" s="98" t="s">
        <v>7</v>
      </c>
      <c r="H55" s="102"/>
    </row>
    <row r="56" spans="1:8" s="91" customFormat="1" x14ac:dyDescent="0.2"/>
    <row r="57" spans="1:8" s="91" customFormat="1" x14ac:dyDescent="0.2"/>
    <row r="58" spans="1:8" s="91" customFormat="1" x14ac:dyDescent="0.2"/>
    <row r="59" spans="1:8" s="91" customFormat="1" x14ac:dyDescent="0.2">
      <c r="A59" s="101"/>
      <c r="B59" s="101"/>
      <c r="C59" s="386"/>
      <c r="D59" s="101"/>
      <c r="F59" s="101"/>
      <c r="G59" s="101"/>
      <c r="H59" s="101"/>
    </row>
    <row r="60" spans="1:8" s="61" customFormat="1" ht="17.100000000000001" customHeight="1" x14ac:dyDescent="0.2">
      <c r="A60" s="103" t="s">
        <v>4066</v>
      </c>
      <c r="B60" s="104"/>
      <c r="C60" s="104"/>
      <c r="D60" s="103" t="s">
        <v>50</v>
      </c>
      <c r="F60" s="61" t="s">
        <v>3</v>
      </c>
    </row>
    <row r="61" spans="1:8" s="91" customFormat="1" x14ac:dyDescent="0.2">
      <c r="F61" s="91" t="s">
        <v>2</v>
      </c>
    </row>
    <row r="62" spans="1:8" s="91" customFormat="1" x14ac:dyDescent="0.2"/>
    <row r="63" spans="1:8" s="91" customFormat="1" x14ac:dyDescent="0.2">
      <c r="F63" s="2" t="s">
        <v>1</v>
      </c>
    </row>
    <row r="64" spans="1:8" s="91" customFormat="1" x14ac:dyDescent="0.2">
      <c r="F64" s="2" t="s">
        <v>0</v>
      </c>
    </row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76" orientation="portrait" r:id="rId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77"/>
  <dimension ref="A1:S116"/>
  <sheetViews>
    <sheetView view="pageBreakPreview" zoomScaleNormal="100" zoomScaleSheetLayoutView="100" workbookViewId="0">
      <selection activeCell="D43" sqref="D43:D48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7109375" style="91" customWidth="1"/>
    <col min="4" max="4" width="21" style="91" customWidth="1"/>
    <col min="5" max="5" width="0.42578125" style="91" customWidth="1"/>
    <col min="6" max="6" width="16.42578125" style="91" customWidth="1"/>
    <col min="7" max="7" width="10.85546875" style="91" customWidth="1"/>
    <col min="8" max="8" width="13.28515625" style="91" customWidth="1"/>
    <col min="9" max="10" width="9.140625" style="1"/>
    <col min="11" max="11" width="10" style="1" bestFit="1" customWidth="1"/>
    <col min="12" max="16" width="9.140625" style="1"/>
    <col min="17" max="17" width="10.42578125" style="1" bestFit="1" customWidth="1"/>
    <col min="18" max="16384" width="9.140625" style="1"/>
  </cols>
  <sheetData>
    <row r="1" spans="1:1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9" x14ac:dyDescent="0.2">
      <c r="A8" s="91" t="s">
        <v>32</v>
      </c>
      <c r="F8" s="22" t="s">
        <v>31</v>
      </c>
    </row>
    <row r="9" spans="1:19" x14ac:dyDescent="0.2">
      <c r="A9" s="91" t="s">
        <v>2896</v>
      </c>
      <c r="F9" s="92" t="s">
        <v>1317</v>
      </c>
      <c r="G9" s="91" t="s">
        <v>8221</v>
      </c>
      <c r="L9" s="93"/>
      <c r="M9" s="195"/>
      <c r="N9" s="93"/>
      <c r="O9" s="2" t="s">
        <v>6676</v>
      </c>
      <c r="P9" s="91"/>
      <c r="Q9" s="91"/>
      <c r="R9" s="91"/>
      <c r="S9" s="91"/>
    </row>
    <row r="10" spans="1:19" x14ac:dyDescent="0.2">
      <c r="A10" s="91" t="s">
        <v>2897</v>
      </c>
      <c r="F10" s="92" t="s">
        <v>1329</v>
      </c>
      <c r="G10" s="92" t="s">
        <v>8183</v>
      </c>
      <c r="L10" s="93"/>
      <c r="M10" s="99"/>
      <c r="N10" s="93"/>
      <c r="O10" s="91"/>
      <c r="P10" s="91"/>
      <c r="Q10" s="91"/>
      <c r="R10" s="91"/>
      <c r="S10" s="91"/>
    </row>
    <row r="11" spans="1:19" x14ac:dyDescent="0.2">
      <c r="A11" s="91" t="s">
        <v>2898</v>
      </c>
      <c r="F11" s="92" t="s">
        <v>1330</v>
      </c>
      <c r="G11" s="92" t="s">
        <v>1220</v>
      </c>
      <c r="L11" s="93" t="s">
        <v>6642</v>
      </c>
      <c r="M11" s="195" t="s">
        <v>6677</v>
      </c>
      <c r="N11" s="91"/>
      <c r="O11" s="91" t="s">
        <v>6679</v>
      </c>
      <c r="P11" s="91"/>
      <c r="Q11" s="91"/>
      <c r="R11" s="91"/>
      <c r="S11" s="91">
        <v>11748</v>
      </c>
    </row>
    <row r="12" spans="1:19" x14ac:dyDescent="0.2">
      <c r="A12" s="91" t="s">
        <v>1306</v>
      </c>
      <c r="F12" s="92" t="s">
        <v>1331</v>
      </c>
      <c r="G12" s="94" t="s">
        <v>8222</v>
      </c>
      <c r="L12" s="93" t="s">
        <v>6642</v>
      </c>
      <c r="M12" s="195" t="s">
        <v>6674</v>
      </c>
      <c r="N12" s="91"/>
      <c r="O12" s="91" t="s">
        <v>6678</v>
      </c>
      <c r="P12" s="91"/>
      <c r="Q12" s="91"/>
      <c r="R12" s="91"/>
      <c r="S12" s="91">
        <v>12294</v>
      </c>
    </row>
    <row r="13" spans="1:19" x14ac:dyDescent="0.2">
      <c r="A13" s="91" t="s">
        <v>2899</v>
      </c>
      <c r="L13" s="93" t="s">
        <v>6642</v>
      </c>
      <c r="M13" s="195" t="s">
        <v>6675</v>
      </c>
      <c r="N13" s="93"/>
      <c r="O13" s="91" t="s">
        <v>6680</v>
      </c>
      <c r="P13" s="91"/>
      <c r="Q13" s="91"/>
      <c r="R13" s="91"/>
      <c r="S13" s="91">
        <v>27540</v>
      </c>
    </row>
    <row r="14" spans="1:19" x14ac:dyDescent="0.2">
      <c r="A14" s="91" t="s">
        <v>2900</v>
      </c>
      <c r="L14" s="93"/>
      <c r="M14" s="195"/>
      <c r="N14" s="93"/>
      <c r="O14" s="91"/>
      <c r="P14" s="91"/>
      <c r="Q14" s="91"/>
      <c r="R14" s="91"/>
      <c r="S14" s="91"/>
    </row>
    <row r="15" spans="1:19" x14ac:dyDescent="0.2">
      <c r="L15" s="91"/>
      <c r="M15" s="91"/>
      <c r="N15" s="91"/>
      <c r="O15" s="91"/>
      <c r="P15" s="91"/>
      <c r="Q15" s="91"/>
      <c r="R15" s="91"/>
      <c r="S15" s="91"/>
    </row>
    <row r="16" spans="1:19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9" x14ac:dyDescent="0.2">
      <c r="A17" s="106"/>
      <c r="L17" s="93" t="s">
        <v>3731</v>
      </c>
      <c r="M17" s="93" t="s">
        <v>4280</v>
      </c>
      <c r="N17" s="91" t="s">
        <v>3705</v>
      </c>
      <c r="O17" s="91"/>
      <c r="P17" s="91"/>
      <c r="Q17" s="91">
        <v>8681.4</v>
      </c>
    </row>
    <row r="18" spans="1:19" x14ac:dyDescent="0.2">
      <c r="A18" s="93"/>
      <c r="B18" s="195"/>
      <c r="C18" s="93"/>
      <c r="D18" s="2" t="s">
        <v>7981</v>
      </c>
      <c r="L18" s="93" t="s">
        <v>3731</v>
      </c>
      <c r="M18" s="93" t="s">
        <v>4281</v>
      </c>
      <c r="N18" s="91" t="s">
        <v>3563</v>
      </c>
      <c r="O18" s="91"/>
      <c r="P18" s="91"/>
      <c r="Q18" s="91">
        <v>7775.1</v>
      </c>
    </row>
    <row r="19" spans="1:19" x14ac:dyDescent="0.2">
      <c r="A19" s="93"/>
      <c r="B19" s="99"/>
      <c r="C19" s="93"/>
      <c r="L19" s="93" t="s">
        <v>3731</v>
      </c>
      <c r="M19" s="93" t="s">
        <v>4282</v>
      </c>
      <c r="N19" s="91" t="s">
        <v>3562</v>
      </c>
      <c r="O19" s="91"/>
      <c r="P19" s="91"/>
      <c r="Q19" s="91">
        <v>9587.7000000000007</v>
      </c>
    </row>
    <row r="20" spans="1:19" x14ac:dyDescent="0.2">
      <c r="A20" s="93" t="s">
        <v>8223</v>
      </c>
      <c r="B20" s="195" t="s">
        <v>8224</v>
      </c>
      <c r="D20" s="91" t="s">
        <v>8225</v>
      </c>
      <c r="H20" s="91">
        <v>2021.12</v>
      </c>
      <c r="L20" s="93" t="s">
        <v>3731</v>
      </c>
      <c r="M20" s="93" t="s">
        <v>4283</v>
      </c>
      <c r="N20" s="91" t="s">
        <v>3706</v>
      </c>
      <c r="O20" s="91"/>
      <c r="P20" s="91"/>
      <c r="Q20" s="91">
        <v>15597.9</v>
      </c>
    </row>
    <row r="21" spans="1:19" x14ac:dyDescent="0.2">
      <c r="A21" s="93" t="s">
        <v>8223</v>
      </c>
      <c r="B21" s="195" t="s">
        <v>8226</v>
      </c>
      <c r="D21" s="91" t="s">
        <v>8228</v>
      </c>
      <c r="H21" s="91">
        <v>1787.42</v>
      </c>
      <c r="L21" s="137" t="s">
        <v>3731</v>
      </c>
      <c r="M21" s="93" t="s">
        <v>4289</v>
      </c>
      <c r="N21" s="91" t="s">
        <v>4279</v>
      </c>
      <c r="O21" s="91"/>
      <c r="P21" s="91"/>
      <c r="Q21" s="91">
        <v>2700</v>
      </c>
    </row>
    <row r="22" spans="1:19" x14ac:dyDescent="0.2">
      <c r="A22" s="93" t="s">
        <v>8223</v>
      </c>
      <c r="B22" s="195" t="s">
        <v>8227</v>
      </c>
      <c r="C22" s="93"/>
      <c r="D22" s="91" t="s">
        <v>8229</v>
      </c>
      <c r="H22" s="91">
        <v>2978.88</v>
      </c>
      <c r="L22" s="137"/>
      <c r="M22" s="93"/>
      <c r="N22" s="91"/>
      <c r="O22" s="91"/>
      <c r="P22" s="91"/>
      <c r="Q22" s="91"/>
    </row>
    <row r="23" spans="1:19" x14ac:dyDescent="0.2">
      <c r="A23" s="93" t="s">
        <v>8223</v>
      </c>
      <c r="B23" s="195" t="s">
        <v>8230</v>
      </c>
      <c r="C23" s="93"/>
      <c r="D23" s="91" t="s">
        <v>8232</v>
      </c>
      <c r="H23" s="91">
        <v>22054</v>
      </c>
      <c r="L23" s="137"/>
      <c r="M23" s="93"/>
      <c r="N23" s="91"/>
      <c r="O23" s="91"/>
      <c r="P23" s="91"/>
      <c r="Q23" s="91"/>
    </row>
    <row r="24" spans="1:19" x14ac:dyDescent="0.2">
      <c r="A24" s="93" t="s">
        <v>8223</v>
      </c>
      <c r="B24" s="195" t="s">
        <v>8231</v>
      </c>
      <c r="C24" s="93"/>
      <c r="D24" s="91" t="s">
        <v>8233</v>
      </c>
      <c r="H24" s="91">
        <v>25729.599999999999</v>
      </c>
      <c r="L24" s="137"/>
      <c r="M24" s="93"/>
      <c r="N24" s="91"/>
      <c r="O24" s="91"/>
      <c r="P24" s="91"/>
      <c r="Q24" s="91"/>
    </row>
    <row r="25" spans="1:19" x14ac:dyDescent="0.2">
      <c r="A25" s="93"/>
      <c r="B25" s="195"/>
      <c r="C25" s="93"/>
      <c r="D25" s="91" t="s">
        <v>7648</v>
      </c>
      <c r="H25" s="91">
        <f>SUM(H20:H24)*6%</f>
        <v>3274.2611999999995</v>
      </c>
      <c r="L25" s="137"/>
      <c r="M25" s="93"/>
      <c r="N25" s="91"/>
      <c r="O25" s="91"/>
      <c r="P25" s="91"/>
      <c r="Q25" s="91"/>
    </row>
    <row r="26" spans="1:19" x14ac:dyDescent="0.2">
      <c r="A26" s="93"/>
      <c r="B26" s="195"/>
      <c r="L26" s="93" t="s">
        <v>5534</v>
      </c>
      <c r="M26" s="93" t="s">
        <v>5578</v>
      </c>
      <c r="N26" s="93"/>
      <c r="O26" s="91" t="s">
        <v>5437</v>
      </c>
      <c r="P26" s="91"/>
      <c r="Q26" s="91"/>
      <c r="R26" s="91"/>
      <c r="S26" s="91">
        <v>180</v>
      </c>
    </row>
    <row r="27" spans="1:19" x14ac:dyDescent="0.2">
      <c r="A27" s="93"/>
      <c r="B27" s="195"/>
      <c r="D27" s="2" t="s">
        <v>8234</v>
      </c>
      <c r="L27" s="93" t="s">
        <v>5432</v>
      </c>
      <c r="M27" s="93" t="s">
        <v>5438</v>
      </c>
      <c r="N27" s="93"/>
      <c r="O27" s="91" t="s">
        <v>5441</v>
      </c>
      <c r="P27" s="91"/>
      <c r="Q27" s="91"/>
      <c r="R27" s="91"/>
      <c r="S27" s="91">
        <v>180</v>
      </c>
    </row>
    <row r="28" spans="1:19" x14ac:dyDescent="0.2">
      <c r="A28" s="93"/>
      <c r="L28" s="93" t="s">
        <v>5432</v>
      </c>
      <c r="M28" s="93" t="s">
        <v>5439</v>
      </c>
      <c r="N28" s="93"/>
      <c r="O28" s="91" t="s">
        <v>5440</v>
      </c>
      <c r="P28" s="91"/>
      <c r="Q28" s="91"/>
      <c r="R28" s="91"/>
      <c r="S28" s="91">
        <v>180</v>
      </c>
    </row>
    <row r="29" spans="1:19" x14ac:dyDescent="0.2">
      <c r="A29" s="93" t="s">
        <v>8223</v>
      </c>
      <c r="B29" s="278" t="s">
        <v>8235</v>
      </c>
      <c r="D29" s="91" t="s">
        <v>3563</v>
      </c>
      <c r="H29" s="91">
        <v>10850</v>
      </c>
      <c r="K29" s="27"/>
    </row>
    <row r="30" spans="1:19" x14ac:dyDescent="0.2">
      <c r="A30" s="93"/>
      <c r="B30" s="93"/>
      <c r="D30" s="91" t="s">
        <v>8236</v>
      </c>
      <c r="H30" s="91">
        <v>10885</v>
      </c>
      <c r="K30" s="27"/>
    </row>
    <row r="31" spans="1:19" x14ac:dyDescent="0.2">
      <c r="A31" s="93"/>
      <c r="B31" s="99"/>
      <c r="D31" s="91" t="s">
        <v>8237</v>
      </c>
      <c r="H31" s="91">
        <v>8155</v>
      </c>
      <c r="K31" s="27"/>
      <c r="L31" s="93" t="s">
        <v>5533</v>
      </c>
      <c r="M31" s="93" t="s">
        <v>5579</v>
      </c>
      <c r="N31" s="93"/>
      <c r="O31" s="91" t="s">
        <v>5580</v>
      </c>
      <c r="P31" s="91"/>
      <c r="Q31" s="91"/>
      <c r="R31" s="91"/>
      <c r="S31" s="91">
        <v>16450</v>
      </c>
    </row>
    <row r="32" spans="1:19" x14ac:dyDescent="0.2">
      <c r="A32" s="93"/>
      <c r="B32" s="99"/>
      <c r="D32" s="91" t="s">
        <v>3706</v>
      </c>
      <c r="H32" s="91">
        <v>22155</v>
      </c>
      <c r="K32" s="27"/>
      <c r="L32" s="93" t="s">
        <v>5533</v>
      </c>
      <c r="M32" s="93" t="s">
        <v>5581</v>
      </c>
      <c r="N32" s="93"/>
      <c r="O32" s="91" t="s">
        <v>5585</v>
      </c>
      <c r="P32" s="91"/>
      <c r="Q32" s="91"/>
      <c r="R32" s="91"/>
      <c r="S32" s="91">
        <v>6440</v>
      </c>
    </row>
    <row r="33" spans="1:19" x14ac:dyDescent="0.2">
      <c r="A33" s="93"/>
      <c r="B33" s="482"/>
      <c r="D33" s="91" t="s">
        <v>8238</v>
      </c>
      <c r="H33" s="91">
        <v>600</v>
      </c>
      <c r="K33" s="27"/>
      <c r="L33" s="93"/>
      <c r="M33" s="93"/>
      <c r="N33" s="93"/>
      <c r="O33" s="91"/>
      <c r="P33" s="91"/>
      <c r="Q33" s="91"/>
      <c r="R33" s="91"/>
      <c r="S33" s="91"/>
    </row>
    <row r="34" spans="1:19" x14ac:dyDescent="0.2">
      <c r="A34" s="93"/>
      <c r="B34" s="482"/>
      <c r="D34" s="91" t="s">
        <v>8239</v>
      </c>
      <c r="H34" s="91">
        <v>600</v>
      </c>
      <c r="K34" s="27"/>
      <c r="L34" s="93"/>
      <c r="M34" s="93"/>
      <c r="N34" s="93"/>
      <c r="O34" s="91"/>
      <c r="P34" s="91"/>
      <c r="Q34" s="91"/>
      <c r="R34" s="91"/>
      <c r="S34" s="91"/>
    </row>
    <row r="35" spans="1:19" x14ac:dyDescent="0.2">
      <c r="A35" s="93"/>
      <c r="B35" s="482"/>
      <c r="D35" s="91" t="s">
        <v>8240</v>
      </c>
      <c r="H35" s="91">
        <v>600</v>
      </c>
      <c r="K35" s="27"/>
      <c r="L35" s="93"/>
      <c r="M35" s="93"/>
      <c r="N35" s="93"/>
      <c r="O35" s="91"/>
      <c r="P35" s="91"/>
      <c r="Q35" s="91"/>
      <c r="R35" s="91"/>
      <c r="S35" s="91"/>
    </row>
    <row r="36" spans="1:19" x14ac:dyDescent="0.2">
      <c r="A36" s="93"/>
      <c r="B36" s="482"/>
      <c r="D36" s="91" t="s">
        <v>8241</v>
      </c>
      <c r="H36" s="91">
        <v>600</v>
      </c>
      <c r="K36" s="27"/>
      <c r="L36" s="93"/>
      <c r="M36" s="93"/>
      <c r="N36" s="93"/>
      <c r="O36" s="91"/>
      <c r="P36" s="91"/>
      <c r="Q36" s="91"/>
      <c r="R36" s="91"/>
      <c r="S36" s="91"/>
    </row>
    <row r="37" spans="1:19" x14ac:dyDescent="0.2">
      <c r="A37" s="93"/>
      <c r="B37" s="482"/>
      <c r="D37" s="91" t="s">
        <v>6886</v>
      </c>
      <c r="H37" s="91">
        <f>SUM(H29:H32)*6%</f>
        <v>3122.7</v>
      </c>
      <c r="K37" s="27"/>
      <c r="L37" s="93"/>
      <c r="M37" s="93"/>
      <c r="N37" s="93"/>
      <c r="O37" s="91"/>
      <c r="P37" s="91"/>
      <c r="Q37" s="91"/>
      <c r="R37" s="91"/>
      <c r="S37" s="91"/>
    </row>
    <row r="38" spans="1:19" x14ac:dyDescent="0.2">
      <c r="A38" s="7"/>
      <c r="B38" s="1"/>
      <c r="C38" s="1"/>
      <c r="D38" s="1"/>
      <c r="E38" s="1"/>
      <c r="F38" s="1"/>
      <c r="G38" s="1"/>
      <c r="H38" s="1"/>
      <c r="K38" s="27"/>
      <c r="L38" s="93"/>
      <c r="M38" s="93"/>
      <c r="N38" s="93"/>
      <c r="O38" s="91"/>
      <c r="P38" s="91"/>
      <c r="Q38" s="91"/>
      <c r="R38" s="91"/>
      <c r="S38" s="91"/>
    </row>
    <row r="39" spans="1:19" ht="13.5" thickBot="1" x14ac:dyDescent="0.25">
      <c r="A39" s="106"/>
      <c r="H39" s="107">
        <f>SUM(H19:H38)</f>
        <v>115412.98119999999</v>
      </c>
      <c r="K39" s="27"/>
      <c r="L39" s="93"/>
      <c r="M39" s="93"/>
      <c r="N39" s="93"/>
      <c r="O39" s="91"/>
      <c r="P39" s="91"/>
      <c r="Q39" s="91"/>
      <c r="R39" s="91"/>
      <c r="S39" s="91"/>
    </row>
    <row r="40" spans="1:19" ht="13.5" thickTop="1" x14ac:dyDescent="0.2">
      <c r="A40" s="106"/>
      <c r="K40" s="27"/>
      <c r="L40" s="93"/>
      <c r="M40" s="93"/>
      <c r="N40" s="93"/>
      <c r="O40" s="91"/>
      <c r="P40" s="91"/>
      <c r="Q40" s="91"/>
      <c r="R40" s="91"/>
      <c r="S40" s="91"/>
    </row>
    <row r="41" spans="1:19" ht="24.75" customHeight="1" x14ac:dyDescent="0.2">
      <c r="A41" s="96" t="s">
        <v>1248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>One Hundred Fifteen Thousand Four Hundred Twelve and 98/100 -----------</v>
      </c>
      <c r="C41" s="185"/>
      <c r="D41" s="97"/>
      <c r="E41" s="97"/>
      <c r="F41" s="206"/>
      <c r="G41" s="206"/>
      <c r="H41" s="206"/>
      <c r="K41" s="27"/>
      <c r="L41" s="93"/>
      <c r="M41" s="93"/>
      <c r="N41" s="93"/>
      <c r="O41" s="91"/>
      <c r="P41" s="91"/>
      <c r="Q41" s="91"/>
      <c r="R41" s="91"/>
      <c r="S41" s="91"/>
    </row>
    <row r="42" spans="1:19" x14ac:dyDescent="0.2">
      <c r="A42" s="94"/>
      <c r="K42" s="27"/>
      <c r="L42" s="93" t="s">
        <v>5533</v>
      </c>
      <c r="M42" s="93" t="s">
        <v>5582</v>
      </c>
      <c r="N42" s="93"/>
      <c r="O42" s="91" t="s">
        <v>5586</v>
      </c>
      <c r="P42" s="91"/>
      <c r="Q42" s="91"/>
      <c r="R42" s="91"/>
      <c r="S42" s="91">
        <v>6400</v>
      </c>
    </row>
    <row r="43" spans="1:19" ht="25.5" x14ac:dyDescent="0.2">
      <c r="A43" s="91" t="s">
        <v>10</v>
      </c>
      <c r="D43" s="91" t="s">
        <v>8</v>
      </c>
      <c r="F43" s="218" t="s">
        <v>3975</v>
      </c>
      <c r="G43" s="219"/>
      <c r="H43" s="220"/>
      <c r="L43" s="93" t="s">
        <v>5533</v>
      </c>
      <c r="M43" s="93" t="s">
        <v>5583</v>
      </c>
      <c r="N43" s="93"/>
      <c r="O43" s="91" t="s">
        <v>5587</v>
      </c>
      <c r="P43" s="91"/>
      <c r="Q43" s="91"/>
      <c r="R43" s="91"/>
      <c r="S43" s="91">
        <v>20370</v>
      </c>
    </row>
    <row r="44" spans="1:19" x14ac:dyDescent="0.2">
      <c r="F44" s="227"/>
      <c r="G44" s="227"/>
      <c r="H44" s="227"/>
      <c r="L44" s="93" t="s">
        <v>5533</v>
      </c>
      <c r="M44" s="93" t="s">
        <v>5584</v>
      </c>
      <c r="N44" s="93"/>
      <c r="O44" s="91" t="s">
        <v>5588</v>
      </c>
      <c r="P44" s="91"/>
      <c r="Q44" s="91"/>
      <c r="R44" s="91"/>
      <c r="S44" s="91">
        <v>13890</v>
      </c>
    </row>
    <row r="45" spans="1:19" x14ac:dyDescent="0.2">
      <c r="F45" s="228"/>
      <c r="G45" s="229"/>
      <c r="H45" s="229"/>
      <c r="L45" s="93"/>
      <c r="M45" s="93"/>
      <c r="N45" s="93"/>
      <c r="O45" s="91" t="s">
        <v>2147</v>
      </c>
      <c r="P45" s="91"/>
      <c r="Q45" s="91"/>
      <c r="R45" s="91"/>
      <c r="S45" s="91">
        <f>SUM(S31+S32+S42+S43+S44)*6%</f>
        <v>3813</v>
      </c>
    </row>
    <row r="46" spans="1:19" x14ac:dyDescent="0.2">
      <c r="A46" s="1"/>
      <c r="L46" s="93"/>
      <c r="M46" s="93"/>
      <c r="N46" s="93"/>
      <c r="O46" s="91"/>
      <c r="P46" s="91"/>
      <c r="Q46" s="91"/>
      <c r="R46" s="91"/>
      <c r="S46" s="91"/>
    </row>
    <row r="47" spans="1:19" ht="20.100000000000001" customHeight="1" x14ac:dyDescent="0.2">
      <c r="A47" s="101"/>
      <c r="B47" s="101"/>
      <c r="D47" s="101" t="s">
        <v>120</v>
      </c>
      <c r="L47" s="93" t="s">
        <v>5534</v>
      </c>
      <c r="M47" s="93" t="s">
        <v>5578</v>
      </c>
      <c r="N47" s="91"/>
      <c r="O47" s="91" t="s">
        <v>5580</v>
      </c>
      <c r="P47" s="91"/>
      <c r="Q47" s="91"/>
      <c r="R47" s="91"/>
      <c r="S47" s="91">
        <v>4000</v>
      </c>
    </row>
    <row r="48" spans="1:19" x14ac:dyDescent="0.2">
      <c r="D48" s="61" t="s">
        <v>50</v>
      </c>
      <c r="L48" s="93" t="s">
        <v>5534</v>
      </c>
      <c r="M48" s="93" t="s">
        <v>5589</v>
      </c>
      <c r="N48" s="91"/>
      <c r="O48" s="91" t="s">
        <v>5585</v>
      </c>
      <c r="P48" s="91"/>
      <c r="Q48" s="91"/>
      <c r="R48" s="91"/>
      <c r="S48" s="91">
        <v>1610</v>
      </c>
    </row>
    <row r="49" spans="1:19" x14ac:dyDescent="0.2">
      <c r="D49" s="61"/>
      <c r="L49" s="93" t="s">
        <v>5534</v>
      </c>
      <c r="M49" s="93" t="s">
        <v>5590</v>
      </c>
      <c r="N49" s="91"/>
      <c r="O49" s="91" t="s">
        <v>5586</v>
      </c>
      <c r="P49" s="91"/>
      <c r="Q49" s="91"/>
      <c r="R49" s="91"/>
      <c r="S49" s="91">
        <v>1600</v>
      </c>
    </row>
    <row r="50" spans="1:19" x14ac:dyDescent="0.2">
      <c r="A50" s="91" t="s">
        <v>8</v>
      </c>
      <c r="D50" s="91" t="s">
        <v>8</v>
      </c>
      <c r="F50" s="98" t="s">
        <v>7</v>
      </c>
      <c r="H50" s="102"/>
      <c r="L50" s="93" t="s">
        <v>5534</v>
      </c>
      <c r="M50" s="93" t="s">
        <v>5591</v>
      </c>
      <c r="N50" s="91"/>
      <c r="O50" s="91" t="s">
        <v>5587</v>
      </c>
      <c r="P50" s="91"/>
      <c r="Q50" s="91"/>
      <c r="R50" s="91"/>
      <c r="S50" s="91">
        <v>4980</v>
      </c>
    </row>
    <row r="51" spans="1:19" x14ac:dyDescent="0.2">
      <c r="L51" s="93" t="s">
        <v>5534</v>
      </c>
      <c r="M51" s="93" t="s">
        <v>5592</v>
      </c>
      <c r="N51" s="91"/>
      <c r="O51" s="91" t="s">
        <v>5588</v>
      </c>
      <c r="P51" s="91"/>
      <c r="Q51" s="91"/>
      <c r="R51" s="91"/>
      <c r="S51" s="91">
        <v>3360</v>
      </c>
    </row>
    <row r="52" spans="1:19" x14ac:dyDescent="0.2">
      <c r="L52" s="93"/>
      <c r="M52" s="93"/>
      <c r="N52" s="93"/>
      <c r="O52" s="91" t="s">
        <v>2147</v>
      </c>
      <c r="P52" s="91"/>
      <c r="Q52" s="91"/>
      <c r="R52" s="91"/>
      <c r="S52" s="91">
        <f>SUM(S47+S48+S49+S50+S51)*6%</f>
        <v>933</v>
      </c>
    </row>
    <row r="53" spans="1:19" x14ac:dyDescent="0.2">
      <c r="L53" s="93"/>
      <c r="M53" s="99"/>
      <c r="N53" s="91"/>
      <c r="O53" s="91"/>
      <c r="P53" s="91"/>
      <c r="Q53" s="91"/>
      <c r="R53" s="91"/>
      <c r="S53" s="91"/>
    </row>
    <row r="54" spans="1:19" x14ac:dyDescent="0.2">
      <c r="A54" s="101" t="s">
        <v>120</v>
      </c>
      <c r="B54" s="101"/>
      <c r="D54" s="101" t="s">
        <v>120</v>
      </c>
      <c r="F54" s="101"/>
      <c r="G54" s="101"/>
      <c r="H54" s="101"/>
      <c r="L54" s="93" t="s">
        <v>5534</v>
      </c>
      <c r="M54" s="99" t="s">
        <v>5593</v>
      </c>
      <c r="N54" s="91"/>
      <c r="O54" s="91" t="s">
        <v>5594</v>
      </c>
      <c r="P54" s="91"/>
      <c r="Q54" s="91"/>
      <c r="R54" s="91"/>
      <c r="S54" s="91">
        <v>1500</v>
      </c>
    </row>
    <row r="55" spans="1:19" x14ac:dyDescent="0.2">
      <c r="A55" s="61" t="s">
        <v>4066</v>
      </c>
      <c r="B55" s="104"/>
      <c r="C55" s="104"/>
      <c r="D55" s="61" t="s">
        <v>50</v>
      </c>
      <c r="E55" s="61"/>
      <c r="F55" s="61" t="s">
        <v>3</v>
      </c>
      <c r="G55" s="61"/>
      <c r="H55" s="61"/>
      <c r="L55" s="93"/>
      <c r="M55" s="99"/>
      <c r="N55" s="91"/>
      <c r="O55" s="91"/>
      <c r="P55" s="91"/>
      <c r="Q55" s="91"/>
      <c r="R55" s="91"/>
      <c r="S55" s="91"/>
    </row>
    <row r="56" spans="1:19" x14ac:dyDescent="0.2">
      <c r="F56" s="91" t="s">
        <v>2</v>
      </c>
      <c r="L56" s="93" t="s">
        <v>5534</v>
      </c>
      <c r="M56" s="99" t="s">
        <v>5595</v>
      </c>
      <c r="N56" s="91"/>
      <c r="O56" s="91" t="s">
        <v>5596</v>
      </c>
      <c r="P56" s="91"/>
      <c r="Q56" s="91"/>
      <c r="R56" s="91"/>
      <c r="S56" s="91">
        <v>2400</v>
      </c>
    </row>
    <row r="58" spans="1:19" x14ac:dyDescent="0.2">
      <c r="F58" s="2" t="s">
        <v>1</v>
      </c>
    </row>
    <row r="59" spans="1:19" x14ac:dyDescent="0.2">
      <c r="F59" s="2" t="s">
        <v>0</v>
      </c>
    </row>
    <row r="60" spans="1:19" x14ac:dyDescent="0.2">
      <c r="M60" s="99" t="s">
        <v>6116</v>
      </c>
      <c r="N60" s="91"/>
      <c r="O60" s="91" t="s">
        <v>6117</v>
      </c>
      <c r="P60" s="91"/>
      <c r="Q60" s="91"/>
      <c r="R60" s="91"/>
      <c r="S60" s="91">
        <v>75</v>
      </c>
    </row>
    <row r="61" spans="1:19" s="3" customFormat="1" ht="17.100000000000001" customHeight="1" x14ac:dyDescent="0.2">
      <c r="A61" s="91"/>
      <c r="B61" s="91"/>
      <c r="C61" s="91"/>
      <c r="D61" s="91"/>
      <c r="E61" s="91"/>
      <c r="F61" s="91"/>
      <c r="G61" s="91"/>
      <c r="H61" s="91"/>
      <c r="M61" s="99" t="s">
        <v>6118</v>
      </c>
      <c r="N61" s="91"/>
      <c r="O61" s="91" t="s">
        <v>6121</v>
      </c>
      <c r="P61" s="91"/>
      <c r="Q61" s="91"/>
      <c r="R61" s="91"/>
      <c r="S61" s="91">
        <v>75</v>
      </c>
    </row>
    <row r="62" spans="1:19" x14ac:dyDescent="0.2">
      <c r="M62" s="99" t="s">
        <v>6119</v>
      </c>
      <c r="N62" s="93"/>
      <c r="O62" s="91" t="s">
        <v>6122</v>
      </c>
      <c r="P62" s="91"/>
      <c r="Q62" s="91"/>
      <c r="R62" s="91"/>
      <c r="S62" s="91">
        <v>75</v>
      </c>
    </row>
    <row r="63" spans="1:19" x14ac:dyDescent="0.2">
      <c r="M63" s="99" t="s">
        <v>6120</v>
      </c>
      <c r="N63" s="93"/>
      <c r="O63" s="91" t="s">
        <v>6123</v>
      </c>
      <c r="P63" s="91"/>
      <c r="Q63" s="91"/>
      <c r="R63" s="91"/>
      <c r="S63" s="91">
        <v>75</v>
      </c>
    </row>
    <row r="64" spans="1:19" x14ac:dyDescent="0.2">
      <c r="M64" s="93"/>
      <c r="N64" s="93"/>
      <c r="O64" s="91" t="s">
        <v>2147</v>
      </c>
      <c r="P64" s="91"/>
      <c r="Q64" s="91"/>
      <c r="R64" s="91"/>
      <c r="S64" s="91">
        <f>SUM(S60+S61+S62+S63)*6%</f>
        <v>18</v>
      </c>
    </row>
    <row r="65" spans="13:19" x14ac:dyDescent="0.2">
      <c r="M65" s="93"/>
      <c r="N65" s="93"/>
      <c r="O65" s="91"/>
      <c r="P65" s="91"/>
      <c r="Q65" s="91"/>
      <c r="R65" s="91"/>
      <c r="S65" s="91"/>
    </row>
    <row r="66" spans="13:19" x14ac:dyDescent="0.2">
      <c r="M66" s="99" t="s">
        <v>6124</v>
      </c>
      <c r="N66" s="93"/>
      <c r="O66" s="91" t="s">
        <v>6128</v>
      </c>
      <c r="P66" s="91"/>
      <c r="Q66" s="91"/>
      <c r="R66" s="91"/>
      <c r="S66" s="91">
        <v>640</v>
      </c>
    </row>
    <row r="67" spans="13:19" x14ac:dyDescent="0.2">
      <c r="M67" s="99" t="s">
        <v>6125</v>
      </c>
      <c r="N67" s="93"/>
      <c r="O67" s="91" t="s">
        <v>6129</v>
      </c>
      <c r="P67" s="91"/>
      <c r="Q67" s="91"/>
      <c r="R67" s="91"/>
      <c r="S67" s="91">
        <v>1145</v>
      </c>
    </row>
    <row r="68" spans="13:19" x14ac:dyDescent="0.2">
      <c r="M68" s="99" t="s">
        <v>6126</v>
      </c>
      <c r="N68" s="91"/>
      <c r="O68" s="91" t="s">
        <v>6130</v>
      </c>
      <c r="P68" s="91"/>
      <c r="Q68" s="91"/>
      <c r="R68" s="91"/>
      <c r="S68" s="91">
        <v>1375</v>
      </c>
    </row>
    <row r="69" spans="13:19" x14ac:dyDescent="0.2">
      <c r="M69" s="99" t="s">
        <v>6127</v>
      </c>
      <c r="N69" s="91"/>
      <c r="O69" s="91" t="s">
        <v>6131</v>
      </c>
      <c r="P69" s="91"/>
      <c r="Q69" s="91"/>
      <c r="R69" s="91"/>
      <c r="S69" s="91">
        <v>2170</v>
      </c>
    </row>
    <row r="70" spans="13:19" x14ac:dyDescent="0.2">
      <c r="M70" s="93"/>
      <c r="N70" s="91"/>
      <c r="O70" s="91" t="s">
        <v>2147</v>
      </c>
      <c r="P70" s="91"/>
      <c r="Q70" s="91"/>
      <c r="R70" s="91"/>
      <c r="S70" s="91">
        <f>SUM(S66+S67+S68+S69)*6%</f>
        <v>319.8</v>
      </c>
    </row>
    <row r="71" spans="13:19" x14ac:dyDescent="0.2">
      <c r="M71" s="93"/>
      <c r="N71" s="91"/>
      <c r="O71" s="91"/>
      <c r="P71" s="91"/>
      <c r="Q71" s="91"/>
      <c r="R71" s="91"/>
      <c r="S71" s="91"/>
    </row>
    <row r="72" spans="13:19" x14ac:dyDescent="0.2">
      <c r="M72" s="99" t="s">
        <v>6132</v>
      </c>
      <c r="N72" s="91"/>
      <c r="O72" s="91" t="s">
        <v>6117</v>
      </c>
      <c r="P72" s="91"/>
      <c r="Q72" s="91"/>
      <c r="R72" s="91"/>
      <c r="S72" s="91">
        <v>255</v>
      </c>
    </row>
    <row r="73" spans="13:19" x14ac:dyDescent="0.2">
      <c r="M73" s="99" t="s">
        <v>6133</v>
      </c>
      <c r="N73" s="91"/>
      <c r="O73" s="91" t="s">
        <v>6121</v>
      </c>
      <c r="P73" s="91"/>
      <c r="Q73" s="91"/>
      <c r="R73" s="91"/>
      <c r="S73" s="91">
        <v>255</v>
      </c>
    </row>
    <row r="74" spans="13:19" x14ac:dyDescent="0.2">
      <c r="M74" s="99" t="s">
        <v>6134</v>
      </c>
      <c r="N74" s="93"/>
      <c r="O74" s="91" t="s">
        <v>6122</v>
      </c>
      <c r="P74" s="91"/>
      <c r="Q74" s="91"/>
      <c r="R74" s="91"/>
      <c r="S74" s="91">
        <v>255</v>
      </c>
    </row>
    <row r="75" spans="13:19" x14ac:dyDescent="0.2">
      <c r="M75" s="99" t="s">
        <v>6135</v>
      </c>
      <c r="N75" s="91"/>
      <c r="O75" s="91" t="s">
        <v>6123</v>
      </c>
      <c r="P75" s="91"/>
      <c r="Q75" s="91"/>
      <c r="R75" s="91"/>
      <c r="S75" s="91">
        <v>255</v>
      </c>
    </row>
    <row r="76" spans="13:19" x14ac:dyDescent="0.2">
      <c r="M76" s="93"/>
      <c r="N76" s="91"/>
      <c r="O76" s="91" t="s">
        <v>2147</v>
      </c>
      <c r="P76" s="91"/>
      <c r="Q76" s="91"/>
      <c r="R76" s="91"/>
      <c r="S76" s="91">
        <f>SUM(S72+S73+S74+S75)*6%</f>
        <v>61.199999999999996</v>
      </c>
    </row>
    <row r="77" spans="13:19" x14ac:dyDescent="0.2">
      <c r="M77" s="93"/>
      <c r="N77" s="91"/>
      <c r="O77" s="91"/>
      <c r="P77" s="91"/>
      <c r="Q77" s="91"/>
      <c r="R77" s="91"/>
      <c r="S77" s="91"/>
    </row>
    <row r="78" spans="13:19" x14ac:dyDescent="0.2">
      <c r="M78" s="93" t="s">
        <v>6136</v>
      </c>
      <c r="N78" s="91"/>
      <c r="O78" s="91" t="s">
        <v>6128</v>
      </c>
      <c r="P78" s="91"/>
      <c r="Q78" s="91"/>
      <c r="R78" s="91"/>
      <c r="S78" s="91">
        <v>2176</v>
      </c>
    </row>
    <row r="79" spans="13:19" x14ac:dyDescent="0.2">
      <c r="M79" s="93" t="s">
        <v>6137</v>
      </c>
      <c r="N79" s="91"/>
      <c r="O79" s="91" t="s">
        <v>6140</v>
      </c>
      <c r="P79" s="91"/>
      <c r="Q79" s="91"/>
      <c r="R79" s="91"/>
      <c r="S79" s="91">
        <v>2363</v>
      </c>
    </row>
    <row r="80" spans="13:19" x14ac:dyDescent="0.2">
      <c r="M80" s="93" t="s">
        <v>6138</v>
      </c>
      <c r="N80" s="91"/>
      <c r="O80" s="91" t="s">
        <v>6141</v>
      </c>
      <c r="P80" s="91"/>
      <c r="Q80" s="91"/>
      <c r="R80" s="91"/>
      <c r="S80" s="91">
        <v>3145</v>
      </c>
    </row>
    <row r="81" spans="13:19" x14ac:dyDescent="0.2">
      <c r="M81" s="93" t="s">
        <v>6139</v>
      </c>
      <c r="N81" s="91"/>
      <c r="O81" s="91" t="s">
        <v>6142</v>
      </c>
      <c r="P81" s="91"/>
      <c r="Q81" s="91"/>
      <c r="R81" s="91"/>
      <c r="S81" s="91">
        <v>5848</v>
      </c>
    </row>
    <row r="82" spans="13:19" x14ac:dyDescent="0.2">
      <c r="M82" s="93"/>
      <c r="N82" s="91"/>
      <c r="O82" s="91" t="s">
        <v>2147</v>
      </c>
      <c r="P82" s="91"/>
      <c r="Q82" s="91"/>
      <c r="R82" s="91"/>
      <c r="S82" s="91">
        <f>SUM(S78+S79+S80+S81)*6%</f>
        <v>811.92</v>
      </c>
    </row>
    <row r="83" spans="13:19" x14ac:dyDescent="0.2">
      <c r="M83" s="93"/>
      <c r="N83" s="91"/>
      <c r="O83" s="91"/>
      <c r="P83" s="91"/>
      <c r="Q83" s="91"/>
      <c r="R83" s="91"/>
      <c r="S83" s="91"/>
    </row>
    <row r="84" spans="13:19" x14ac:dyDescent="0.2">
      <c r="M84" s="93" t="s">
        <v>6144</v>
      </c>
      <c r="N84" s="91"/>
      <c r="O84" s="91" t="s">
        <v>6143</v>
      </c>
      <c r="P84" s="91"/>
      <c r="Q84" s="91"/>
      <c r="R84" s="91"/>
      <c r="S84" s="91">
        <f>-954</f>
        <v>-954</v>
      </c>
    </row>
    <row r="87" spans="13:19" x14ac:dyDescent="0.2">
      <c r="M87" s="195" t="s">
        <v>6258</v>
      </c>
      <c r="N87" s="91"/>
      <c r="O87" s="91" t="s">
        <v>6261</v>
      </c>
      <c r="P87" s="91"/>
      <c r="Q87" s="91"/>
      <c r="R87" s="91"/>
      <c r="S87" s="91">
        <v>1350</v>
      </c>
    </row>
    <row r="88" spans="13:19" x14ac:dyDescent="0.2">
      <c r="M88" s="93"/>
      <c r="N88" s="91"/>
      <c r="O88" s="91" t="s">
        <v>2147</v>
      </c>
      <c r="P88" s="91"/>
      <c r="Q88" s="91"/>
      <c r="R88" s="91"/>
      <c r="S88" s="91">
        <f>S87*6%</f>
        <v>81</v>
      </c>
    </row>
    <row r="89" spans="13:19" x14ac:dyDescent="0.2">
      <c r="M89" s="93"/>
      <c r="N89" s="93"/>
      <c r="O89" s="91"/>
      <c r="P89" s="91"/>
      <c r="Q89" s="91"/>
      <c r="R89" s="91"/>
      <c r="S89" s="91"/>
    </row>
    <row r="90" spans="13:19" x14ac:dyDescent="0.2">
      <c r="M90" s="99" t="s">
        <v>6262</v>
      </c>
      <c r="N90" s="93"/>
      <c r="O90" s="91" t="s">
        <v>6266</v>
      </c>
      <c r="P90" s="91"/>
      <c r="Q90" s="91"/>
      <c r="R90" s="91"/>
      <c r="S90" s="91">
        <v>930</v>
      </c>
    </row>
    <row r="91" spans="13:19" x14ac:dyDescent="0.2">
      <c r="M91" s="99" t="s">
        <v>6263</v>
      </c>
      <c r="N91" s="93"/>
      <c r="O91" s="91" t="s">
        <v>6267</v>
      </c>
      <c r="P91" s="91"/>
      <c r="Q91" s="91"/>
      <c r="R91" s="91"/>
      <c r="S91" s="91">
        <v>1080</v>
      </c>
    </row>
    <row r="92" spans="13:19" x14ac:dyDescent="0.2">
      <c r="M92" s="99" t="s">
        <v>6264</v>
      </c>
      <c r="N92" s="93"/>
      <c r="O92" s="91" t="s">
        <v>6269</v>
      </c>
      <c r="P92" s="91"/>
      <c r="Q92" s="91"/>
      <c r="R92" s="91"/>
      <c r="S92" s="91">
        <v>930</v>
      </c>
    </row>
    <row r="93" spans="13:19" x14ac:dyDescent="0.2">
      <c r="M93" s="99" t="s">
        <v>6265</v>
      </c>
      <c r="N93" s="93"/>
      <c r="O93" s="91" t="s">
        <v>6268</v>
      </c>
      <c r="P93" s="91"/>
      <c r="Q93" s="91"/>
      <c r="R93" s="91"/>
      <c r="S93" s="91">
        <v>1395</v>
      </c>
    </row>
    <row r="94" spans="13:19" x14ac:dyDescent="0.2">
      <c r="M94" s="99"/>
      <c r="N94" s="93"/>
      <c r="O94" s="91" t="s">
        <v>2147</v>
      </c>
      <c r="P94" s="91"/>
      <c r="Q94" s="91"/>
      <c r="R94" s="91"/>
      <c r="S94" s="91">
        <f>SUM(S90+S91+S92+S93)*6%</f>
        <v>260.09999999999997</v>
      </c>
    </row>
    <row r="95" spans="13:19" x14ac:dyDescent="0.2">
      <c r="M95" s="99"/>
      <c r="N95" s="91"/>
      <c r="O95" s="91"/>
      <c r="P95" s="91"/>
      <c r="Q95" s="91"/>
      <c r="R95" s="91"/>
      <c r="S95" s="91"/>
    </row>
    <row r="96" spans="13:19" x14ac:dyDescent="0.2">
      <c r="M96" s="99" t="s">
        <v>6270</v>
      </c>
      <c r="N96" s="91"/>
      <c r="O96" s="91" t="s">
        <v>6271</v>
      </c>
      <c r="P96" s="91"/>
      <c r="Q96" s="91"/>
      <c r="R96" s="91"/>
      <c r="S96" s="91">
        <v>7936</v>
      </c>
    </row>
    <row r="97" spans="13:19" x14ac:dyDescent="0.2">
      <c r="M97" s="93"/>
      <c r="N97" s="91"/>
      <c r="O97" s="91" t="s">
        <v>6272</v>
      </c>
      <c r="P97" s="91"/>
      <c r="Q97" s="91"/>
      <c r="R97" s="91"/>
      <c r="S97" s="91">
        <v>10458</v>
      </c>
    </row>
    <row r="98" spans="13:19" x14ac:dyDescent="0.2">
      <c r="M98" s="93"/>
      <c r="N98" s="91"/>
      <c r="O98" s="91" t="s">
        <v>6273</v>
      </c>
      <c r="P98" s="91"/>
      <c r="Q98" s="91"/>
      <c r="R98" s="91"/>
      <c r="S98" s="91">
        <v>11920</v>
      </c>
    </row>
    <row r="99" spans="13:19" x14ac:dyDescent="0.2">
      <c r="M99" s="99"/>
      <c r="N99" s="91"/>
      <c r="O99" s="91" t="s">
        <v>6274</v>
      </c>
      <c r="P99" s="91"/>
      <c r="Q99" s="91"/>
      <c r="R99" s="91"/>
      <c r="S99" s="91">
        <v>32442</v>
      </c>
    </row>
    <row r="100" spans="13:19" x14ac:dyDescent="0.2">
      <c r="M100" s="99"/>
      <c r="N100" s="91"/>
      <c r="O100" s="91" t="s">
        <v>2147</v>
      </c>
      <c r="P100" s="91"/>
      <c r="Q100" s="91"/>
      <c r="R100" s="91"/>
      <c r="S100" s="91">
        <f>SUM(S96+S97+S98+S99)*6%</f>
        <v>3765.3599999999997</v>
      </c>
    </row>
    <row r="101" spans="13:19" x14ac:dyDescent="0.2">
      <c r="M101" s="91"/>
      <c r="N101" s="91"/>
      <c r="O101" s="91"/>
      <c r="P101" s="91"/>
      <c r="Q101" s="91"/>
      <c r="R101" s="91"/>
      <c r="S101" s="91"/>
    </row>
    <row r="102" spans="13:19" x14ac:dyDescent="0.2">
      <c r="M102" s="278" t="s">
        <v>6259</v>
      </c>
      <c r="N102" s="91"/>
      <c r="O102" s="91" t="s">
        <v>6260</v>
      </c>
      <c r="P102" s="91"/>
      <c r="Q102" s="91"/>
      <c r="R102" s="91"/>
      <c r="S102" s="91">
        <f>37.8+46.8+37.8+85.5</f>
        <v>207.89999999999998</v>
      </c>
    </row>
    <row r="103" spans="13:19" x14ac:dyDescent="0.2">
      <c r="M103" s="93"/>
      <c r="N103" s="91"/>
      <c r="O103" s="91"/>
      <c r="P103" s="91"/>
      <c r="Q103" s="91"/>
      <c r="R103" s="91"/>
      <c r="S103" s="91"/>
    </row>
    <row r="104" spans="13:19" x14ac:dyDescent="0.2">
      <c r="M104" s="99" t="s">
        <v>6256</v>
      </c>
      <c r="N104" s="91"/>
      <c r="O104" s="91" t="s">
        <v>6257</v>
      </c>
      <c r="P104" s="91"/>
      <c r="Q104" s="91"/>
      <c r="R104" s="91"/>
      <c r="S104" s="91">
        <v>300</v>
      </c>
    </row>
    <row r="105" spans="13:19" x14ac:dyDescent="0.2">
      <c r="M105" s="99"/>
      <c r="N105" s="91"/>
      <c r="O105" s="91" t="s">
        <v>2147</v>
      </c>
      <c r="P105" s="91"/>
      <c r="Q105" s="91"/>
      <c r="R105" s="91"/>
      <c r="S105" s="91">
        <f>S104*6%</f>
        <v>18</v>
      </c>
    </row>
    <row r="108" spans="13:19" x14ac:dyDescent="0.2">
      <c r="O108" s="91" t="s">
        <v>7389</v>
      </c>
      <c r="P108" s="91"/>
      <c r="Q108" s="91"/>
      <c r="R108" s="91"/>
      <c r="S108" s="91">
        <v>13750</v>
      </c>
    </row>
    <row r="109" spans="13:19" x14ac:dyDescent="0.2">
      <c r="O109" s="91" t="s">
        <v>7560</v>
      </c>
      <c r="P109" s="91"/>
      <c r="Q109" s="91"/>
      <c r="R109" s="91"/>
      <c r="S109" s="91">
        <v>15500</v>
      </c>
    </row>
    <row r="110" spans="13:19" x14ac:dyDescent="0.2">
      <c r="O110" s="91" t="s">
        <v>7390</v>
      </c>
      <c r="P110" s="91"/>
      <c r="Q110" s="91"/>
      <c r="R110" s="91"/>
      <c r="S110" s="91">
        <v>15550</v>
      </c>
    </row>
    <row r="111" spans="13:19" x14ac:dyDescent="0.2">
      <c r="O111" s="91" t="s">
        <v>7391</v>
      </c>
      <c r="P111" s="91"/>
      <c r="Q111" s="91"/>
      <c r="R111" s="91"/>
      <c r="S111" s="91">
        <v>31650</v>
      </c>
    </row>
    <row r="112" spans="13:19" x14ac:dyDescent="0.2">
      <c r="O112" s="91" t="s">
        <v>6886</v>
      </c>
      <c r="P112" s="91"/>
      <c r="Q112" s="91"/>
      <c r="R112" s="91"/>
      <c r="S112" s="91">
        <f>SUM(S108:S111)*6%</f>
        <v>4587</v>
      </c>
    </row>
    <row r="113" spans="15:19" x14ac:dyDescent="0.2">
      <c r="O113" s="91"/>
      <c r="P113" s="91"/>
      <c r="Q113" s="91"/>
      <c r="R113" s="91"/>
      <c r="S113" s="91"/>
    </row>
    <row r="114" spans="15:19" x14ac:dyDescent="0.2">
      <c r="O114" s="91" t="s">
        <v>7561</v>
      </c>
      <c r="P114" s="91"/>
      <c r="Q114" s="91"/>
      <c r="R114" s="91"/>
      <c r="S114" s="91">
        <v>600</v>
      </c>
    </row>
    <row r="115" spans="15:19" x14ac:dyDescent="0.2">
      <c r="O115" s="91" t="s">
        <v>7562</v>
      </c>
      <c r="P115" s="91"/>
      <c r="Q115" s="91"/>
      <c r="R115" s="91"/>
      <c r="S115" s="91">
        <v>600</v>
      </c>
    </row>
    <row r="116" spans="15:19" x14ac:dyDescent="0.2">
      <c r="O116" s="91" t="s">
        <v>7563</v>
      </c>
      <c r="P116" s="91"/>
      <c r="Q116" s="91"/>
      <c r="R116" s="91"/>
      <c r="S116" s="91">
        <v>600</v>
      </c>
    </row>
  </sheetData>
  <customSheetViews>
    <customSheetView guid="{6428A7A0-B31B-40C1-A13E-AD0DCC619E51}" showPageBreaks="1" printArea="1" view="pageBreakPreview" topLeftCell="A50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7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honeticPr fontId="38" type="noConversion"/>
  <printOptions horizontalCentered="1"/>
  <pageMargins left="0.55118110236220474" right="0.55118110236220474" top="0.78740157480314965" bottom="0.98425196850393704" header="0.51181102362204722" footer="0.51181102362204722"/>
  <pageSetup paperSize="9" scale="81" orientation="portrait" r:id="rId2"/>
  <headerFooter alignWithMargins="0"/>
</worksheet>
</file>

<file path=xl/worksheets/sheet6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2-000000000000}">
  <sheetPr codeName="Sheet5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1043</v>
      </c>
    </row>
    <row r="10" spans="1:6" x14ac:dyDescent="0.2">
      <c r="A10" s="21" t="s">
        <v>1042</v>
      </c>
      <c r="D10" s="20" t="s">
        <v>27</v>
      </c>
      <c r="E10" s="20" t="s">
        <v>559</v>
      </c>
    </row>
    <row r="11" spans="1:6" x14ac:dyDescent="0.2">
      <c r="A11" s="21" t="s">
        <v>1041</v>
      </c>
      <c r="D11" s="20" t="s">
        <v>24</v>
      </c>
      <c r="E11" s="20" t="s">
        <v>23</v>
      </c>
    </row>
    <row r="12" spans="1:6" x14ac:dyDescent="0.2">
      <c r="A12" s="21" t="s">
        <v>1040</v>
      </c>
      <c r="D12" s="20" t="s">
        <v>22</v>
      </c>
      <c r="E12" s="19" t="s">
        <v>1039</v>
      </c>
    </row>
    <row r="13" spans="1:6" x14ac:dyDescent="0.2">
      <c r="A13" s="1" t="s">
        <v>524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21"/>
    </row>
    <row r="21" spans="1:6" x14ac:dyDescent="0.2">
      <c r="C21" s="21"/>
    </row>
    <row r="22" spans="1:6" x14ac:dyDescent="0.2">
      <c r="C22" s="21"/>
    </row>
    <row r="23" spans="1:6" x14ac:dyDescent="0.2">
      <c r="C23" s="21"/>
    </row>
    <row r="24" spans="1:6" x14ac:dyDescent="0.2">
      <c r="A24" s="21" t="s">
        <v>1038</v>
      </c>
      <c r="C24" s="21" t="s">
        <v>1037</v>
      </c>
      <c r="F24" s="1">
        <v>8000</v>
      </c>
    </row>
    <row r="25" spans="1:6" x14ac:dyDescent="0.2">
      <c r="C25" s="1" t="s">
        <v>1036</v>
      </c>
    </row>
    <row r="26" spans="1:6" x14ac:dyDescent="0.2">
      <c r="C26" s="1" t="s">
        <v>1035</v>
      </c>
    </row>
    <row r="27" spans="1:6" x14ac:dyDescent="0.2">
      <c r="A27" s="21"/>
      <c r="C27" s="21"/>
    </row>
    <row r="28" spans="1:6" x14ac:dyDescent="0.2">
      <c r="C28" s="12"/>
      <c r="F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8000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24" t="s">
        <v>1005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2-000000000000}">
  <sheetPr codeName="Sheet60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1053</v>
      </c>
    </row>
    <row r="10" spans="1:6" x14ac:dyDescent="0.2">
      <c r="A10" s="1" t="s">
        <v>1052</v>
      </c>
      <c r="D10" s="20" t="s">
        <v>27</v>
      </c>
      <c r="E10" s="20" t="s">
        <v>1051</v>
      </c>
    </row>
    <row r="11" spans="1:6" x14ac:dyDescent="0.2">
      <c r="A11" s="1" t="s">
        <v>1050</v>
      </c>
      <c r="D11" s="20" t="s">
        <v>24</v>
      </c>
      <c r="E11" s="20" t="s">
        <v>23</v>
      </c>
    </row>
    <row r="12" spans="1:6" x14ac:dyDescent="0.2">
      <c r="A12" s="1" t="s">
        <v>1049</v>
      </c>
      <c r="D12" s="20" t="s">
        <v>22</v>
      </c>
      <c r="E12" s="20" t="s">
        <v>1048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36" t="s">
        <v>1047</v>
      </c>
    </row>
    <row r="21" spans="1:6" x14ac:dyDescent="0.2">
      <c r="C21" s="13" t="s">
        <v>1046</v>
      </c>
    </row>
    <row r="22" spans="1:6" x14ac:dyDescent="0.2">
      <c r="C22" s="21"/>
    </row>
    <row r="23" spans="1:6" x14ac:dyDescent="0.2">
      <c r="A23" s="1" t="s">
        <v>1045</v>
      </c>
      <c r="C23" s="1" t="s">
        <v>773</v>
      </c>
      <c r="F23" s="1">
        <v>1300</v>
      </c>
    </row>
    <row r="24" spans="1:6" x14ac:dyDescent="0.2">
      <c r="C24" s="8"/>
    </row>
    <row r="25" spans="1:6" x14ac:dyDescent="0.2">
      <c r="C25" s="21"/>
    </row>
    <row r="26" spans="1:6" x14ac:dyDescent="0.2">
      <c r="C26" s="21"/>
    </row>
    <row r="27" spans="1:6" x14ac:dyDescent="0.2">
      <c r="C27" s="21"/>
      <c r="F27" s="13"/>
    </row>
    <row r="28" spans="1:6" x14ac:dyDescent="0.2">
      <c r="B28" s="8"/>
    </row>
    <row r="29" spans="1:6" x14ac:dyDescent="0.2">
      <c r="B29" s="8"/>
    </row>
    <row r="31" spans="1:6" ht="13.5" thickBot="1" x14ac:dyDescent="0.25">
      <c r="F31" s="25">
        <f>SUM(F19:F30)</f>
        <v>1300</v>
      </c>
    </row>
    <row r="32" spans="1:6" ht="13.5" thickTop="1" x14ac:dyDescent="0.2"/>
    <row r="33" spans="1:6" ht="20.100000000000001" customHeight="1" x14ac:dyDescent="0.2">
      <c r="A33" s="10" t="s">
        <v>1044</v>
      </c>
      <c r="B33" s="10"/>
      <c r="C33" s="9"/>
      <c r="D33" s="9"/>
      <c r="E33" s="9"/>
      <c r="F33" s="9"/>
    </row>
    <row r="34" spans="1:6" ht="13.5" thickBot="1" x14ac:dyDescent="0.25">
      <c r="A34" s="8"/>
      <c r="F34" s="11"/>
    </row>
    <row r="35" spans="1:6" ht="13.5" thickTop="1" x14ac:dyDescent="0.2">
      <c r="A35" s="1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" t="s">
        <v>9</v>
      </c>
      <c r="C39" s="7"/>
      <c r="D39" s="227"/>
      <c r="E39" s="227"/>
      <c r="F39" s="227"/>
    </row>
    <row r="40" spans="1:6" x14ac:dyDescent="0.2">
      <c r="D40" s="228"/>
      <c r="E40" s="229"/>
      <c r="F40" s="229"/>
    </row>
    <row r="45" spans="1:6" x14ac:dyDescent="0.2">
      <c r="A45" s="1" t="s">
        <v>6</v>
      </c>
      <c r="D45" s="1" t="s">
        <v>5</v>
      </c>
    </row>
    <row r="46" spans="1:6" s="3" customFormat="1" ht="17.100000000000001" customHeight="1" x14ac:dyDescent="0.2">
      <c r="A46" s="4" t="s">
        <v>35</v>
      </c>
      <c r="B46" s="4"/>
      <c r="D46" s="3" t="s">
        <v>3</v>
      </c>
    </row>
    <row r="47" spans="1:6" x14ac:dyDescent="0.2">
      <c r="A47" s="1" t="s">
        <v>3972</v>
      </c>
      <c r="D47" s="1" t="s">
        <v>2</v>
      </c>
    </row>
    <row r="49" spans="1:4" x14ac:dyDescent="0.2">
      <c r="A49" s="1" t="s">
        <v>4066</v>
      </c>
      <c r="D49" s="66" t="s">
        <v>1</v>
      </c>
    </row>
    <row r="50" spans="1:4" x14ac:dyDescent="0.2">
      <c r="D50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2-000000000000}">
  <sheetPr codeName="Sheet6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1067</v>
      </c>
    </row>
    <row r="10" spans="1:6" x14ac:dyDescent="0.2">
      <c r="A10" s="1" t="s">
        <v>1066</v>
      </c>
      <c r="D10" s="20" t="s">
        <v>27</v>
      </c>
      <c r="E10" s="20" t="s">
        <v>260</v>
      </c>
    </row>
    <row r="11" spans="1:6" x14ac:dyDescent="0.2">
      <c r="A11" s="1" t="s">
        <v>1065</v>
      </c>
      <c r="D11" s="20" t="s">
        <v>24</v>
      </c>
      <c r="E11" s="20" t="s">
        <v>23</v>
      </c>
    </row>
    <row r="12" spans="1:6" x14ac:dyDescent="0.2">
      <c r="A12" s="1" t="s">
        <v>319</v>
      </c>
      <c r="D12" s="20" t="s">
        <v>22</v>
      </c>
      <c r="E12" s="20" t="s">
        <v>1064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36" t="s">
        <v>1063</v>
      </c>
    </row>
    <row r="20" spans="1:6" x14ac:dyDescent="0.2">
      <c r="C20" s="13" t="s">
        <v>1062</v>
      </c>
    </row>
    <row r="21" spans="1:6" x14ac:dyDescent="0.2">
      <c r="C21" s="21"/>
    </row>
    <row r="22" spans="1:6" x14ac:dyDescent="0.2">
      <c r="A22" s="1" t="s">
        <v>1061</v>
      </c>
      <c r="C22" s="21" t="s">
        <v>226</v>
      </c>
      <c r="F22" s="1">
        <v>5000</v>
      </c>
    </row>
    <row r="23" spans="1:6" x14ac:dyDescent="0.2">
      <c r="C23" s="21"/>
    </row>
    <row r="24" spans="1:6" x14ac:dyDescent="0.2">
      <c r="A24" s="1" t="s">
        <v>1060</v>
      </c>
      <c r="C24" s="1" t="s">
        <v>1059</v>
      </c>
      <c r="F24" s="1">
        <v>6270</v>
      </c>
    </row>
    <row r="26" spans="1:6" x14ac:dyDescent="0.2">
      <c r="A26" s="1" t="s">
        <v>1058</v>
      </c>
      <c r="C26" s="1" t="s">
        <v>1057</v>
      </c>
      <c r="F26" s="1">
        <v>1500</v>
      </c>
    </row>
    <row r="28" spans="1:6" x14ac:dyDescent="0.2">
      <c r="C28" s="13" t="s">
        <v>1056</v>
      </c>
      <c r="F28" s="13"/>
    </row>
    <row r="29" spans="1:6" x14ac:dyDescent="0.2">
      <c r="B29" s="8"/>
    </row>
    <row r="30" spans="1:6" x14ac:dyDescent="0.2">
      <c r="A30" s="1" t="s">
        <v>1055</v>
      </c>
      <c r="B30" s="8"/>
      <c r="C30" s="1" t="s">
        <v>226</v>
      </c>
      <c r="F30" s="1">
        <v>10000</v>
      </c>
    </row>
    <row r="31" spans="1:6" x14ac:dyDescent="0.2">
      <c r="B31" s="8"/>
    </row>
    <row r="33" spans="1:6" ht="13.5" thickBot="1" x14ac:dyDescent="0.25">
      <c r="F33" s="25">
        <f>SUM(F19:F32)</f>
        <v>22770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1054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2-000000000000}">
  <sheetPr codeName="Sheet6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1074</v>
      </c>
    </row>
    <row r="10" spans="1:6" x14ac:dyDescent="0.2">
      <c r="A10" s="21" t="s">
        <v>1073</v>
      </c>
      <c r="D10" s="20" t="s">
        <v>27</v>
      </c>
      <c r="E10" s="20" t="s">
        <v>922</v>
      </c>
    </row>
    <row r="11" spans="1:6" x14ac:dyDescent="0.2">
      <c r="A11" s="21" t="s">
        <v>1072</v>
      </c>
      <c r="D11" s="20" t="s">
        <v>24</v>
      </c>
      <c r="E11" s="20" t="s">
        <v>23</v>
      </c>
    </row>
    <row r="12" spans="1:6" x14ac:dyDescent="0.2">
      <c r="A12" s="21" t="s">
        <v>1071</v>
      </c>
      <c r="D12" s="20" t="s">
        <v>22</v>
      </c>
      <c r="E12" s="20" t="s">
        <v>1070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A20" s="21"/>
      <c r="C20" s="13" t="s">
        <v>975</v>
      </c>
    </row>
    <row r="21" spans="1:6" x14ac:dyDescent="0.2">
      <c r="C21" s="13" t="s">
        <v>974</v>
      </c>
    </row>
    <row r="22" spans="1:6" x14ac:dyDescent="0.2">
      <c r="C22" s="21"/>
    </row>
    <row r="23" spans="1:6" x14ac:dyDescent="0.2">
      <c r="C23" s="21" t="s">
        <v>1069</v>
      </c>
      <c r="F23" s="1">
        <v>55200</v>
      </c>
    </row>
    <row r="24" spans="1:6" x14ac:dyDescent="0.2">
      <c r="A24" s="21"/>
      <c r="C24" s="21"/>
    </row>
    <row r="25" spans="1:6" x14ac:dyDescent="0.2">
      <c r="C25" s="21"/>
    </row>
    <row r="26" spans="1:6" x14ac:dyDescent="0.2">
      <c r="C26" s="21"/>
      <c r="F26" s="21"/>
    </row>
    <row r="27" spans="1:6" x14ac:dyDescent="0.2">
      <c r="B27" s="8"/>
      <c r="C27" s="21"/>
    </row>
    <row r="28" spans="1:6" x14ac:dyDescent="0.2">
      <c r="B28" s="8"/>
    </row>
    <row r="30" spans="1:6" ht="13.5" thickBot="1" x14ac:dyDescent="0.25">
      <c r="F30" s="25">
        <f>SUM(F19:F29)</f>
        <v>55200</v>
      </c>
    </row>
    <row r="31" spans="1:6" ht="13.5" thickTop="1" x14ac:dyDescent="0.2"/>
    <row r="32" spans="1:6" ht="20.100000000000001" customHeight="1" x14ac:dyDescent="0.2">
      <c r="A32" s="24" t="s">
        <v>1068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2-000000000000}">
  <sheetPr codeName="Sheet63"/>
  <dimension ref="A1:Q5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4" style="91" customWidth="1"/>
    <col min="3" max="3" width="1" style="91" customWidth="1"/>
    <col min="4" max="4" width="20.28515625" style="91" customWidth="1"/>
    <col min="5" max="5" width="0.7109375" style="91" customWidth="1"/>
    <col min="6" max="6" width="16.42578125" style="91" customWidth="1"/>
    <col min="7" max="7" width="10.42578125" style="91" customWidth="1"/>
    <col min="8" max="8" width="13.28515625" style="91" customWidth="1"/>
    <col min="9" max="16384" width="9.140625" style="9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7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7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7" x14ac:dyDescent="0.2">
      <c r="A8" s="91" t="s">
        <v>32</v>
      </c>
      <c r="F8" s="22" t="s">
        <v>31</v>
      </c>
    </row>
    <row r="9" spans="1:17" x14ac:dyDescent="0.2">
      <c r="F9" s="92" t="s">
        <v>1358</v>
      </c>
      <c r="G9" s="155" t="s">
        <v>8506</v>
      </c>
      <c r="J9" s="91" t="s">
        <v>7676</v>
      </c>
      <c r="K9" s="91">
        <v>43661</v>
      </c>
      <c r="M9" s="91" t="s">
        <v>7677</v>
      </c>
    </row>
    <row r="10" spans="1:17" x14ac:dyDescent="0.2">
      <c r="A10" s="91" t="s">
        <v>1882</v>
      </c>
      <c r="F10" s="92" t="s">
        <v>1357</v>
      </c>
      <c r="G10" s="155" t="s">
        <v>8493</v>
      </c>
    </row>
    <row r="11" spans="1:17" x14ac:dyDescent="0.2">
      <c r="A11" s="91" t="s">
        <v>1301</v>
      </c>
      <c r="F11" s="92" t="s">
        <v>1330</v>
      </c>
      <c r="G11" s="155" t="s">
        <v>1220</v>
      </c>
      <c r="K11" s="2" t="s">
        <v>6667</v>
      </c>
    </row>
    <row r="12" spans="1:17" x14ac:dyDescent="0.2">
      <c r="A12" s="91" t="s">
        <v>1302</v>
      </c>
      <c r="F12" s="92" t="s">
        <v>1224</v>
      </c>
      <c r="G12" s="94" t="s">
        <v>8507</v>
      </c>
    </row>
    <row r="13" spans="1:17" x14ac:dyDescent="0.2">
      <c r="G13" s="153" t="s">
        <v>7762</v>
      </c>
      <c r="K13" s="2" t="s">
        <v>6667</v>
      </c>
    </row>
    <row r="16" spans="1:17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K16" s="93" t="s">
        <v>6887</v>
      </c>
      <c r="L16" s="142" t="s">
        <v>6915</v>
      </c>
      <c r="M16" s="91" t="s">
        <v>6916</v>
      </c>
      <c r="N16" s="91"/>
      <c r="O16" s="91"/>
      <c r="P16" s="91">
        <f>17.5*2</f>
        <v>35</v>
      </c>
      <c r="Q16" s="91"/>
    </row>
    <row r="17" spans="1:16" x14ac:dyDescent="0.2">
      <c r="K17" s="142"/>
      <c r="L17" s="142"/>
      <c r="M17" s="91" t="s">
        <v>6917</v>
      </c>
      <c r="P17" s="91">
        <v>35</v>
      </c>
    </row>
    <row r="18" spans="1:16" x14ac:dyDescent="0.2">
      <c r="D18" s="2" t="s">
        <v>8509</v>
      </c>
      <c r="E18" s="2"/>
    </row>
    <row r="20" spans="1:16" x14ac:dyDescent="0.2">
      <c r="A20" s="142" t="s">
        <v>8495</v>
      </c>
      <c r="B20" s="142" t="s">
        <v>8508</v>
      </c>
      <c r="C20" s="142"/>
      <c r="D20" s="91" t="s">
        <v>8510</v>
      </c>
      <c r="H20" s="91">
        <v>27</v>
      </c>
    </row>
    <row r="21" spans="1:16" x14ac:dyDescent="0.2">
      <c r="D21" s="91" t="s">
        <v>8511</v>
      </c>
      <c r="H21" s="91">
        <v>6</v>
      </c>
    </row>
    <row r="22" spans="1:16" x14ac:dyDescent="0.2">
      <c r="A22" s="93"/>
      <c r="B22" s="142"/>
      <c r="C22" s="142"/>
      <c r="D22" s="2"/>
      <c r="E22" s="2"/>
    </row>
    <row r="24" spans="1:16" x14ac:dyDescent="0.2">
      <c r="A24" s="93"/>
      <c r="B24" s="142"/>
      <c r="C24" s="142"/>
    </row>
    <row r="25" spans="1:16" x14ac:dyDescent="0.2">
      <c r="A25" s="93"/>
      <c r="B25" s="99"/>
      <c r="C25" s="425"/>
    </row>
    <row r="26" spans="1:16" x14ac:dyDescent="0.2">
      <c r="A26" s="93"/>
      <c r="B26" s="402"/>
      <c r="C26" s="425"/>
    </row>
    <row r="27" spans="1:16" x14ac:dyDescent="0.2">
      <c r="A27" s="93"/>
      <c r="B27" s="402"/>
      <c r="C27" s="425"/>
    </row>
    <row r="28" spans="1:16" x14ac:dyDescent="0.2">
      <c r="A28" s="93"/>
      <c r="B28" s="99"/>
      <c r="C28" s="425"/>
    </row>
    <row r="34" spans="1:8" ht="13.5" thickBot="1" x14ac:dyDescent="0.25">
      <c r="H34" s="95">
        <f>SUM(H18:H33)</f>
        <v>33</v>
      </c>
    </row>
    <row r="35" spans="1:8" ht="13.5" thickTop="1" x14ac:dyDescent="0.2"/>
    <row r="36" spans="1:8" ht="20.100000000000001" customHeight="1" x14ac:dyDescent="0.2">
      <c r="A36" s="96" t="s">
        <v>1075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Thirty-Three and NO/100 -----------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8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A40" s="98"/>
      <c r="F40" s="228"/>
      <c r="G40" s="229"/>
      <c r="H40" s="229"/>
    </row>
    <row r="42" spans="1:8" x14ac:dyDescent="0.2">
      <c r="A42" s="100"/>
      <c r="B42" s="101"/>
      <c r="C42" s="386"/>
    </row>
    <row r="43" spans="1:8" x14ac:dyDescent="0.2">
      <c r="A43" s="98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C48" s="386"/>
      <c r="D48" s="100"/>
      <c r="F48" s="101"/>
      <c r="G48" s="101"/>
      <c r="H48" s="101"/>
    </row>
    <row r="49" spans="1:6" s="61" customFormat="1" ht="17.100000000000001" customHeight="1" x14ac:dyDescent="0.2">
      <c r="A49" s="103" t="s">
        <v>4066</v>
      </c>
      <c r="B49" s="104"/>
      <c r="C49" s="104"/>
      <c r="D49" s="103" t="s">
        <v>50</v>
      </c>
      <c r="F49" s="61" t="s">
        <v>3</v>
      </c>
    </row>
    <row r="50" spans="1:6" x14ac:dyDescent="0.2">
      <c r="A50" s="98"/>
      <c r="F50" s="91" t="s">
        <v>2</v>
      </c>
    </row>
    <row r="51" spans="1:6" x14ac:dyDescent="0.2">
      <c r="A51" s="98"/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 state="hidden" topLeftCell="A10">
      <selection activeCell="C18" sqref="C18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2-000000000000}">
  <sheetPr codeName="Sheet319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4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5468</v>
      </c>
    </row>
    <row r="10" spans="1:6" x14ac:dyDescent="0.2">
      <c r="A10" s="91" t="s">
        <v>1882</v>
      </c>
      <c r="D10" s="92" t="s">
        <v>1444</v>
      </c>
      <c r="E10" s="92" t="s">
        <v>5467</v>
      </c>
    </row>
    <row r="11" spans="1:6" x14ac:dyDescent="0.2">
      <c r="A11" s="91" t="s">
        <v>1301</v>
      </c>
      <c r="D11" s="92" t="s">
        <v>1431</v>
      </c>
      <c r="E11" s="92" t="s">
        <v>1220</v>
      </c>
    </row>
    <row r="12" spans="1:6" x14ac:dyDescent="0.2">
      <c r="A12" s="91" t="s">
        <v>1302</v>
      </c>
      <c r="D12" s="92" t="s">
        <v>1268</v>
      </c>
      <c r="E12" s="92" t="s">
        <v>5469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111"/>
      <c r="B18" s="93"/>
      <c r="C18" s="2" t="s">
        <v>5394</v>
      </c>
    </row>
    <row r="20" spans="1:6" x14ac:dyDescent="0.2">
      <c r="A20" s="111" t="s">
        <v>5396</v>
      </c>
      <c r="B20" s="93" t="s">
        <v>5457</v>
      </c>
      <c r="C20" s="91" t="s">
        <v>5459</v>
      </c>
      <c r="F20" s="110">
        <f>14</f>
        <v>14</v>
      </c>
    </row>
    <row r="21" spans="1:6" x14ac:dyDescent="0.2">
      <c r="A21" s="111"/>
      <c r="B21" s="93"/>
      <c r="C21" s="91" t="s">
        <v>5458</v>
      </c>
      <c r="F21" s="91">
        <f>17.5</f>
        <v>17.5</v>
      </c>
    </row>
    <row r="22" spans="1:6" x14ac:dyDescent="0.2">
      <c r="C22" s="91" t="s">
        <v>5460</v>
      </c>
      <c r="F22" s="91">
        <v>35</v>
      </c>
    </row>
    <row r="24" spans="1:6" x14ac:dyDescent="0.2">
      <c r="A24" s="111"/>
      <c r="B24" s="93"/>
      <c r="C24" s="2" t="s">
        <v>5463</v>
      </c>
    </row>
    <row r="26" spans="1:6" x14ac:dyDescent="0.2">
      <c r="A26" s="111" t="s">
        <v>5461</v>
      </c>
      <c r="B26" s="93" t="s">
        <v>5462</v>
      </c>
      <c r="C26" s="91" t="s">
        <v>5459</v>
      </c>
      <c r="F26" s="110">
        <f>14</f>
        <v>14</v>
      </c>
    </row>
    <row r="27" spans="1:6" x14ac:dyDescent="0.2">
      <c r="A27" s="111"/>
      <c r="B27" s="93"/>
      <c r="C27" s="91" t="s">
        <v>5464</v>
      </c>
      <c r="F27" s="91">
        <v>14</v>
      </c>
    </row>
    <row r="31" spans="1:6" x14ac:dyDescent="0.2">
      <c r="F31" s="110"/>
    </row>
    <row r="32" spans="1:6" ht="13.5" thickBot="1" x14ac:dyDescent="0.25">
      <c r="F32" s="95">
        <f>SUM(F18:F31)</f>
        <v>94.5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185" t="s">
        <v>3577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 topLeftCell="A7">
      <selection activeCell="A22" sqref="A22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2-000000000000}">
  <sheetPr codeName="Sheet62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396</v>
      </c>
    </row>
    <row r="10" spans="1:6" x14ac:dyDescent="0.2">
      <c r="A10" s="1" t="s">
        <v>395</v>
      </c>
      <c r="D10" s="20" t="s">
        <v>27</v>
      </c>
      <c r="E10" s="20" t="s">
        <v>394</v>
      </c>
    </row>
    <row r="11" spans="1:6" x14ac:dyDescent="0.2">
      <c r="A11" s="1" t="s">
        <v>393</v>
      </c>
      <c r="D11" s="20" t="s">
        <v>24</v>
      </c>
      <c r="E11" s="20" t="s">
        <v>23</v>
      </c>
    </row>
    <row r="12" spans="1:6" x14ac:dyDescent="0.2">
      <c r="A12" s="1" t="s">
        <v>392</v>
      </c>
      <c r="D12" s="20" t="s">
        <v>22</v>
      </c>
      <c r="E12" s="20" t="s">
        <v>391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21" t="s">
        <v>390</v>
      </c>
    </row>
    <row r="21" spans="2:6" x14ac:dyDescent="0.2">
      <c r="C21" s="21" t="s">
        <v>389</v>
      </c>
    </row>
    <row r="23" spans="2:6" x14ac:dyDescent="0.2">
      <c r="C23" s="21" t="s">
        <v>388</v>
      </c>
      <c r="F23" s="1">
        <v>760</v>
      </c>
    </row>
    <row r="24" spans="2:6" x14ac:dyDescent="0.2">
      <c r="C24" s="21" t="s">
        <v>387</v>
      </c>
    </row>
    <row r="25" spans="2:6" x14ac:dyDescent="0.2">
      <c r="B25" s="8"/>
      <c r="C25" s="1" t="s">
        <v>386</v>
      </c>
    </row>
    <row r="26" spans="2:6" x14ac:dyDescent="0.2">
      <c r="B26" s="8"/>
    </row>
    <row r="27" spans="2:6" x14ac:dyDescent="0.2">
      <c r="B27" s="8"/>
    </row>
    <row r="31" spans="2:6" ht="13.5" thickBot="1" x14ac:dyDescent="0.25">
      <c r="F31" s="11">
        <f>SUM(F18:F30)</f>
        <v>760</v>
      </c>
    </row>
    <row r="32" spans="2:6" ht="13.5" thickTop="1" x14ac:dyDescent="0.2"/>
    <row r="34" spans="1:6" ht="20.100000000000001" customHeight="1" thickBot="1" x14ac:dyDescent="0.25">
      <c r="A34" s="10" t="s">
        <v>385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2-000000000000}">
  <sheetPr codeName="Sheet47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141</v>
      </c>
    </row>
    <row r="10" spans="1:6" x14ac:dyDescent="0.2">
      <c r="A10" s="1" t="s">
        <v>49</v>
      </c>
      <c r="D10" s="20" t="s">
        <v>27</v>
      </c>
      <c r="E10" s="20" t="s">
        <v>140</v>
      </c>
    </row>
    <row r="11" spans="1:6" x14ac:dyDescent="0.2">
      <c r="A11" s="1" t="s">
        <v>47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139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138</v>
      </c>
    </row>
    <row r="21" spans="2:6" x14ac:dyDescent="0.2">
      <c r="C21" s="13" t="s">
        <v>137</v>
      </c>
    </row>
    <row r="22" spans="2:6" x14ac:dyDescent="0.2">
      <c r="C22" s="12"/>
    </row>
    <row r="24" spans="2:6" x14ac:dyDescent="0.2">
      <c r="C24" s="1" t="s">
        <v>15</v>
      </c>
    </row>
    <row r="26" spans="2:6" x14ac:dyDescent="0.2">
      <c r="B26" s="8" t="s">
        <v>43</v>
      </c>
      <c r="C26" s="21" t="s">
        <v>136</v>
      </c>
      <c r="F26" s="1">
        <v>540</v>
      </c>
    </row>
    <row r="27" spans="2:6" x14ac:dyDescent="0.2">
      <c r="B27" s="8" t="s">
        <v>41</v>
      </c>
      <c r="C27" s="1" t="s">
        <v>135</v>
      </c>
      <c r="F27" s="1">
        <v>200</v>
      </c>
    </row>
    <row r="28" spans="2:6" x14ac:dyDescent="0.2">
      <c r="B28" s="8" t="s">
        <v>39</v>
      </c>
      <c r="C28" s="1" t="s">
        <v>93</v>
      </c>
      <c r="F28" s="1">
        <v>200</v>
      </c>
    </row>
    <row r="32" spans="2:6" ht="13.5" thickBot="1" x14ac:dyDescent="0.25">
      <c r="F32" s="11">
        <f>SUM(F18:F31)</f>
        <v>940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134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2-000000000000}">
  <sheetPr codeName="Sheet148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1858</v>
      </c>
    </row>
    <row r="10" spans="1:6" x14ac:dyDescent="0.2">
      <c r="A10" s="91" t="s">
        <v>1860</v>
      </c>
      <c r="D10" s="92" t="s">
        <v>1327</v>
      </c>
      <c r="E10" s="105" t="s">
        <v>1838</v>
      </c>
    </row>
    <row r="11" spans="1:6" x14ac:dyDescent="0.2">
      <c r="A11" s="91" t="s">
        <v>1861</v>
      </c>
      <c r="D11" s="92" t="s">
        <v>1328</v>
      </c>
      <c r="E11" s="92" t="s">
        <v>1220</v>
      </c>
    </row>
    <row r="12" spans="1:6" x14ac:dyDescent="0.2">
      <c r="A12" s="91" t="s">
        <v>1863</v>
      </c>
      <c r="D12" s="92" t="s">
        <v>1308</v>
      </c>
      <c r="E12" s="92" t="s">
        <v>1859</v>
      </c>
    </row>
    <row r="13" spans="1:6" x14ac:dyDescent="0.2">
      <c r="A13" s="91" t="s">
        <v>1862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1864</v>
      </c>
    </row>
    <row r="19" spans="1:6" x14ac:dyDescent="0.2">
      <c r="A19" s="93"/>
      <c r="B19" s="93"/>
    </row>
    <row r="20" spans="1:6" x14ac:dyDescent="0.2">
      <c r="A20" s="93" t="s">
        <v>1856</v>
      </c>
      <c r="B20" s="93"/>
      <c r="C20" s="91" t="s">
        <v>1865</v>
      </c>
      <c r="F20" s="91">
        <f>56*53</f>
        <v>2968</v>
      </c>
    </row>
    <row r="21" spans="1:6" x14ac:dyDescent="0.2">
      <c r="C21" s="91" t="s">
        <v>1866</v>
      </c>
    </row>
    <row r="24" spans="1:6" x14ac:dyDescent="0.2">
      <c r="C24" s="94"/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2968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1867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2-000000000000}">
  <sheetPr codeName="Sheet149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10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1762</v>
      </c>
    </row>
    <row r="10" spans="1:6" x14ac:dyDescent="0.2">
      <c r="A10" s="91" t="s">
        <v>1764</v>
      </c>
      <c r="D10" s="92" t="s">
        <v>1357</v>
      </c>
      <c r="E10" s="105" t="s">
        <v>1738</v>
      </c>
    </row>
    <row r="11" spans="1:6" x14ac:dyDescent="0.2">
      <c r="A11" s="91" t="s">
        <v>1765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1763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/>
    </row>
    <row r="19" spans="1:6" x14ac:dyDescent="0.2">
      <c r="A19" s="147" t="s">
        <v>1766</v>
      </c>
      <c r="B19" s="93" t="s">
        <v>1767</v>
      </c>
      <c r="C19" s="2" t="s">
        <v>1768</v>
      </c>
    </row>
    <row r="20" spans="1:6" x14ac:dyDescent="0.2">
      <c r="A20" s="109"/>
      <c r="C20" s="2" t="s">
        <v>1769</v>
      </c>
      <c r="F20" s="91">
        <f>5*50*5</f>
        <v>1250</v>
      </c>
    </row>
    <row r="21" spans="1:6" x14ac:dyDescent="0.2">
      <c r="A21" s="108"/>
      <c r="B21" s="138"/>
      <c r="C21" s="2"/>
      <c r="F21" s="110"/>
    </row>
    <row r="22" spans="1:6" x14ac:dyDescent="0.2">
      <c r="A22" s="108"/>
      <c r="B22" s="138"/>
    </row>
    <row r="23" spans="1:6" x14ac:dyDescent="0.2">
      <c r="A23" s="108"/>
      <c r="B23" s="138"/>
      <c r="F23" s="110"/>
    </row>
    <row r="24" spans="1:6" x14ac:dyDescent="0.2">
      <c r="A24" s="108"/>
      <c r="B24" s="138"/>
    </row>
    <row r="25" spans="1:6" x14ac:dyDescent="0.2">
      <c r="A25" s="108"/>
      <c r="B25" s="94"/>
      <c r="F25" s="110"/>
    </row>
    <row r="26" spans="1:6" x14ac:dyDescent="0.2">
      <c r="A26" s="108"/>
    </row>
    <row r="27" spans="1:6" x14ac:dyDescent="0.2">
      <c r="A27" s="108"/>
    </row>
    <row r="31" spans="1:6" ht="13.5" thickBot="1" x14ac:dyDescent="0.25">
      <c r="F31" s="95">
        <f>SUM(F18:F30)</f>
        <v>1250</v>
      </c>
    </row>
    <row r="32" spans="1:6" ht="13.5" thickTop="1" x14ac:dyDescent="0.2"/>
    <row r="34" spans="1:6" ht="20.100000000000001" customHeight="1" thickBot="1" x14ac:dyDescent="0.25">
      <c r="A34" s="96" t="s">
        <v>336</v>
      </c>
      <c r="B34" s="96" t="s">
        <v>1770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248">
    <pageSetUpPr fitToPage="1"/>
  </sheetPr>
  <dimension ref="A1:F53"/>
  <sheetViews>
    <sheetView topLeftCell="A7" workbookViewId="0">
      <selection activeCell="F34" sqref="F34"/>
    </sheetView>
  </sheetViews>
  <sheetFormatPr defaultRowHeight="12.75" x14ac:dyDescent="0.2"/>
  <cols>
    <col min="1" max="1" width="15" style="91" customWidth="1"/>
    <col min="2" max="2" width="15.140625" style="91" customWidth="1"/>
    <col min="3" max="3" width="21" style="91" customWidth="1"/>
    <col min="4" max="4" width="16.42578125" style="91" customWidth="1"/>
    <col min="5" max="5" width="11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2626</v>
      </c>
      <c r="D9" s="92" t="s">
        <v>1358</v>
      </c>
      <c r="E9" s="91" t="s">
        <v>4542</v>
      </c>
    </row>
    <row r="10" spans="1:6" x14ac:dyDescent="0.2">
      <c r="A10" s="91" t="s">
        <v>2627</v>
      </c>
      <c r="D10" s="92" t="s">
        <v>1357</v>
      </c>
      <c r="E10" s="98" t="s">
        <v>4536</v>
      </c>
    </row>
    <row r="11" spans="1:6" x14ac:dyDescent="0.2">
      <c r="A11" s="91" t="s">
        <v>2628</v>
      </c>
      <c r="D11" s="92" t="s">
        <v>1330</v>
      </c>
      <c r="E11" s="92" t="s">
        <v>1220</v>
      </c>
    </row>
    <row r="12" spans="1:6" x14ac:dyDescent="0.2">
      <c r="A12" s="91" t="s">
        <v>2629</v>
      </c>
      <c r="D12" s="92" t="s">
        <v>1224</v>
      </c>
      <c r="E12" s="94" t="s">
        <v>4543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 t="s">
        <v>4544</v>
      </c>
    </row>
    <row r="19" spans="1:6" x14ac:dyDescent="0.2">
      <c r="B19" s="93"/>
    </row>
    <row r="20" spans="1:6" x14ac:dyDescent="0.2">
      <c r="A20" s="93" t="s">
        <v>4413</v>
      </c>
      <c r="B20" s="93" t="s">
        <v>4545</v>
      </c>
      <c r="C20" s="91" t="s">
        <v>4546</v>
      </c>
      <c r="F20" s="91">
        <f>9.4*2</f>
        <v>18.8</v>
      </c>
    </row>
    <row r="21" spans="1:6" x14ac:dyDescent="0.2">
      <c r="B21" s="99"/>
    </row>
    <row r="22" spans="1:6" x14ac:dyDescent="0.2">
      <c r="B22" s="93"/>
      <c r="C22" s="2" t="s">
        <v>4547</v>
      </c>
    </row>
    <row r="23" spans="1:6" x14ac:dyDescent="0.2">
      <c r="B23" s="99"/>
    </row>
    <row r="24" spans="1:6" x14ac:dyDescent="0.2">
      <c r="A24" s="93" t="s">
        <v>4482</v>
      </c>
      <c r="B24" s="93" t="s">
        <v>4548</v>
      </c>
      <c r="C24" s="91" t="s">
        <v>4301</v>
      </c>
      <c r="F24" s="91">
        <v>9.4</v>
      </c>
    </row>
    <row r="25" spans="1:6" x14ac:dyDescent="0.2">
      <c r="B25" s="99"/>
    </row>
    <row r="26" spans="1:6" x14ac:dyDescent="0.2">
      <c r="B26" s="99"/>
    </row>
    <row r="27" spans="1:6" x14ac:dyDescent="0.2">
      <c r="A27" s="93"/>
      <c r="B27" s="93"/>
    </row>
    <row r="28" spans="1:6" x14ac:dyDescent="0.2">
      <c r="B28" s="93"/>
      <c r="C28" s="2"/>
    </row>
    <row r="29" spans="1:6" x14ac:dyDescent="0.2">
      <c r="B29" s="99"/>
      <c r="C29" s="2"/>
    </row>
    <row r="30" spans="1:6" x14ac:dyDescent="0.2">
      <c r="A30" s="93"/>
      <c r="B30" s="99"/>
      <c r="F30" s="2"/>
    </row>
    <row r="31" spans="1:6" x14ac:dyDescent="0.2">
      <c r="A31" s="93"/>
      <c r="B31" s="93"/>
    </row>
    <row r="32" spans="1:6" x14ac:dyDescent="0.2">
      <c r="B32" s="94"/>
    </row>
    <row r="34" spans="1:6" ht="13.5" thickBot="1" x14ac:dyDescent="0.25">
      <c r="F34" s="95">
        <f>SUM(F18:F33)</f>
        <v>28.200000000000003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Twenty-Eight and 20/100 -----------</v>
      </c>
      <c r="C36" s="97"/>
      <c r="D36" s="97"/>
      <c r="E36" s="97"/>
      <c r="F36" s="97"/>
    </row>
    <row r="37" spans="1:6" x14ac:dyDescent="0.2">
      <c r="A37" s="94"/>
      <c r="F37" s="209"/>
    </row>
    <row r="38" spans="1:6" ht="25.5" x14ac:dyDescent="0.2">
      <c r="A38" s="98" t="s">
        <v>10</v>
      </c>
      <c r="D38" s="218" t="s">
        <v>3975</v>
      </c>
      <c r="E38" s="219"/>
      <c r="F38" s="220"/>
    </row>
    <row r="39" spans="1:6" x14ac:dyDescent="0.2">
      <c r="A39" s="98"/>
    </row>
    <row r="40" spans="1:6" x14ac:dyDescent="0.2">
      <c r="A40" s="98"/>
    </row>
    <row r="41" spans="1:6" x14ac:dyDescent="0.2">
      <c r="A41" s="98"/>
    </row>
    <row r="42" spans="1:6" x14ac:dyDescent="0.2">
      <c r="A42" s="100"/>
      <c r="B42" s="101"/>
      <c r="C42" s="99"/>
      <c r="D42" s="227"/>
      <c r="E42" s="227"/>
      <c r="F42" s="227"/>
    </row>
    <row r="43" spans="1:6" x14ac:dyDescent="0.2">
      <c r="A43" s="98"/>
      <c r="D43" s="228"/>
      <c r="E43" s="229"/>
      <c r="F43" s="229"/>
    </row>
    <row r="44" spans="1:6" x14ac:dyDescent="0.2">
      <c r="A44" s="91" t="s">
        <v>4302</v>
      </c>
      <c r="D44" s="98" t="s">
        <v>7</v>
      </c>
    </row>
    <row r="45" spans="1:6" x14ac:dyDescent="0.2">
      <c r="A45" s="98"/>
    </row>
    <row r="46" spans="1:6" x14ac:dyDescent="0.2">
      <c r="A46" s="98"/>
    </row>
    <row r="47" spans="1:6" x14ac:dyDescent="0.2">
      <c r="A47" s="98"/>
    </row>
    <row r="48" spans="1:6" x14ac:dyDescent="0.2">
      <c r="A48" s="100"/>
      <c r="B48" s="101"/>
      <c r="D48" s="101"/>
      <c r="E48" s="101"/>
      <c r="F48" s="101"/>
    </row>
    <row r="49" spans="1:4" s="61" customFormat="1" ht="17.100000000000001" customHeight="1" x14ac:dyDescent="0.2">
      <c r="A49" s="91" t="s">
        <v>4066</v>
      </c>
      <c r="B49" s="104"/>
      <c r="D49" s="61" t="s">
        <v>3</v>
      </c>
    </row>
    <row r="50" spans="1:4" x14ac:dyDescent="0.2">
      <c r="A50" s="98"/>
      <c r="D50" s="91" t="s">
        <v>2</v>
      </c>
    </row>
    <row r="51" spans="1:4" x14ac:dyDescent="0.2">
      <c r="A51" s="98"/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6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2-000000000000}">
  <sheetPr codeName="Sheet150"/>
  <dimension ref="A1:M52"/>
  <sheetViews>
    <sheetView view="pageBreakPreview" zoomScaleNormal="100" zoomScaleSheetLayoutView="100" workbookViewId="0">
      <selection activeCell="G9" sqref="G9:H13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" style="91" customWidth="1"/>
    <col min="4" max="4" width="21" style="91" customWidth="1"/>
    <col min="5" max="5" width="0.5703125" style="91" customWidth="1"/>
    <col min="6" max="6" width="14.5703125" style="91" customWidth="1"/>
    <col min="7" max="7" width="9" style="91" customWidth="1"/>
    <col min="8" max="8" width="13.28515625" style="91" customWidth="1"/>
    <col min="9" max="16384" width="9.140625" style="1"/>
  </cols>
  <sheetData>
    <row r="1" spans="1:12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2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2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2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2" x14ac:dyDescent="0.2">
      <c r="A8" s="91" t="s">
        <v>32</v>
      </c>
      <c r="F8" s="22" t="s">
        <v>31</v>
      </c>
    </row>
    <row r="9" spans="1:12" x14ac:dyDescent="0.2">
      <c r="A9" s="91" t="s">
        <v>1720</v>
      </c>
      <c r="F9" s="92" t="s">
        <v>1317</v>
      </c>
      <c r="G9" s="155" t="s">
        <v>8744</v>
      </c>
    </row>
    <row r="10" spans="1:12" x14ac:dyDescent="0.2">
      <c r="A10" s="91" t="s">
        <v>1721</v>
      </c>
      <c r="F10" s="92" t="s">
        <v>1329</v>
      </c>
      <c r="G10" s="155" t="s">
        <v>8732</v>
      </c>
    </row>
    <row r="11" spans="1:12" x14ac:dyDescent="0.2">
      <c r="A11" s="91" t="s">
        <v>1722</v>
      </c>
      <c r="F11" s="92" t="s">
        <v>1330</v>
      </c>
      <c r="G11" s="155" t="s">
        <v>1220</v>
      </c>
    </row>
    <row r="12" spans="1:12" x14ac:dyDescent="0.2">
      <c r="F12" s="92" t="s">
        <v>1331</v>
      </c>
      <c r="G12" s="94" t="s">
        <v>8745</v>
      </c>
    </row>
    <row r="13" spans="1:12" x14ac:dyDescent="0.2">
      <c r="G13" s="153" t="s">
        <v>7762</v>
      </c>
    </row>
    <row r="15" spans="1:12" x14ac:dyDescent="0.2">
      <c r="L15" s="1" t="s">
        <v>8346</v>
      </c>
    </row>
    <row r="16" spans="1:12" s="14" customFormat="1" ht="20.100000000000001" customHeight="1" x14ac:dyDescent="0.2">
      <c r="A16" s="31" t="s">
        <v>1226</v>
      </c>
      <c r="B16" s="31" t="s">
        <v>128</v>
      </c>
      <c r="C16" s="407"/>
      <c r="D16" s="18" t="s">
        <v>19</v>
      </c>
      <c r="E16" s="18"/>
      <c r="F16" s="17"/>
      <c r="G16" s="16"/>
      <c r="H16" s="15" t="s">
        <v>18</v>
      </c>
      <c r="L16" s="14">
        <v>26300004456</v>
      </c>
    </row>
    <row r="17" spans="1:13" x14ac:dyDescent="0.2">
      <c r="A17" s="106"/>
      <c r="L17" s="1" t="s">
        <v>8347</v>
      </c>
    </row>
    <row r="18" spans="1:13" x14ac:dyDescent="0.2">
      <c r="D18" s="2" t="s">
        <v>1723</v>
      </c>
      <c r="E18" s="2"/>
    </row>
    <row r="19" spans="1:13" x14ac:dyDescent="0.2">
      <c r="A19" s="106"/>
      <c r="D19" s="2"/>
      <c r="E19" s="2"/>
    </row>
    <row r="20" spans="1:13" x14ac:dyDescent="0.2">
      <c r="A20" s="92" t="s">
        <v>4249</v>
      </c>
      <c r="B20" s="93"/>
      <c r="C20" s="93"/>
      <c r="D20" s="91" t="s">
        <v>8747</v>
      </c>
      <c r="H20" s="91">
        <v>100</v>
      </c>
    </row>
    <row r="21" spans="1:13" x14ac:dyDescent="0.2">
      <c r="A21" s="91" t="s">
        <v>8746</v>
      </c>
      <c r="D21" s="91" t="s">
        <v>8748</v>
      </c>
      <c r="H21" s="91">
        <v>93.35</v>
      </c>
    </row>
    <row r="22" spans="1:13" x14ac:dyDescent="0.2">
      <c r="D22" s="91" t="s">
        <v>8749</v>
      </c>
      <c r="H22" s="91">
        <v>60</v>
      </c>
      <c r="J22" s="91" t="s">
        <v>6574</v>
      </c>
      <c r="K22" s="91"/>
      <c r="L22" s="91"/>
      <c r="M22" s="91">
        <v>551.20000000000005</v>
      </c>
    </row>
    <row r="23" spans="1:13" x14ac:dyDescent="0.2">
      <c r="A23" s="92"/>
      <c r="J23" s="91" t="s">
        <v>6575</v>
      </c>
      <c r="K23" s="91"/>
      <c r="L23" s="91"/>
      <c r="M23" s="91">
        <v>1135</v>
      </c>
    </row>
    <row r="24" spans="1:13" x14ac:dyDescent="0.2">
      <c r="J24" s="94" t="s">
        <v>6576</v>
      </c>
      <c r="K24" s="91"/>
      <c r="L24" s="91"/>
      <c r="M24" s="91">
        <v>5.9</v>
      </c>
    </row>
    <row r="25" spans="1:13" x14ac:dyDescent="0.2">
      <c r="A25" s="93"/>
      <c r="J25" s="91" t="s">
        <v>6577</v>
      </c>
      <c r="K25" s="91"/>
      <c r="L25" s="91"/>
      <c r="M25" s="91">
        <v>50</v>
      </c>
    </row>
    <row r="26" spans="1:13" x14ac:dyDescent="0.2">
      <c r="A26" s="92"/>
      <c r="B26" s="93"/>
      <c r="C26" s="93"/>
      <c r="J26" s="91" t="s">
        <v>6578</v>
      </c>
      <c r="K26" s="91"/>
      <c r="L26" s="91"/>
      <c r="M26" s="91">
        <v>72</v>
      </c>
    </row>
    <row r="27" spans="1:13" x14ac:dyDescent="0.2">
      <c r="A27" s="93"/>
      <c r="J27" s="91" t="s">
        <v>6577</v>
      </c>
      <c r="K27" s="91"/>
      <c r="L27" s="91"/>
      <c r="M27" s="91">
        <v>50</v>
      </c>
    </row>
    <row r="28" spans="1:13" x14ac:dyDescent="0.2">
      <c r="A28" s="92"/>
      <c r="J28" s="91" t="s">
        <v>6578</v>
      </c>
      <c r="K28" s="91"/>
      <c r="L28" s="91"/>
      <c r="M28" s="91">
        <v>72</v>
      </c>
    </row>
    <row r="29" spans="1:13" x14ac:dyDescent="0.2">
      <c r="J29" s="91"/>
      <c r="K29" s="91"/>
      <c r="L29" s="91"/>
      <c r="M29" s="91"/>
    </row>
    <row r="30" spans="1:13" x14ac:dyDescent="0.2">
      <c r="A30" s="93"/>
      <c r="B30" s="1"/>
      <c r="C30" s="1"/>
    </row>
    <row r="31" spans="1:13" x14ac:dyDescent="0.2">
      <c r="A31" s="1"/>
      <c r="B31" s="1"/>
      <c r="C31" s="1"/>
      <c r="D31" s="1"/>
      <c r="E31" s="1"/>
      <c r="F31" s="1"/>
      <c r="G31" s="1"/>
      <c r="H31" s="1"/>
    </row>
    <row r="32" spans="1:13" x14ac:dyDescent="0.2">
      <c r="A32" s="106"/>
      <c r="H32" s="1"/>
    </row>
    <row r="33" spans="1:11" ht="13.5" thickBot="1" x14ac:dyDescent="0.25">
      <c r="A33" s="106"/>
      <c r="H33" s="107">
        <f>SUM(H19:H31)</f>
        <v>253.35</v>
      </c>
    </row>
    <row r="34" spans="1:11" ht="13.5" thickTop="1" x14ac:dyDescent="0.2">
      <c r="A34" s="106"/>
    </row>
    <row r="35" spans="1:11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Hundred Fifty-Three and 35/100 -----------</v>
      </c>
      <c r="C35" s="185"/>
      <c r="D35" s="97"/>
      <c r="E35" s="97"/>
      <c r="F35" s="97"/>
      <c r="G35" s="97"/>
      <c r="H35" s="97"/>
      <c r="K35" s="26"/>
    </row>
    <row r="36" spans="1:11" x14ac:dyDescent="0.2">
      <c r="A36" s="94"/>
      <c r="K36" s="26"/>
    </row>
    <row r="37" spans="1:11" x14ac:dyDescent="0.2">
      <c r="A37" s="91" t="s">
        <v>10</v>
      </c>
    </row>
    <row r="38" spans="1:11" ht="25.5" x14ac:dyDescent="0.2">
      <c r="F38" s="218" t="s">
        <v>3975</v>
      </c>
      <c r="G38" s="219"/>
      <c r="H38" s="220"/>
    </row>
    <row r="39" spans="1:11" x14ac:dyDescent="0.2">
      <c r="F39" s="227"/>
      <c r="G39" s="227"/>
      <c r="H39" s="227"/>
    </row>
    <row r="40" spans="1:11" x14ac:dyDescent="0.2">
      <c r="A40" s="91" t="s">
        <v>120</v>
      </c>
      <c r="D40" s="99"/>
      <c r="E40" s="408"/>
      <c r="F40" s="228"/>
      <c r="G40" s="229"/>
      <c r="H40" s="229"/>
    </row>
    <row r="41" spans="1:11" x14ac:dyDescent="0.2">
      <c r="A41" s="23"/>
      <c r="B41" s="101"/>
      <c r="C41" s="386"/>
    </row>
    <row r="43" spans="1:11" x14ac:dyDescent="0.2">
      <c r="A43" s="91" t="s">
        <v>8</v>
      </c>
      <c r="D43" s="91" t="s">
        <v>8</v>
      </c>
      <c r="F43" s="98" t="s">
        <v>7</v>
      </c>
      <c r="H43" s="102"/>
    </row>
    <row r="47" spans="1:11" x14ac:dyDescent="0.2">
      <c r="A47" s="101"/>
      <c r="B47" s="101"/>
      <c r="C47" s="386"/>
      <c r="D47" s="101"/>
      <c r="F47" s="101"/>
      <c r="G47" s="101"/>
      <c r="H47" s="101"/>
    </row>
    <row r="48" spans="1:11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6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2-000000000000}">
  <sheetPr codeName="Sheet152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1612</v>
      </c>
      <c r="D9" s="92" t="s">
        <v>1317</v>
      </c>
      <c r="E9" s="91" t="s">
        <v>1628</v>
      </c>
    </row>
    <row r="10" spans="1:6" x14ac:dyDescent="0.2">
      <c r="A10" s="91" t="s">
        <v>1613</v>
      </c>
      <c r="D10" s="92" t="s">
        <v>1329</v>
      </c>
      <c r="E10" s="92" t="s">
        <v>1623</v>
      </c>
    </row>
    <row r="11" spans="1:6" x14ac:dyDescent="0.2">
      <c r="A11" s="91" t="s">
        <v>1614</v>
      </c>
      <c r="D11" s="92" t="s">
        <v>1330</v>
      </c>
      <c r="E11" s="92" t="s">
        <v>1220</v>
      </c>
    </row>
    <row r="12" spans="1:6" x14ac:dyDescent="0.2">
      <c r="A12" s="91" t="s">
        <v>1615</v>
      </c>
      <c r="D12" s="92" t="s">
        <v>1331</v>
      </c>
      <c r="E12" s="92" t="s">
        <v>1629</v>
      </c>
    </row>
    <row r="13" spans="1:6" x14ac:dyDescent="0.2">
      <c r="A13" s="91" t="s">
        <v>1616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1617</v>
      </c>
    </row>
    <row r="19" spans="1:6" x14ac:dyDescent="0.2">
      <c r="A19" s="106"/>
      <c r="C19" s="2"/>
    </row>
    <row r="20" spans="1:6" x14ac:dyDescent="0.2">
      <c r="A20" s="93" t="s">
        <v>1630</v>
      </c>
      <c r="B20" s="93" t="s">
        <v>1631</v>
      </c>
      <c r="C20" s="91" t="s">
        <v>1632</v>
      </c>
      <c r="F20" s="91">
        <v>300</v>
      </c>
    </row>
    <row r="21" spans="1:6" x14ac:dyDescent="0.2">
      <c r="A21" s="93"/>
      <c r="B21" s="94"/>
      <c r="C21" s="91" t="s">
        <v>1633</v>
      </c>
    </row>
    <row r="22" spans="1:6" x14ac:dyDescent="0.2">
      <c r="A22" s="93"/>
      <c r="B22" s="94"/>
      <c r="C22" s="91" t="s">
        <v>1618</v>
      </c>
    </row>
    <row r="23" spans="1:6" x14ac:dyDescent="0.2">
      <c r="A23" s="106"/>
    </row>
    <row r="24" spans="1:6" x14ac:dyDescent="0.2">
      <c r="A24" s="106"/>
      <c r="C24" s="91" t="s">
        <v>1632</v>
      </c>
      <c r="F24" s="91">
        <v>300</v>
      </c>
    </row>
    <row r="25" spans="1:6" x14ac:dyDescent="0.2">
      <c r="C25" s="91" t="s">
        <v>1634</v>
      </c>
    </row>
    <row r="26" spans="1:6" x14ac:dyDescent="0.2">
      <c r="C26" s="91" t="s">
        <v>1618</v>
      </c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600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1326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2-000000000000}">
  <sheetPr codeName="Sheet15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1532</v>
      </c>
    </row>
    <row r="10" spans="1:6" x14ac:dyDescent="0.2">
      <c r="A10" s="91" t="s">
        <v>1526</v>
      </c>
      <c r="D10" s="92" t="s">
        <v>1356</v>
      </c>
      <c r="E10" s="92" t="s">
        <v>1533</v>
      </c>
    </row>
    <row r="11" spans="1:6" x14ac:dyDescent="0.2">
      <c r="A11" s="91" t="s">
        <v>1527</v>
      </c>
      <c r="D11" s="92" t="s">
        <v>1364</v>
      </c>
      <c r="E11" s="92" t="s">
        <v>1220</v>
      </c>
    </row>
    <row r="12" spans="1:6" x14ac:dyDescent="0.2">
      <c r="A12" s="91" t="s">
        <v>1528</v>
      </c>
      <c r="D12" s="92" t="s">
        <v>1394</v>
      </c>
      <c r="E12" s="92" t="s">
        <v>770</v>
      </c>
    </row>
    <row r="13" spans="1:6" x14ac:dyDescent="0.2">
      <c r="A13" s="91" t="s">
        <v>1529</v>
      </c>
    </row>
    <row r="14" spans="1:6" x14ac:dyDescent="0.2">
      <c r="A14" s="91" t="s">
        <v>1530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C18" s="2" t="s">
        <v>1535</v>
      </c>
    </row>
    <row r="19" spans="1:6" x14ac:dyDescent="0.2">
      <c r="C19" s="2" t="s">
        <v>1536</v>
      </c>
    </row>
    <row r="20" spans="1:6" x14ac:dyDescent="0.2">
      <c r="A20" s="111" t="s">
        <v>1435</v>
      </c>
      <c r="B20" s="93" t="s">
        <v>1531</v>
      </c>
      <c r="C20" s="91" t="s">
        <v>1534</v>
      </c>
      <c r="F20" s="91">
        <f>12000000*0.00036</f>
        <v>4320</v>
      </c>
    </row>
    <row r="21" spans="1:6" x14ac:dyDescent="0.2">
      <c r="A21" s="109"/>
      <c r="B21" s="93"/>
    </row>
    <row r="22" spans="1:6" x14ac:dyDescent="0.2">
      <c r="A22" s="111" t="s">
        <v>1435</v>
      </c>
      <c r="B22" s="111" t="s">
        <v>1537</v>
      </c>
      <c r="C22" s="91" t="s">
        <v>1538</v>
      </c>
      <c r="F22" s="91">
        <f>1297500*0.00036</f>
        <v>467.1</v>
      </c>
    </row>
    <row r="23" spans="1:6" x14ac:dyDescent="0.2">
      <c r="A23" s="109"/>
      <c r="B23" s="93"/>
    </row>
    <row r="24" spans="1:6" x14ac:dyDescent="0.2">
      <c r="C24" s="91" t="s">
        <v>1540</v>
      </c>
      <c r="F24" s="91">
        <f>1297500*0.00036</f>
        <v>467.1</v>
      </c>
    </row>
    <row r="25" spans="1:6" x14ac:dyDescent="0.2">
      <c r="A25" s="109"/>
      <c r="B25" s="93"/>
    </row>
    <row r="26" spans="1:6" x14ac:dyDescent="0.2">
      <c r="A26" s="111" t="s">
        <v>1435</v>
      </c>
      <c r="B26" s="111" t="s">
        <v>1539</v>
      </c>
      <c r="C26" s="91" t="s">
        <v>1541</v>
      </c>
      <c r="F26" s="91">
        <f>1297500*0.00036</f>
        <v>467.1</v>
      </c>
    </row>
    <row r="27" spans="1:6" x14ac:dyDescent="0.2">
      <c r="A27" s="109"/>
      <c r="B27" s="99"/>
    </row>
    <row r="28" spans="1:6" x14ac:dyDescent="0.2">
      <c r="A28" s="109"/>
      <c r="B28" s="99"/>
      <c r="C28" s="91" t="s">
        <v>1503</v>
      </c>
      <c r="F28" s="91">
        <v>30</v>
      </c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95">
        <f>SUM(F18:F31)</f>
        <v>5751.3000000000011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1542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2-000000000000}">
  <sheetPr codeName="Sheet15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3.42578125" style="91" customWidth="1"/>
    <col min="3" max="3" width="21" style="91" customWidth="1"/>
    <col min="4" max="4" width="16.42578125" style="91" customWidth="1"/>
    <col min="5" max="5" width="7.855468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153" t="s">
        <v>2528</v>
      </c>
    </row>
    <row r="10" spans="1:6" x14ac:dyDescent="0.2">
      <c r="A10" s="91" t="s">
        <v>1481</v>
      </c>
      <c r="D10" s="92" t="s">
        <v>1356</v>
      </c>
      <c r="E10" s="155" t="s">
        <v>2480</v>
      </c>
    </row>
    <row r="11" spans="1:6" x14ac:dyDescent="0.2">
      <c r="A11" s="91" t="s">
        <v>1482</v>
      </c>
      <c r="D11" s="92" t="s">
        <v>1364</v>
      </c>
      <c r="E11" s="155" t="s">
        <v>1220</v>
      </c>
    </row>
    <row r="12" spans="1:6" x14ac:dyDescent="0.2">
      <c r="D12" s="92" t="s">
        <v>1394</v>
      </c>
      <c r="E12" s="155" t="s">
        <v>2529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109"/>
      <c r="C18" s="2" t="s">
        <v>1723</v>
      </c>
    </row>
    <row r="19" spans="1:6" x14ac:dyDescent="0.2">
      <c r="A19" s="109"/>
      <c r="C19" s="2"/>
    </row>
    <row r="20" spans="1:6" x14ac:dyDescent="0.2">
      <c r="A20" s="108"/>
      <c r="B20" s="93"/>
      <c r="C20" s="2" t="s">
        <v>2530</v>
      </c>
    </row>
    <row r="21" spans="1:6" x14ac:dyDescent="0.2">
      <c r="A21" s="109"/>
      <c r="B21" s="99"/>
      <c r="C21" s="2"/>
    </row>
    <row r="22" spans="1:6" x14ac:dyDescent="0.2">
      <c r="A22" s="92"/>
      <c r="B22" s="109"/>
      <c r="C22" s="91" t="s">
        <v>2531</v>
      </c>
      <c r="F22" s="91">
        <v>1693.66</v>
      </c>
    </row>
    <row r="23" spans="1:6" x14ac:dyDescent="0.2">
      <c r="A23" s="94" t="s">
        <v>11</v>
      </c>
    </row>
    <row r="24" spans="1:6" x14ac:dyDescent="0.2">
      <c r="A24" s="92"/>
      <c r="B24" s="99"/>
    </row>
    <row r="25" spans="1:6" x14ac:dyDescent="0.2">
      <c r="A25" s="92"/>
      <c r="B25" s="93"/>
    </row>
    <row r="26" spans="1:6" x14ac:dyDescent="0.2">
      <c r="A26" s="111"/>
      <c r="B26" s="93"/>
    </row>
    <row r="27" spans="1:6" x14ac:dyDescent="0.2">
      <c r="A27" s="109"/>
      <c r="B27" s="93"/>
    </row>
    <row r="28" spans="1:6" x14ac:dyDescent="0.2">
      <c r="A28" s="109"/>
      <c r="B28" s="99"/>
    </row>
    <row r="29" spans="1:6" x14ac:dyDescent="0.2">
      <c r="A29" s="109"/>
      <c r="B29" s="99"/>
    </row>
    <row r="30" spans="1:6" x14ac:dyDescent="0.2">
      <c r="A30" s="109"/>
      <c r="B30" s="99"/>
    </row>
    <row r="31" spans="1:6" x14ac:dyDescent="0.2">
      <c r="A31" s="109"/>
    </row>
    <row r="32" spans="1:6" ht="13.5" thickBot="1" x14ac:dyDescent="0.25">
      <c r="A32" s="109"/>
      <c r="F32" s="95">
        <f>SUM(F18:F31)</f>
        <v>1693.66</v>
      </c>
    </row>
    <row r="33" spans="1:6" ht="13.5" thickTop="1" x14ac:dyDescent="0.2">
      <c r="A33" s="109"/>
    </row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2532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2-000000000000}">
  <sheetPr codeName="Sheet155">
    <pageSetUpPr fitToPage="1"/>
  </sheetPr>
  <dimension ref="A1:F53"/>
  <sheetViews>
    <sheetView topLeftCell="A4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2.42578125" style="91" customWidth="1"/>
    <col min="3" max="3" width="21" style="91" customWidth="1"/>
    <col min="4" max="4" width="16.42578125" style="91" customWidth="1"/>
    <col min="5" max="5" width="10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4366</v>
      </c>
    </row>
    <row r="10" spans="1:6" x14ac:dyDescent="0.2">
      <c r="A10" s="91" t="s">
        <v>1309</v>
      </c>
      <c r="D10" s="92" t="s">
        <v>1357</v>
      </c>
      <c r="E10" s="92" t="s">
        <v>4362</v>
      </c>
    </row>
    <row r="11" spans="1:6" x14ac:dyDescent="0.2">
      <c r="A11" s="91" t="s">
        <v>1310</v>
      </c>
      <c r="D11" s="92" t="s">
        <v>1376</v>
      </c>
      <c r="E11" s="92" t="s">
        <v>1220</v>
      </c>
    </row>
    <row r="12" spans="1:6" x14ac:dyDescent="0.2">
      <c r="A12" s="91" t="s">
        <v>1298</v>
      </c>
      <c r="D12" s="92" t="s">
        <v>1224</v>
      </c>
      <c r="E12" s="92" t="s">
        <v>4372</v>
      </c>
    </row>
    <row r="13" spans="1:6" x14ac:dyDescent="0.2">
      <c r="A13" s="91" t="s">
        <v>1245</v>
      </c>
    </row>
    <row r="14" spans="1:6" x14ac:dyDescent="0.2">
      <c r="A14" s="91" t="s">
        <v>1311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4373</v>
      </c>
    </row>
    <row r="20" spans="1:6" x14ac:dyDescent="0.2">
      <c r="A20" s="93" t="s">
        <v>4374</v>
      </c>
      <c r="B20" s="93" t="s">
        <v>4375</v>
      </c>
      <c r="C20" s="91" t="s">
        <v>4376</v>
      </c>
      <c r="F20" s="91">
        <f>500*3.3</f>
        <v>1650</v>
      </c>
    </row>
    <row r="23" spans="1:6" x14ac:dyDescent="0.2">
      <c r="A23" s="93"/>
      <c r="B23" s="93"/>
    </row>
    <row r="24" spans="1:6" x14ac:dyDescent="0.2">
      <c r="C24" s="94"/>
    </row>
    <row r="30" spans="1:6" x14ac:dyDescent="0.2">
      <c r="C30" s="2"/>
    </row>
    <row r="31" spans="1:6" x14ac:dyDescent="0.2">
      <c r="B31" s="94"/>
    </row>
    <row r="32" spans="1:6" x14ac:dyDescent="0.2">
      <c r="B32" s="94"/>
    </row>
    <row r="34" spans="1:6" ht="13.5" thickBot="1" x14ac:dyDescent="0.25">
      <c r="F34" s="95">
        <f>SUM(F20:F33)</f>
        <v>1650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Six Hundred Fifty and NO/100 -----------</v>
      </c>
      <c r="C36" s="97"/>
      <c r="D36" s="206"/>
      <c r="E36" s="206"/>
      <c r="F36" s="206"/>
    </row>
    <row r="37" spans="1:6" ht="18.75" customHeight="1" x14ac:dyDescent="0.2">
      <c r="A37" s="94"/>
    </row>
    <row r="38" spans="1:6" ht="25.5" x14ac:dyDescent="0.2">
      <c r="A38" s="103" t="s">
        <v>10</v>
      </c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100"/>
      <c r="B42" s="101"/>
    </row>
    <row r="43" spans="1:6" x14ac:dyDescent="0.2">
      <c r="A43" s="98"/>
    </row>
    <row r="44" spans="1:6" x14ac:dyDescent="0.2">
      <c r="A44" s="98" t="s">
        <v>8</v>
      </c>
      <c r="D44" s="98" t="s">
        <v>7</v>
      </c>
      <c r="F44" s="102"/>
    </row>
    <row r="45" spans="1:6" x14ac:dyDescent="0.2">
      <c r="A45" s="98"/>
    </row>
    <row r="46" spans="1:6" x14ac:dyDescent="0.2">
      <c r="A46" s="98"/>
    </row>
    <row r="47" spans="1:6" x14ac:dyDescent="0.2">
      <c r="A47" s="98"/>
    </row>
    <row r="48" spans="1:6" x14ac:dyDescent="0.2">
      <c r="A48" s="100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x14ac:dyDescent="0.2">
      <c r="A50" s="98"/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6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2-000000000000}">
  <sheetPr codeName="Sheet6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937</v>
      </c>
    </row>
    <row r="10" spans="1:6" x14ac:dyDescent="0.2">
      <c r="A10" s="1" t="s">
        <v>936</v>
      </c>
      <c r="D10" s="20" t="s">
        <v>27</v>
      </c>
      <c r="E10" s="20" t="s">
        <v>118</v>
      </c>
    </row>
    <row r="11" spans="1:6" x14ac:dyDescent="0.2">
      <c r="A11" s="1" t="s">
        <v>935</v>
      </c>
      <c r="D11" s="20" t="s">
        <v>24</v>
      </c>
      <c r="E11" s="20" t="s">
        <v>23</v>
      </c>
    </row>
    <row r="12" spans="1:6" x14ac:dyDescent="0.2">
      <c r="A12" s="1" t="s">
        <v>934</v>
      </c>
      <c r="D12" s="20" t="s">
        <v>22</v>
      </c>
      <c r="E12" s="20" t="s">
        <v>933</v>
      </c>
    </row>
    <row r="13" spans="1:6" x14ac:dyDescent="0.2">
      <c r="A13" s="1" t="s">
        <v>837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932</v>
      </c>
    </row>
    <row r="21" spans="1:6" x14ac:dyDescent="0.2">
      <c r="C21" s="21"/>
    </row>
    <row r="22" spans="1:6" x14ac:dyDescent="0.2">
      <c r="A22" s="8" t="s">
        <v>931</v>
      </c>
      <c r="C22" s="21" t="s">
        <v>930</v>
      </c>
      <c r="F22" s="1">
        <v>750</v>
      </c>
    </row>
    <row r="23" spans="1:6" x14ac:dyDescent="0.2">
      <c r="C23" s="1" t="s">
        <v>929</v>
      </c>
    </row>
    <row r="24" spans="1:6" x14ac:dyDescent="0.2">
      <c r="C24" s="1" t="s">
        <v>928</v>
      </c>
    </row>
    <row r="26" spans="1:6" x14ac:dyDescent="0.2">
      <c r="A26" s="8" t="s">
        <v>927</v>
      </c>
      <c r="C26" s="21" t="s">
        <v>926</v>
      </c>
      <c r="F26" s="1">
        <v>1050</v>
      </c>
    </row>
    <row r="27" spans="1:6" x14ac:dyDescent="0.2">
      <c r="C27" s="21"/>
    </row>
    <row r="28" spans="1:6" x14ac:dyDescent="0.2">
      <c r="C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1800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10" t="s">
        <v>925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2-000000000000}">
  <sheetPr codeName="Sheet15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42578125" style="1" customWidth="1"/>
    <col min="2" max="2" width="15.7109375" style="1" customWidth="1"/>
    <col min="3" max="3" width="21" style="1" customWidth="1"/>
    <col min="4" max="4" width="16.42578125" style="1" customWidth="1"/>
    <col min="5" max="5" width="15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89"/>
    </row>
    <row r="2" spans="1:6" x14ac:dyDescent="0.2">
      <c r="A2" s="525" t="s">
        <v>33</v>
      </c>
      <c r="B2" s="525"/>
      <c r="C2" s="525"/>
      <c r="D2" s="525"/>
      <c r="E2" s="525"/>
      <c r="F2" s="66"/>
    </row>
    <row r="3" spans="1:6" x14ac:dyDescent="0.2">
      <c r="A3" s="525" t="s">
        <v>1829</v>
      </c>
      <c r="B3" s="525"/>
      <c r="C3" s="525"/>
      <c r="D3" s="525"/>
      <c r="E3" s="525"/>
      <c r="F3" s="66"/>
    </row>
    <row r="4" spans="1:6" x14ac:dyDescent="0.2">
      <c r="A4" s="525" t="s">
        <v>1828</v>
      </c>
      <c r="B4" s="525"/>
      <c r="C4" s="525"/>
      <c r="D4" s="525"/>
      <c r="E4" s="525"/>
      <c r="F4" s="66"/>
    </row>
    <row r="8" spans="1:6" x14ac:dyDescent="0.2">
      <c r="A8" s="1" t="s">
        <v>32</v>
      </c>
      <c r="D8" s="22" t="s">
        <v>31</v>
      </c>
    </row>
    <row r="9" spans="1:6" x14ac:dyDescent="0.2">
      <c r="D9" s="81" t="s">
        <v>1221</v>
      </c>
      <c r="E9" s="80" t="s">
        <v>1286</v>
      </c>
    </row>
    <row r="10" spans="1:6" x14ac:dyDescent="0.2">
      <c r="A10" s="80" t="s">
        <v>1282</v>
      </c>
      <c r="D10" s="81" t="s">
        <v>1222</v>
      </c>
      <c r="E10" s="90" t="s">
        <v>1288</v>
      </c>
    </row>
    <row r="11" spans="1:6" x14ac:dyDescent="0.2">
      <c r="A11" s="80" t="s">
        <v>1283</v>
      </c>
      <c r="D11" s="81" t="s">
        <v>1223</v>
      </c>
      <c r="E11" s="81" t="s">
        <v>1220</v>
      </c>
    </row>
    <row r="12" spans="1:6" x14ac:dyDescent="0.2">
      <c r="A12" s="80" t="s">
        <v>1284</v>
      </c>
      <c r="D12" s="81" t="s">
        <v>1224</v>
      </c>
      <c r="E12" s="81" t="s">
        <v>1287</v>
      </c>
    </row>
    <row r="13" spans="1:6" x14ac:dyDescent="0.2">
      <c r="A13" s="80" t="s">
        <v>1285</v>
      </c>
    </row>
    <row r="16" spans="1:6" s="67" customFormat="1" ht="20.100000000000001" customHeight="1" x14ac:dyDescent="0.2">
      <c r="A16" s="17" t="s">
        <v>1261</v>
      </c>
      <c r="B16" s="31" t="s">
        <v>1262</v>
      </c>
      <c r="C16" s="71" t="s">
        <v>19</v>
      </c>
      <c r="D16" s="70"/>
      <c r="E16" s="68" t="s">
        <v>18</v>
      </c>
    </row>
    <row r="17" spans="1:5" x14ac:dyDescent="0.2">
      <c r="A17" s="28"/>
    </row>
    <row r="18" spans="1:5" x14ac:dyDescent="0.2">
      <c r="A18" s="28"/>
    </row>
    <row r="19" spans="1:5" x14ac:dyDescent="0.2">
      <c r="C19" s="13" t="s">
        <v>1289</v>
      </c>
    </row>
    <row r="20" spans="1:5" x14ac:dyDescent="0.2">
      <c r="A20" s="28"/>
      <c r="C20" s="13"/>
    </row>
    <row r="21" spans="1:5" x14ac:dyDescent="0.2">
      <c r="A21" s="85" t="s">
        <v>1290</v>
      </c>
      <c r="B21" s="86" t="s">
        <v>1291</v>
      </c>
      <c r="C21" s="80" t="s">
        <v>1292</v>
      </c>
      <c r="E21" s="1">
        <v>1200</v>
      </c>
    </row>
    <row r="22" spans="1:5" x14ac:dyDescent="0.2">
      <c r="A22" s="28"/>
      <c r="C22" s="80" t="s">
        <v>1293</v>
      </c>
    </row>
    <row r="23" spans="1:5" x14ac:dyDescent="0.2">
      <c r="A23" s="28"/>
      <c r="B23" s="80"/>
      <c r="C23" s="80" t="s">
        <v>1294</v>
      </c>
    </row>
    <row r="24" spans="1:5" x14ac:dyDescent="0.2">
      <c r="A24" s="28"/>
      <c r="B24" s="80"/>
      <c r="C24" s="80" t="s">
        <v>1295</v>
      </c>
    </row>
    <row r="25" spans="1:5" x14ac:dyDescent="0.2">
      <c r="A25" s="28"/>
    </row>
    <row r="26" spans="1:5" x14ac:dyDescent="0.2">
      <c r="A26" s="28"/>
    </row>
    <row r="27" spans="1:5" x14ac:dyDescent="0.2">
      <c r="A27" s="88"/>
      <c r="C27" s="21"/>
    </row>
    <row r="28" spans="1:5" x14ac:dyDescent="0.2">
      <c r="A28" s="28"/>
      <c r="C28" s="21"/>
      <c r="E28" s="13"/>
    </row>
    <row r="29" spans="1:5" x14ac:dyDescent="0.2">
      <c r="A29" s="28"/>
      <c r="B29" s="8"/>
    </row>
    <row r="30" spans="1:5" x14ac:dyDescent="0.2">
      <c r="A30" s="28"/>
      <c r="B30" s="8"/>
    </row>
    <row r="31" spans="1:5" x14ac:dyDescent="0.2">
      <c r="A31" s="28"/>
      <c r="B31" s="8"/>
    </row>
    <row r="32" spans="1:5" x14ac:dyDescent="0.2">
      <c r="A32" s="28"/>
    </row>
    <row r="33" spans="1:6" ht="13.5" thickBot="1" x14ac:dyDescent="0.25">
      <c r="E33" s="25">
        <f>SUM(E20:E32)</f>
        <v>1200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84" t="s">
        <v>336</v>
      </c>
      <c r="B35" s="84" t="s">
        <v>1296</v>
      </c>
      <c r="C35" s="9"/>
      <c r="D35" s="9"/>
      <c r="E35" s="9"/>
      <c r="F35" s="3"/>
    </row>
    <row r="36" spans="1:6" ht="25.5" x14ac:dyDescent="0.2">
      <c r="A36" s="8"/>
      <c r="B36" s="80" t="s">
        <v>658</v>
      </c>
      <c r="D36" s="218" t="s">
        <v>3975</v>
      </c>
      <c r="E36" s="219"/>
      <c r="F36" s="220"/>
    </row>
    <row r="37" spans="1:6" x14ac:dyDescent="0.2">
      <c r="A37" s="6" t="s">
        <v>10</v>
      </c>
    </row>
    <row r="38" spans="1:6" x14ac:dyDescent="0.2">
      <c r="A38" s="6"/>
    </row>
    <row r="39" spans="1:6" x14ac:dyDescent="0.2">
      <c r="A39" s="6"/>
      <c r="D39" s="227"/>
      <c r="E39" s="227"/>
      <c r="F39" s="227"/>
    </row>
    <row r="40" spans="1:6" x14ac:dyDescent="0.2">
      <c r="A40" s="6"/>
      <c r="C40" s="7"/>
      <c r="D40" s="228"/>
      <c r="E40" s="229"/>
      <c r="F40" s="229"/>
    </row>
    <row r="41" spans="1:6" x14ac:dyDescent="0.2">
      <c r="B41" s="23"/>
    </row>
    <row r="42" spans="1:6" x14ac:dyDescent="0.2">
      <c r="A42" s="74"/>
    </row>
    <row r="43" spans="1:6" x14ac:dyDescent="0.2">
      <c r="A43" s="6" t="s">
        <v>8</v>
      </c>
      <c r="D43" s="6" t="s">
        <v>7</v>
      </c>
      <c r="F43" s="5"/>
    </row>
    <row r="44" spans="1:6" x14ac:dyDescent="0.2">
      <c r="A44" s="6"/>
    </row>
    <row r="45" spans="1:6" x14ac:dyDescent="0.2">
      <c r="A45" s="6"/>
    </row>
    <row r="46" spans="1:6" x14ac:dyDescent="0.2">
      <c r="A46" s="6"/>
    </row>
    <row r="47" spans="1:6" x14ac:dyDescent="0.2">
      <c r="A47" s="74" t="s">
        <v>3972</v>
      </c>
      <c r="B47" s="23"/>
      <c r="D47" s="23"/>
      <c r="E47" s="23"/>
    </row>
    <row r="48" spans="1:6" s="3" customFormat="1" ht="17.100000000000001" customHeight="1" x14ac:dyDescent="0.2">
      <c r="A48" s="72" t="s">
        <v>35</v>
      </c>
      <c r="B48" s="4"/>
      <c r="D48" s="3" t="s">
        <v>3</v>
      </c>
    </row>
    <row r="49" spans="1:4" x14ac:dyDescent="0.2">
      <c r="A49" s="6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2-000000000000}">
  <sheetPr codeName="Sheet481">
    <pageSetUpPr fitToPage="1"/>
  </sheetPr>
  <dimension ref="A1:F68"/>
  <sheetViews>
    <sheetView topLeftCell="A6" workbookViewId="0">
      <selection activeCell="F34" sqref="F34"/>
    </sheetView>
  </sheetViews>
  <sheetFormatPr defaultRowHeight="16.5" x14ac:dyDescent="0.3"/>
  <cols>
    <col min="1" max="1" width="27.42578125" style="37" customWidth="1"/>
    <col min="2" max="2" width="2.42578125" style="37" customWidth="1"/>
    <col min="3" max="3" width="21" style="37" customWidth="1"/>
    <col min="4" max="4" width="16.42578125" style="37" customWidth="1"/>
    <col min="5" max="5" width="10.140625" style="37" customWidth="1"/>
    <col min="6" max="6" width="13.28515625" style="37" customWidth="1"/>
    <col min="7" max="16384" width="9.140625" style="37"/>
  </cols>
  <sheetData>
    <row r="1" spans="1:6" x14ac:dyDescent="0.3">
      <c r="A1" s="521" t="s">
        <v>34</v>
      </c>
      <c r="B1" s="521"/>
      <c r="C1" s="521"/>
      <c r="D1" s="521"/>
      <c r="E1" s="521"/>
      <c r="F1" s="521"/>
    </row>
    <row r="2" spans="1:6" x14ac:dyDescent="0.3">
      <c r="A2" s="525" t="s">
        <v>33</v>
      </c>
      <c r="B2" s="525"/>
      <c r="C2" s="525"/>
      <c r="D2" s="525"/>
      <c r="E2" s="525"/>
      <c r="F2" s="525"/>
    </row>
    <row r="3" spans="1:6" x14ac:dyDescent="0.3">
      <c r="A3" s="525" t="s">
        <v>1829</v>
      </c>
      <c r="B3" s="525"/>
      <c r="C3" s="525"/>
      <c r="D3" s="525"/>
      <c r="E3" s="525"/>
      <c r="F3" s="525"/>
    </row>
    <row r="4" spans="1:6" x14ac:dyDescent="0.3">
      <c r="A4" s="525" t="s">
        <v>1828</v>
      </c>
      <c r="B4" s="525"/>
      <c r="C4" s="525"/>
      <c r="D4" s="525"/>
      <c r="E4" s="525"/>
      <c r="F4" s="525"/>
    </row>
    <row r="7" spans="1:6" x14ac:dyDescent="0.3">
      <c r="A7" s="21" t="s">
        <v>32</v>
      </c>
      <c r="B7" s="21"/>
      <c r="C7" s="21"/>
      <c r="D7" s="51" t="s">
        <v>31</v>
      </c>
      <c r="E7" s="21"/>
      <c r="F7" s="21"/>
    </row>
    <row r="8" spans="1:6" x14ac:dyDescent="0.3">
      <c r="A8" s="21"/>
      <c r="B8" s="21"/>
      <c r="C8" s="21"/>
      <c r="D8" s="19" t="s">
        <v>30</v>
      </c>
      <c r="E8" s="21" t="s">
        <v>240</v>
      </c>
      <c r="F8" s="21"/>
    </row>
    <row r="9" spans="1:6" x14ac:dyDescent="0.3">
      <c r="A9" s="21" t="s">
        <v>239</v>
      </c>
      <c r="B9" s="21"/>
      <c r="C9" s="21"/>
      <c r="D9" s="19" t="s">
        <v>27</v>
      </c>
      <c r="E9" s="19" t="s">
        <v>238</v>
      </c>
      <c r="F9" s="21"/>
    </row>
    <row r="10" spans="1:6" x14ac:dyDescent="0.3">
      <c r="A10" s="21" t="s">
        <v>237</v>
      </c>
      <c r="B10" s="21"/>
      <c r="C10" s="21"/>
      <c r="D10" s="19" t="s">
        <v>24</v>
      </c>
      <c r="E10" s="19" t="s">
        <v>23</v>
      </c>
      <c r="F10" s="21"/>
    </row>
    <row r="11" spans="1:6" x14ac:dyDescent="0.3">
      <c r="A11" s="21" t="s">
        <v>236</v>
      </c>
      <c r="B11" s="21"/>
      <c r="C11" s="21"/>
      <c r="D11" s="19" t="s">
        <v>22</v>
      </c>
      <c r="E11" s="19" t="s">
        <v>235</v>
      </c>
      <c r="F11" s="21"/>
    </row>
    <row r="12" spans="1:6" x14ac:dyDescent="0.3">
      <c r="A12" s="21" t="s">
        <v>234</v>
      </c>
      <c r="B12" s="21"/>
      <c r="C12" s="21"/>
      <c r="D12" s="21"/>
      <c r="E12" s="21"/>
      <c r="F12" s="21"/>
    </row>
    <row r="13" spans="1:6" x14ac:dyDescent="0.3">
      <c r="A13" s="21" t="s">
        <v>233</v>
      </c>
      <c r="B13" s="21"/>
      <c r="C13" s="21"/>
      <c r="D13" s="21"/>
      <c r="E13" s="21"/>
      <c r="F13" s="21"/>
    </row>
    <row r="16" spans="1:6" s="46" customFormat="1" ht="20.100000000000001" customHeight="1" x14ac:dyDescent="0.2">
      <c r="A16" s="49" t="s">
        <v>20</v>
      </c>
      <c r="B16" s="49"/>
      <c r="C16" s="50" t="s">
        <v>19</v>
      </c>
      <c r="D16" s="49"/>
      <c r="E16" s="48"/>
      <c r="F16" s="47" t="s">
        <v>18</v>
      </c>
    </row>
    <row r="18" spans="1:6" x14ac:dyDescent="0.3">
      <c r="A18" s="21"/>
      <c r="B18" s="21"/>
      <c r="C18" s="21"/>
      <c r="D18" s="21"/>
      <c r="E18" s="21"/>
      <c r="F18" s="21"/>
    </row>
    <row r="19" spans="1:6" x14ac:dyDescent="0.3">
      <c r="A19" s="21"/>
      <c r="B19" s="21"/>
      <c r="C19" s="21"/>
      <c r="D19" s="21"/>
      <c r="E19" s="21"/>
      <c r="F19" s="21"/>
    </row>
    <row r="20" spans="1:6" x14ac:dyDescent="0.3">
      <c r="A20" s="21" t="s">
        <v>232</v>
      </c>
      <c r="B20" s="21"/>
      <c r="C20" s="21" t="s">
        <v>231</v>
      </c>
      <c r="D20" s="21"/>
      <c r="E20" s="21"/>
      <c r="F20" s="21">
        <v>2250</v>
      </c>
    </row>
    <row r="21" spans="1:6" x14ac:dyDescent="0.3">
      <c r="A21" s="21"/>
      <c r="B21" s="21"/>
      <c r="C21" s="21" t="s">
        <v>230</v>
      </c>
      <c r="D21" s="21"/>
      <c r="E21" s="21"/>
      <c r="F21" s="21"/>
    </row>
    <row r="22" spans="1:6" x14ac:dyDescent="0.3">
      <c r="A22" s="21"/>
      <c r="B22" s="21"/>
      <c r="C22" s="12" t="s">
        <v>229</v>
      </c>
      <c r="D22" s="21"/>
      <c r="E22" s="21"/>
      <c r="F22" s="21">
        <v>112.5</v>
      </c>
    </row>
    <row r="23" spans="1:6" x14ac:dyDescent="0.3">
      <c r="A23" s="21"/>
      <c r="B23" s="21"/>
      <c r="C23" s="21"/>
      <c r="D23" s="21"/>
      <c r="E23" s="21"/>
      <c r="F23" s="21"/>
    </row>
    <row r="24" spans="1:6" x14ac:dyDescent="0.3">
      <c r="A24" s="21"/>
      <c r="B24" s="21"/>
      <c r="C24" s="21"/>
      <c r="D24" s="21"/>
      <c r="E24" s="21"/>
      <c r="F24" s="21"/>
    </row>
    <row r="25" spans="1:6" x14ac:dyDescent="0.3">
      <c r="A25" s="21"/>
      <c r="B25" s="21"/>
      <c r="C25" s="21"/>
      <c r="D25" s="21"/>
      <c r="E25" s="21"/>
      <c r="F25" s="21"/>
    </row>
    <row r="26" spans="1:6" x14ac:dyDescent="0.3">
      <c r="A26" s="21"/>
      <c r="B26" s="21"/>
      <c r="C26" s="21"/>
      <c r="D26" s="21"/>
      <c r="E26" s="21"/>
      <c r="F26" s="21"/>
    </row>
    <row r="27" spans="1:6" x14ac:dyDescent="0.3">
      <c r="A27" s="21"/>
      <c r="B27" s="21"/>
      <c r="C27" s="21"/>
      <c r="D27" s="21"/>
      <c r="E27" s="21"/>
      <c r="F27" s="21"/>
    </row>
    <row r="28" spans="1:6" x14ac:dyDescent="0.3">
      <c r="A28" s="21"/>
      <c r="B28" s="21"/>
      <c r="C28" s="21"/>
      <c r="D28" s="21"/>
      <c r="E28" s="21"/>
      <c r="F28" s="21"/>
    </row>
    <row r="29" spans="1:6" x14ac:dyDescent="0.3">
      <c r="A29" s="21"/>
      <c r="B29" s="21"/>
      <c r="C29" s="21"/>
      <c r="D29" s="21"/>
      <c r="E29" s="21"/>
      <c r="F29" s="21"/>
    </row>
    <row r="30" spans="1:6" ht="17.25" thickBot="1" x14ac:dyDescent="0.35">
      <c r="A30" s="21"/>
      <c r="B30" s="21"/>
      <c r="C30" s="21"/>
      <c r="D30" s="21"/>
      <c r="E30" s="21"/>
      <c r="F30" s="45">
        <f>SUM(F19:F29)</f>
        <v>2362.5</v>
      </c>
    </row>
    <row r="31" spans="1:6" ht="17.25" thickTop="1" x14ac:dyDescent="0.3">
      <c r="A31" s="21"/>
      <c r="B31" s="21"/>
      <c r="C31" s="21"/>
      <c r="D31" s="21"/>
      <c r="E31" s="21"/>
      <c r="F31" s="21"/>
    </row>
    <row r="32" spans="1:6" x14ac:dyDescent="0.3">
      <c r="A32" s="21"/>
      <c r="B32" s="21"/>
      <c r="C32" s="21"/>
      <c r="D32" s="21"/>
      <c r="E32" s="21"/>
      <c r="F32" s="21"/>
    </row>
    <row r="33" spans="1:6" ht="20.100000000000001" customHeight="1" x14ac:dyDescent="0.3">
      <c r="A33" s="44" t="s">
        <v>228</v>
      </c>
      <c r="B33" s="24"/>
      <c r="C33" s="43"/>
      <c r="D33" s="43"/>
      <c r="E33" s="43"/>
      <c r="F33" s="43"/>
    </row>
    <row r="34" spans="1:6" ht="17.25" thickBot="1" x14ac:dyDescent="0.35">
      <c r="A34" s="12"/>
      <c r="B34" s="21"/>
      <c r="C34" s="21"/>
      <c r="D34" s="21"/>
      <c r="E34" s="21"/>
      <c r="F34" s="45"/>
    </row>
    <row r="35" spans="1:6" ht="17.25" thickTop="1" x14ac:dyDescent="0.3">
      <c r="A35" s="21" t="s">
        <v>10</v>
      </c>
      <c r="B35" s="21"/>
      <c r="C35" s="21"/>
      <c r="D35" s="21"/>
      <c r="E35" s="21"/>
      <c r="F35" s="21"/>
    </row>
    <row r="36" spans="1:6" ht="25.5" x14ac:dyDescent="0.3">
      <c r="A36" s="21"/>
      <c r="B36" s="21"/>
      <c r="C36" s="21"/>
      <c r="D36" s="218" t="s">
        <v>3975</v>
      </c>
      <c r="E36" s="219"/>
      <c r="F36" s="220"/>
    </row>
    <row r="37" spans="1:6" x14ac:dyDescent="0.3">
      <c r="A37" s="21"/>
      <c r="B37" s="21"/>
      <c r="C37" s="21"/>
      <c r="D37" s="21"/>
      <c r="E37" s="21"/>
      <c r="F37" s="21"/>
    </row>
    <row r="38" spans="1:6" x14ac:dyDescent="0.3">
      <c r="A38" s="21"/>
      <c r="B38" s="21"/>
      <c r="C38" s="21"/>
      <c r="D38" s="21"/>
      <c r="E38" s="21"/>
      <c r="F38" s="21"/>
    </row>
    <row r="39" spans="1:6" x14ac:dyDescent="0.3">
      <c r="A39" s="21" t="s">
        <v>9</v>
      </c>
      <c r="B39" s="21"/>
      <c r="C39" s="42"/>
      <c r="D39" s="227"/>
      <c r="E39" s="227"/>
      <c r="F39" s="227"/>
    </row>
    <row r="40" spans="1:6" x14ac:dyDescent="0.3">
      <c r="A40" s="21"/>
      <c r="B40" s="21"/>
      <c r="C40" s="21"/>
      <c r="D40" s="228"/>
      <c r="E40" s="229"/>
      <c r="F40" s="229"/>
    </row>
    <row r="41" spans="1:6" x14ac:dyDescent="0.3">
      <c r="B41" s="21"/>
      <c r="C41" s="21"/>
      <c r="D41" s="21"/>
      <c r="E41" s="21"/>
      <c r="F41" s="21"/>
    </row>
    <row r="42" spans="1:6" x14ac:dyDescent="0.3">
      <c r="A42" s="21"/>
      <c r="B42" s="21"/>
      <c r="C42" s="21"/>
      <c r="D42" s="21"/>
      <c r="E42" s="21"/>
      <c r="F42" s="21"/>
    </row>
    <row r="43" spans="1:6" x14ac:dyDescent="0.3">
      <c r="A43" s="21"/>
      <c r="B43" s="21"/>
      <c r="C43" s="21"/>
      <c r="D43" s="21"/>
      <c r="E43" s="21"/>
      <c r="F43" s="21"/>
    </row>
    <row r="44" spans="1:6" x14ac:dyDescent="0.3">
      <c r="A44" s="21"/>
      <c r="B44" s="21"/>
      <c r="C44" s="21"/>
      <c r="D44" s="21"/>
      <c r="E44" s="21"/>
      <c r="F44" s="21"/>
    </row>
    <row r="45" spans="1:6" x14ac:dyDescent="0.3">
      <c r="A45" s="21" t="s">
        <v>6</v>
      </c>
      <c r="B45" s="21"/>
      <c r="C45" s="21"/>
      <c r="D45" s="21" t="s">
        <v>5</v>
      </c>
      <c r="E45" s="21"/>
      <c r="F45" s="21"/>
    </row>
    <row r="46" spans="1:6" s="38" customFormat="1" ht="17.100000000000001" customHeight="1" x14ac:dyDescent="0.2">
      <c r="A46" s="40" t="s">
        <v>35</v>
      </c>
      <c r="B46" s="40"/>
      <c r="C46" s="39"/>
      <c r="D46" s="39" t="s">
        <v>3</v>
      </c>
      <c r="E46" s="39"/>
      <c r="F46" s="39"/>
    </row>
    <row r="47" spans="1:6" x14ac:dyDescent="0.3">
      <c r="A47" s="21" t="s">
        <v>3972</v>
      </c>
      <c r="B47" s="21"/>
      <c r="C47" s="21"/>
      <c r="D47" s="21" t="s">
        <v>2</v>
      </c>
      <c r="E47" s="21"/>
      <c r="F47" s="21"/>
    </row>
    <row r="48" spans="1:6" x14ac:dyDescent="0.3">
      <c r="A48" s="21"/>
      <c r="B48" s="21"/>
      <c r="C48" s="21"/>
      <c r="D48" s="21"/>
      <c r="E48" s="21"/>
      <c r="F48" s="21"/>
    </row>
    <row r="49" spans="1:6" x14ac:dyDescent="0.3">
      <c r="A49" s="21" t="s">
        <v>4066</v>
      </c>
      <c r="B49" s="21"/>
      <c r="C49" s="21"/>
      <c r="D49" s="13" t="s">
        <v>1</v>
      </c>
      <c r="E49" s="21"/>
      <c r="F49" s="21"/>
    </row>
    <row r="50" spans="1:6" x14ac:dyDescent="0.3">
      <c r="A50" s="21"/>
      <c r="B50" s="21"/>
      <c r="C50" s="21"/>
      <c r="D50" s="13" t="s">
        <v>0</v>
      </c>
      <c r="E50" s="21"/>
      <c r="F50" s="21"/>
    </row>
    <row r="51" spans="1:6" x14ac:dyDescent="0.3">
      <c r="A51" s="21"/>
      <c r="B51" s="21"/>
      <c r="C51" s="21"/>
      <c r="D51" s="21"/>
      <c r="E51" s="21"/>
      <c r="F51" s="21"/>
    </row>
    <row r="52" spans="1:6" x14ac:dyDescent="0.3">
      <c r="A52" s="21"/>
      <c r="B52" s="21"/>
      <c r="C52" s="21"/>
      <c r="D52" s="21"/>
      <c r="E52" s="21"/>
      <c r="F52" s="21"/>
    </row>
    <row r="53" spans="1:6" x14ac:dyDescent="0.3">
      <c r="A53" s="21"/>
      <c r="B53" s="21"/>
      <c r="C53" s="21"/>
      <c r="D53" s="21"/>
      <c r="E53" s="21"/>
      <c r="F53" s="21"/>
    </row>
    <row r="54" spans="1:6" x14ac:dyDescent="0.3">
      <c r="A54" s="21"/>
      <c r="B54" s="21"/>
      <c r="C54" s="21"/>
      <c r="D54" s="21"/>
      <c r="E54" s="21"/>
      <c r="F54" s="21"/>
    </row>
    <row r="55" spans="1:6" x14ac:dyDescent="0.3">
      <c r="A55" s="21"/>
      <c r="B55" s="21"/>
      <c r="C55" s="21"/>
      <c r="D55" s="21"/>
      <c r="E55" s="21"/>
      <c r="F55" s="21"/>
    </row>
    <row r="56" spans="1:6" x14ac:dyDescent="0.3">
      <c r="A56" s="21"/>
      <c r="B56" s="21"/>
      <c r="C56" s="21"/>
      <c r="D56" s="21"/>
      <c r="E56" s="21"/>
      <c r="F56" s="21"/>
    </row>
    <row r="57" spans="1:6" x14ac:dyDescent="0.3">
      <c r="A57" s="21"/>
      <c r="B57" s="21"/>
      <c r="C57" s="21"/>
      <c r="D57" s="21"/>
      <c r="E57" s="21"/>
      <c r="F57" s="21"/>
    </row>
    <row r="58" spans="1:6" x14ac:dyDescent="0.3">
      <c r="A58" s="21"/>
      <c r="B58" s="21"/>
      <c r="C58" s="21"/>
      <c r="D58" s="21"/>
      <c r="E58" s="21"/>
      <c r="F58" s="21"/>
    </row>
    <row r="59" spans="1:6" x14ac:dyDescent="0.3">
      <c r="A59" s="21"/>
      <c r="B59" s="21"/>
      <c r="C59" s="21"/>
      <c r="D59" s="21"/>
      <c r="E59" s="21"/>
      <c r="F59" s="21"/>
    </row>
    <row r="60" spans="1:6" x14ac:dyDescent="0.3">
      <c r="A60" s="21"/>
      <c r="B60" s="21"/>
      <c r="C60" s="21"/>
      <c r="D60" s="21"/>
      <c r="E60" s="21"/>
      <c r="F60" s="21"/>
    </row>
    <row r="61" spans="1:6" x14ac:dyDescent="0.3">
      <c r="A61" s="21"/>
      <c r="B61" s="21"/>
      <c r="C61" s="21"/>
      <c r="D61" s="21"/>
      <c r="E61" s="21"/>
      <c r="F61" s="21"/>
    </row>
    <row r="62" spans="1:6" x14ac:dyDescent="0.3">
      <c r="A62" s="21"/>
      <c r="B62" s="21"/>
      <c r="C62" s="21"/>
      <c r="D62" s="21"/>
      <c r="E62" s="21"/>
      <c r="F62" s="21"/>
    </row>
    <row r="63" spans="1:6" x14ac:dyDescent="0.3">
      <c r="A63" s="21"/>
      <c r="B63" s="21"/>
      <c r="C63" s="21"/>
      <c r="D63" s="21"/>
      <c r="E63" s="21"/>
      <c r="F63" s="21"/>
    </row>
    <row r="64" spans="1:6" x14ac:dyDescent="0.3">
      <c r="A64" s="21"/>
      <c r="B64" s="21"/>
      <c r="C64" s="21"/>
      <c r="D64" s="21"/>
      <c r="E64" s="21"/>
      <c r="F64" s="21"/>
    </row>
    <row r="65" spans="1:6" x14ac:dyDescent="0.3">
      <c r="A65" s="21"/>
      <c r="B65" s="21"/>
      <c r="C65" s="21"/>
      <c r="D65" s="21"/>
      <c r="E65" s="21"/>
      <c r="F65" s="21"/>
    </row>
    <row r="66" spans="1:6" x14ac:dyDescent="0.3">
      <c r="A66" s="21"/>
      <c r="B66" s="21"/>
      <c r="C66" s="21"/>
      <c r="D66" s="21"/>
      <c r="E66" s="21"/>
      <c r="F66" s="21"/>
    </row>
    <row r="67" spans="1:6" x14ac:dyDescent="0.3">
      <c r="A67" s="21"/>
      <c r="B67" s="21"/>
      <c r="C67" s="21"/>
      <c r="D67" s="21"/>
      <c r="E67" s="21"/>
      <c r="F67" s="21"/>
    </row>
    <row r="68" spans="1:6" x14ac:dyDescent="0.3">
      <c r="A68" s="21"/>
      <c r="B68" s="21"/>
      <c r="C68" s="21"/>
      <c r="D68" s="21"/>
      <c r="E68" s="21"/>
      <c r="F68" s="21"/>
    </row>
  </sheetData>
  <customSheetViews>
    <customSheetView guid="{6428A7A0-B31B-40C1-A13E-AD0DCC619E51}" fitToPage="1" topLeftCell="A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7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77" orientation="portrait" r:id="rId2"/>
  <headerFooter alignWithMargins="0"/>
</worksheet>
</file>

<file path=xl/worksheets/sheet6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2-000000000000}">
  <sheetPr codeName="Sheet49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249</v>
      </c>
    </row>
    <row r="10" spans="1:6" x14ac:dyDescent="0.2">
      <c r="A10" s="1" t="s">
        <v>239</v>
      </c>
      <c r="D10" s="20" t="s">
        <v>27</v>
      </c>
      <c r="E10" s="20" t="s">
        <v>184</v>
      </c>
    </row>
    <row r="11" spans="1:6" x14ac:dyDescent="0.2">
      <c r="A11" s="1" t="s">
        <v>237</v>
      </c>
      <c r="D11" s="20" t="s">
        <v>24</v>
      </c>
      <c r="E11" s="20" t="s">
        <v>23</v>
      </c>
    </row>
    <row r="12" spans="1:6" x14ac:dyDescent="0.2">
      <c r="A12" s="1" t="s">
        <v>236</v>
      </c>
      <c r="D12" s="20" t="s">
        <v>22</v>
      </c>
      <c r="E12" s="20" t="s">
        <v>248</v>
      </c>
    </row>
    <row r="13" spans="1:6" x14ac:dyDescent="0.2">
      <c r="A13" s="1" t="s">
        <v>234</v>
      </c>
    </row>
    <row r="14" spans="1:6" x14ac:dyDescent="0.2">
      <c r="A14" s="1" t="s">
        <v>233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2" spans="1:6" x14ac:dyDescent="0.2">
      <c r="A22" s="1" t="s">
        <v>247</v>
      </c>
      <c r="C22" s="1" t="s">
        <v>246</v>
      </c>
      <c r="F22" s="1">
        <v>18000</v>
      </c>
    </row>
    <row r="23" spans="1:6" x14ac:dyDescent="0.2">
      <c r="C23" s="1" t="s">
        <v>245</v>
      </c>
    </row>
    <row r="25" spans="1:6" x14ac:dyDescent="0.2">
      <c r="C25" s="8" t="s">
        <v>229</v>
      </c>
      <c r="F25" s="1">
        <v>900</v>
      </c>
    </row>
    <row r="26" spans="1:6" x14ac:dyDescent="0.2">
      <c r="C26" s="8"/>
    </row>
    <row r="27" spans="1:6" x14ac:dyDescent="0.2">
      <c r="A27" s="21" t="s">
        <v>244</v>
      </c>
      <c r="C27" s="21" t="s">
        <v>243</v>
      </c>
      <c r="F27" s="1">
        <v>19000</v>
      </c>
    </row>
    <row r="28" spans="1:6" x14ac:dyDescent="0.2">
      <c r="C28" s="21" t="s">
        <v>242</v>
      </c>
    </row>
    <row r="29" spans="1:6" x14ac:dyDescent="0.2">
      <c r="C29" s="8" t="s">
        <v>229</v>
      </c>
      <c r="F29" s="1">
        <v>950</v>
      </c>
    </row>
    <row r="32" spans="1:6" ht="13.5" thickBot="1" x14ac:dyDescent="0.25">
      <c r="F32" s="11">
        <f>SUM(F19:F31)</f>
        <v>38850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241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2-000000000000}">
  <sheetPr codeName="Sheet4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750</v>
      </c>
    </row>
    <row r="10" spans="1:6" x14ac:dyDescent="0.2">
      <c r="A10" s="1" t="s">
        <v>749</v>
      </c>
      <c r="D10" s="20" t="s">
        <v>27</v>
      </c>
      <c r="E10" s="20" t="s">
        <v>714</v>
      </c>
    </row>
    <row r="11" spans="1:6" x14ac:dyDescent="0.2">
      <c r="A11" s="1" t="s">
        <v>748</v>
      </c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747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417</v>
      </c>
    </row>
    <row r="21" spans="2:6" x14ac:dyDescent="0.2">
      <c r="C21" s="13" t="s">
        <v>597</v>
      </c>
    </row>
    <row r="24" spans="2:6" x14ac:dyDescent="0.2">
      <c r="C24" s="21" t="s">
        <v>694</v>
      </c>
    </row>
    <row r="26" spans="2:6" x14ac:dyDescent="0.2">
      <c r="B26" s="8" t="s">
        <v>14</v>
      </c>
      <c r="C26" s="1" t="s">
        <v>746</v>
      </c>
      <c r="F26" s="1">
        <v>80</v>
      </c>
    </row>
    <row r="27" spans="2:6" x14ac:dyDescent="0.2">
      <c r="B27" s="8" t="s">
        <v>111</v>
      </c>
      <c r="C27" s="1" t="s">
        <v>745</v>
      </c>
      <c r="F27" s="1">
        <v>89.96</v>
      </c>
    </row>
    <row r="28" spans="2:6" x14ac:dyDescent="0.2">
      <c r="B28" s="8" t="s">
        <v>109</v>
      </c>
      <c r="C28" s="1" t="s">
        <v>744</v>
      </c>
      <c r="F28" s="1">
        <v>78.55</v>
      </c>
    </row>
    <row r="32" spans="2:6" ht="13.5" thickBot="1" x14ac:dyDescent="0.25">
      <c r="F32" s="11">
        <f>SUM(F18:F31)</f>
        <v>248.51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743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09"/>
  <dimension ref="A1:F50"/>
  <sheetViews>
    <sheetView topLeftCell="A13" workbookViewId="0">
      <selection activeCell="F34" sqref="F34"/>
    </sheetView>
  </sheetViews>
  <sheetFormatPr defaultRowHeight="12.75" x14ac:dyDescent="0.2"/>
  <cols>
    <col min="1" max="1" width="16.28515625" style="153" customWidth="1"/>
    <col min="2" max="2" width="15.28515625" style="153" customWidth="1"/>
    <col min="3" max="3" width="20.28515625" style="153" customWidth="1"/>
    <col min="4" max="4" width="16.42578125" style="153" customWidth="1"/>
    <col min="5" max="5" width="10.140625" style="153" customWidth="1"/>
    <col min="6" max="6" width="11.8554687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2224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1517</v>
      </c>
      <c r="E9" s="153" t="s">
        <v>3310</v>
      </c>
    </row>
    <row r="10" spans="1:6" x14ac:dyDescent="0.2">
      <c r="A10" s="153" t="s">
        <v>2382</v>
      </c>
      <c r="D10" s="155" t="s">
        <v>1357</v>
      </c>
      <c r="E10" s="155" t="s">
        <v>3311</v>
      </c>
    </row>
    <row r="11" spans="1:6" x14ac:dyDescent="0.2">
      <c r="A11" s="153" t="s">
        <v>2383</v>
      </c>
      <c r="D11" s="155" t="s">
        <v>1330</v>
      </c>
      <c r="E11" s="155" t="s">
        <v>1220</v>
      </c>
    </row>
    <row r="12" spans="1:6" x14ac:dyDescent="0.2">
      <c r="A12" s="153" t="s">
        <v>2384</v>
      </c>
      <c r="D12" s="155" t="s">
        <v>1377</v>
      </c>
      <c r="E12" s="155" t="s">
        <v>770</v>
      </c>
    </row>
    <row r="13" spans="1:6" x14ac:dyDescent="0.2">
      <c r="A13" s="153" t="s">
        <v>2385</v>
      </c>
    </row>
    <row r="16" spans="1:6" s="162" customFormat="1" ht="20.100000000000001" customHeight="1" x14ac:dyDescent="0.2">
      <c r="A16" s="157" t="s">
        <v>20</v>
      </c>
      <c r="B16" s="157"/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2386</v>
      </c>
    </row>
    <row r="19" spans="1:6" x14ac:dyDescent="0.2">
      <c r="C19" s="163"/>
      <c r="F19" s="110"/>
    </row>
    <row r="20" spans="1:6" x14ac:dyDescent="0.2">
      <c r="A20" s="187" t="s">
        <v>3142</v>
      </c>
      <c r="B20" s="173" t="s">
        <v>3312</v>
      </c>
      <c r="C20" s="153" t="s">
        <v>3315</v>
      </c>
      <c r="F20" s="110">
        <f>20000*3.306</f>
        <v>66120</v>
      </c>
    </row>
    <row r="21" spans="1:6" x14ac:dyDescent="0.2">
      <c r="A21" s="180"/>
      <c r="B21" s="173"/>
      <c r="F21" s="110"/>
    </row>
    <row r="22" spans="1:6" x14ac:dyDescent="0.2">
      <c r="B22" s="181"/>
      <c r="C22" s="153" t="s">
        <v>52</v>
      </c>
      <c r="F22" s="110">
        <v>30</v>
      </c>
    </row>
    <row r="23" spans="1:6" x14ac:dyDescent="0.2">
      <c r="A23" s="180"/>
      <c r="B23" s="169"/>
      <c r="F23" s="110"/>
    </row>
    <row r="24" spans="1:6" x14ac:dyDescent="0.2">
      <c r="A24" s="180"/>
      <c r="C24" s="153" t="s">
        <v>3313</v>
      </c>
    </row>
    <row r="25" spans="1:6" x14ac:dyDescent="0.2">
      <c r="A25" s="179"/>
    </row>
    <row r="27" spans="1:6" x14ac:dyDescent="0.2">
      <c r="A27" s="180"/>
      <c r="F27" s="110"/>
    </row>
    <row r="30" spans="1:6" ht="13.5" thickBot="1" x14ac:dyDescent="0.25">
      <c r="F30" s="182">
        <f>SUM(F18:F29)</f>
        <v>66150</v>
      </c>
    </row>
    <row r="31" spans="1:6" ht="13.5" thickTop="1" x14ac:dyDescent="0.2"/>
    <row r="33" spans="1:6" ht="20.100000000000001" customHeight="1" x14ac:dyDescent="0.2">
      <c r="A33" s="171" t="s">
        <v>122</v>
      </c>
      <c r="B33" s="171" t="s">
        <v>3314</v>
      </c>
      <c r="C33" s="172"/>
      <c r="D33" s="172"/>
      <c r="E33" s="172"/>
      <c r="F33" s="172"/>
    </row>
    <row r="34" spans="1:6" ht="13.5" thickBot="1" x14ac:dyDescent="0.25">
      <c r="A34" s="169" t="s">
        <v>11</v>
      </c>
      <c r="F34" s="170"/>
    </row>
    <row r="35" spans="1:6" ht="13.5" thickTop="1" x14ac:dyDescent="0.2">
      <c r="A35" s="153" t="s">
        <v>10</v>
      </c>
    </row>
    <row r="36" spans="1:6" ht="25.5" x14ac:dyDescent="0.2">
      <c r="D36" s="218" t="s">
        <v>3975</v>
      </c>
      <c r="E36" s="219"/>
      <c r="F36" s="220"/>
    </row>
    <row r="39" spans="1:6" x14ac:dyDescent="0.2">
      <c r="A39" s="153" t="s">
        <v>121</v>
      </c>
      <c r="C39" s="173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5" spans="1:6" x14ac:dyDescent="0.2">
      <c r="A45" s="174" t="s">
        <v>120</v>
      </c>
      <c r="B45" s="174"/>
      <c r="D45" s="174"/>
      <c r="E45" s="174"/>
      <c r="F45" s="174"/>
    </row>
    <row r="46" spans="1:6" s="178" customFormat="1" ht="17.100000000000001" customHeight="1" x14ac:dyDescent="0.2">
      <c r="A46" s="177" t="s">
        <v>35</v>
      </c>
      <c r="B46" s="177"/>
      <c r="C46" s="156"/>
      <c r="D46" s="156" t="s">
        <v>3</v>
      </c>
      <c r="E46" s="156"/>
      <c r="F46" s="156"/>
    </row>
    <row r="47" spans="1:6" x14ac:dyDescent="0.2">
      <c r="A47" s="153" t="s">
        <v>3972</v>
      </c>
      <c r="D47" s="153" t="s">
        <v>2</v>
      </c>
    </row>
    <row r="49" spans="1:4" x14ac:dyDescent="0.2">
      <c r="A49" s="153" t="s">
        <v>4066</v>
      </c>
      <c r="D49" s="163" t="s">
        <v>1</v>
      </c>
    </row>
    <row r="50" spans="1:4" x14ac:dyDescent="0.2">
      <c r="D50" s="163" t="s">
        <v>0</v>
      </c>
    </row>
  </sheetData>
  <customSheetViews>
    <customSheetView guid="{6428A7A0-B31B-40C1-A13E-AD0DCC619E51}" topLeftCell="A13">
      <selection activeCell="E9" sqref="E9"/>
      <pageMargins left="0.74803149606299213" right="0.74803149606299213" top="0.98425196850393704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2"/>
  <headerFooter alignWithMargins="0"/>
</worksheet>
</file>

<file path=xl/worksheets/sheet6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2-000000000000}">
  <sheetPr codeName="Sheet50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262</v>
      </c>
    </row>
    <row r="10" spans="1:6" x14ac:dyDescent="0.2">
      <c r="A10" s="1" t="s">
        <v>261</v>
      </c>
      <c r="D10" s="20" t="s">
        <v>27</v>
      </c>
      <c r="E10" s="20" t="s">
        <v>260</v>
      </c>
    </row>
    <row r="11" spans="1:6" x14ac:dyDescent="0.2">
      <c r="A11" s="1" t="s">
        <v>259</v>
      </c>
      <c r="D11" s="20" t="s">
        <v>24</v>
      </c>
      <c r="E11" s="20" t="s">
        <v>23</v>
      </c>
    </row>
    <row r="12" spans="1:6" x14ac:dyDescent="0.2">
      <c r="A12" s="1" t="s">
        <v>258</v>
      </c>
      <c r="D12" s="20" t="s">
        <v>22</v>
      </c>
      <c r="E12" s="20" t="s">
        <v>257</v>
      </c>
    </row>
    <row r="13" spans="1:6" x14ac:dyDescent="0.2">
      <c r="A13" s="1" t="s">
        <v>256</v>
      </c>
    </row>
    <row r="14" spans="1:6" x14ac:dyDescent="0.2">
      <c r="A14" s="1" t="s">
        <v>255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21" spans="1:6" x14ac:dyDescent="0.2">
      <c r="A21" s="21"/>
      <c r="C21" s="13" t="s">
        <v>254</v>
      </c>
    </row>
    <row r="22" spans="1:6" x14ac:dyDescent="0.2">
      <c r="C22" s="13" t="s">
        <v>253</v>
      </c>
    </row>
    <row r="23" spans="1:6" x14ac:dyDescent="0.2">
      <c r="C23" s="8"/>
    </row>
    <row r="24" spans="1:6" x14ac:dyDescent="0.2">
      <c r="A24" s="1" t="s">
        <v>252</v>
      </c>
      <c r="C24" s="1" t="s">
        <v>251</v>
      </c>
      <c r="F24" s="1">
        <v>7184.5</v>
      </c>
    </row>
    <row r="25" spans="1:6" x14ac:dyDescent="0.2">
      <c r="A25" s="21"/>
      <c r="C25" s="21"/>
    </row>
    <row r="26" spans="1:6" x14ac:dyDescent="0.2">
      <c r="C26" s="21"/>
    </row>
    <row r="27" spans="1:6" x14ac:dyDescent="0.2">
      <c r="C27" s="8"/>
    </row>
    <row r="31" spans="1:6" ht="13.5" thickBot="1" x14ac:dyDescent="0.25">
      <c r="F31" s="11">
        <f>SUM(F20:F30)</f>
        <v>7184.5</v>
      </c>
    </row>
    <row r="32" spans="1:6" ht="13.5" thickTop="1" x14ac:dyDescent="0.2"/>
    <row r="34" spans="1:6" ht="20.100000000000001" customHeight="1" thickBot="1" x14ac:dyDescent="0.25">
      <c r="A34" s="24" t="s">
        <v>250</v>
      </c>
      <c r="B34" s="10"/>
      <c r="C34" s="9"/>
      <c r="D34" s="9"/>
      <c r="E34" s="9"/>
      <c r="F34" s="202"/>
    </row>
    <row r="35" spans="1:6" ht="13.5" thickTop="1" x14ac:dyDescent="0.2">
      <c r="A35" s="8"/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2-000000000000}">
  <sheetPr codeName="Sheet60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375</v>
      </c>
    </row>
    <row r="10" spans="1:6" x14ac:dyDescent="0.2">
      <c r="A10" s="1" t="s">
        <v>374</v>
      </c>
      <c r="D10" s="20" t="s">
        <v>27</v>
      </c>
      <c r="E10" s="20" t="s">
        <v>344</v>
      </c>
    </row>
    <row r="11" spans="1:6" x14ac:dyDescent="0.2">
      <c r="A11" s="1" t="s">
        <v>373</v>
      </c>
      <c r="D11" s="20" t="s">
        <v>24</v>
      </c>
      <c r="E11" s="20" t="s">
        <v>23</v>
      </c>
    </row>
    <row r="12" spans="1:6" x14ac:dyDescent="0.2">
      <c r="A12" s="1" t="s">
        <v>372</v>
      </c>
      <c r="D12" s="20" t="s">
        <v>22</v>
      </c>
      <c r="E12" s="19" t="s">
        <v>371</v>
      </c>
    </row>
    <row r="13" spans="1:6" x14ac:dyDescent="0.2">
      <c r="A13" s="1" t="s">
        <v>370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1:6" x14ac:dyDescent="0.2">
      <c r="C20" s="21"/>
    </row>
    <row r="21" spans="1:6" x14ac:dyDescent="0.2">
      <c r="A21" s="1" t="s">
        <v>369</v>
      </c>
      <c r="C21" s="21" t="s">
        <v>368</v>
      </c>
      <c r="F21" s="1">
        <v>60</v>
      </c>
    </row>
    <row r="22" spans="1:6" x14ac:dyDescent="0.2">
      <c r="C22" s="21"/>
    </row>
    <row r="24" spans="1:6" x14ac:dyDescent="0.2">
      <c r="C24" s="21"/>
    </row>
    <row r="25" spans="1:6" x14ac:dyDescent="0.2">
      <c r="B25" s="8"/>
      <c r="C25" s="21"/>
    </row>
    <row r="26" spans="1:6" x14ac:dyDescent="0.2">
      <c r="B26" s="8"/>
    </row>
    <row r="27" spans="1:6" x14ac:dyDescent="0.2">
      <c r="B27" s="8"/>
    </row>
    <row r="31" spans="1:6" ht="13.5" thickBot="1" x14ac:dyDescent="0.25">
      <c r="F31" s="11">
        <f>SUM(F18:F30)</f>
        <v>60</v>
      </c>
    </row>
    <row r="32" spans="1:6" ht="13.5" thickTop="1" x14ac:dyDescent="0.2"/>
    <row r="34" spans="1:6" ht="20.100000000000001" customHeight="1" thickBot="1" x14ac:dyDescent="0.25">
      <c r="A34" s="10" t="s">
        <v>367</v>
      </c>
      <c r="B34" s="10"/>
      <c r="C34" s="9"/>
      <c r="D34" s="9"/>
      <c r="E34" s="9"/>
      <c r="F34" s="202"/>
    </row>
    <row r="35" spans="1:6" ht="13.5" thickTop="1" x14ac:dyDescent="0.2">
      <c r="A35" s="8"/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6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2-000000000000}">
  <sheetPr codeName="Sheet3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611</v>
      </c>
    </row>
    <row r="10" spans="1:6" x14ac:dyDescent="0.2">
      <c r="A10" s="1" t="s">
        <v>610</v>
      </c>
      <c r="D10" s="20" t="s">
        <v>27</v>
      </c>
      <c r="E10" s="20" t="s">
        <v>609</v>
      </c>
    </row>
    <row r="11" spans="1:6" x14ac:dyDescent="0.2">
      <c r="A11" s="1" t="s">
        <v>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608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21"/>
    </row>
    <row r="20" spans="2:6" x14ac:dyDescent="0.2">
      <c r="C20" s="13" t="s">
        <v>607</v>
      </c>
    </row>
    <row r="21" spans="2:6" x14ac:dyDescent="0.2">
      <c r="C21" s="13" t="s">
        <v>606</v>
      </c>
    </row>
    <row r="22" spans="2:6" x14ac:dyDescent="0.2">
      <c r="C22" s="21"/>
    </row>
    <row r="24" spans="2:6" x14ac:dyDescent="0.2">
      <c r="C24" s="1" t="s">
        <v>15</v>
      </c>
    </row>
    <row r="26" spans="2:6" x14ac:dyDescent="0.2">
      <c r="B26" s="8" t="s">
        <v>43</v>
      </c>
      <c r="C26" s="21" t="s">
        <v>605</v>
      </c>
      <c r="F26" s="1">
        <v>1785</v>
      </c>
    </row>
    <row r="27" spans="2:6" x14ac:dyDescent="0.2">
      <c r="B27" s="8"/>
      <c r="C27" s="8"/>
    </row>
    <row r="28" spans="2:6" x14ac:dyDescent="0.2">
      <c r="B28" s="8"/>
    </row>
    <row r="29" spans="2:6" x14ac:dyDescent="0.2">
      <c r="B29" s="8"/>
    </row>
    <row r="32" spans="2:6" ht="13.5" thickBot="1" x14ac:dyDescent="0.25">
      <c r="F32" s="11">
        <f>SUM(F18:F31)</f>
        <v>1785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604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2-000000000000}">
  <sheetPr codeName="Sheet37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616</v>
      </c>
    </row>
    <row r="10" spans="1:6" x14ac:dyDescent="0.2">
      <c r="A10" s="1" t="s">
        <v>610</v>
      </c>
      <c r="D10" s="20" t="s">
        <v>27</v>
      </c>
      <c r="E10" s="20" t="s">
        <v>59</v>
      </c>
    </row>
    <row r="11" spans="1:6" x14ac:dyDescent="0.2">
      <c r="A11" s="1" t="s">
        <v>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615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 t="s">
        <v>113</v>
      </c>
    </row>
    <row r="21" spans="1:6" x14ac:dyDescent="0.2">
      <c r="B21" s="8" t="s">
        <v>43</v>
      </c>
      <c r="C21" s="1" t="s">
        <v>614</v>
      </c>
      <c r="F21" s="1">
        <v>517.4</v>
      </c>
    </row>
    <row r="22" spans="1:6" x14ac:dyDescent="0.2">
      <c r="B22" s="8"/>
      <c r="C22" s="8" t="s">
        <v>613</v>
      </c>
    </row>
    <row r="23" spans="1:6" x14ac:dyDescent="0.2">
      <c r="B23" s="8"/>
    </row>
    <row r="24" spans="1:6" x14ac:dyDescent="0.2">
      <c r="B24" s="8"/>
    </row>
    <row r="25" spans="1:6" x14ac:dyDescent="0.2">
      <c r="B25" s="8"/>
    </row>
    <row r="26" spans="1:6" x14ac:dyDescent="0.2">
      <c r="B26" s="8"/>
    </row>
    <row r="29" spans="1:6" ht="13.5" thickBot="1" x14ac:dyDescent="0.25">
      <c r="F29" s="11">
        <f>SUM(F19:F28)</f>
        <v>517.4</v>
      </c>
    </row>
    <row r="30" spans="1:6" ht="13.5" thickTop="1" x14ac:dyDescent="0.2"/>
    <row r="32" spans="1:6" ht="20.100000000000001" customHeight="1" x14ac:dyDescent="0.2">
      <c r="A32" s="10" t="s">
        <v>612</v>
      </c>
      <c r="B32" s="10"/>
      <c r="C32" s="9"/>
      <c r="D32" s="9"/>
      <c r="E32" s="9"/>
      <c r="F32" s="9"/>
    </row>
    <row r="33" spans="1:6" x14ac:dyDescent="0.2">
      <c r="A33" s="8" t="s">
        <v>11</v>
      </c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2" t="s">
        <v>1</v>
      </c>
    </row>
    <row r="49" spans="1:4" x14ac:dyDescent="0.2">
      <c r="A49" s="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2-000000000000}">
  <sheetPr codeName="Sheet3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.28515625" style="91" customWidth="1"/>
    <col min="2" max="2" width="13.710937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7" width="5.710937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1426</v>
      </c>
    </row>
    <row r="10" spans="1:6" x14ac:dyDescent="0.2">
      <c r="A10" s="91" t="s">
        <v>742</v>
      </c>
      <c r="D10" s="92" t="s">
        <v>1356</v>
      </c>
      <c r="E10" s="92" t="s">
        <v>1420</v>
      </c>
    </row>
    <row r="11" spans="1:6" x14ac:dyDescent="0.2">
      <c r="A11" s="91" t="s">
        <v>741</v>
      </c>
      <c r="D11" s="92" t="s">
        <v>1364</v>
      </c>
      <c r="E11" s="92" t="s">
        <v>1220</v>
      </c>
    </row>
    <row r="12" spans="1:6" x14ac:dyDescent="0.2">
      <c r="D12" s="92" t="s">
        <v>1394</v>
      </c>
      <c r="E12" s="92" t="s">
        <v>1421</v>
      </c>
    </row>
    <row r="16" spans="1:6" s="14" customFormat="1" ht="20.100000000000001" customHeight="1" x14ac:dyDescent="0.2">
      <c r="A16" s="31" t="s">
        <v>129</v>
      </c>
      <c r="B16" s="31" t="s">
        <v>128</v>
      </c>
      <c r="C16" s="18" t="s">
        <v>19</v>
      </c>
      <c r="D16" s="17"/>
      <c r="E16" s="16"/>
      <c r="F16" s="139" t="s">
        <v>18</v>
      </c>
    </row>
    <row r="18" spans="1:6" x14ac:dyDescent="0.2">
      <c r="A18" s="108"/>
      <c r="C18" s="2"/>
    </row>
    <row r="19" spans="1:6" x14ac:dyDescent="0.2">
      <c r="A19" s="108"/>
      <c r="C19" s="2" t="s">
        <v>1422</v>
      </c>
    </row>
    <row r="20" spans="1:6" x14ac:dyDescent="0.2">
      <c r="A20" s="109"/>
      <c r="C20" s="2" t="s">
        <v>1423</v>
      </c>
    </row>
    <row r="21" spans="1:6" x14ac:dyDescent="0.2">
      <c r="A21" s="108" t="s">
        <v>1428</v>
      </c>
      <c r="C21" s="2" t="s">
        <v>1424</v>
      </c>
    </row>
    <row r="22" spans="1:6" x14ac:dyDescent="0.2">
      <c r="A22" s="108"/>
      <c r="B22" s="138"/>
    </row>
    <row r="23" spans="1:6" x14ac:dyDescent="0.2">
      <c r="A23" s="108"/>
      <c r="B23" s="138"/>
      <c r="C23" s="91" t="s">
        <v>1425</v>
      </c>
      <c r="F23" s="91">
        <v>585</v>
      </c>
    </row>
    <row r="24" spans="1:6" x14ac:dyDescent="0.2">
      <c r="A24" s="108"/>
      <c r="B24" s="138"/>
    </row>
    <row r="25" spans="1:6" x14ac:dyDescent="0.2">
      <c r="A25" s="108"/>
      <c r="B25" s="138"/>
    </row>
    <row r="26" spans="1:6" x14ac:dyDescent="0.2">
      <c r="A26" s="108"/>
      <c r="B26" s="94"/>
    </row>
    <row r="27" spans="1:6" x14ac:dyDescent="0.2">
      <c r="A27" s="108"/>
    </row>
    <row r="28" spans="1:6" x14ac:dyDescent="0.2">
      <c r="A28" s="108"/>
    </row>
    <row r="32" spans="1:6" ht="13.5" thickBot="1" x14ac:dyDescent="0.25">
      <c r="F32" s="95">
        <f>SUM(F18:F31)</f>
        <v>585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1427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2-000000000000}">
  <sheetPr codeName="Sheet701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449</v>
      </c>
    </row>
    <row r="10" spans="1:6" x14ac:dyDescent="0.2">
      <c r="A10" s="1" t="s">
        <v>448</v>
      </c>
      <c r="D10" s="20" t="s">
        <v>27</v>
      </c>
      <c r="E10" s="20" t="s">
        <v>211</v>
      </c>
    </row>
    <row r="11" spans="1:6" x14ac:dyDescent="0.2">
      <c r="A11" s="1" t="s">
        <v>447</v>
      </c>
      <c r="D11" s="20" t="s">
        <v>24</v>
      </c>
      <c r="E11" s="20" t="s">
        <v>23</v>
      </c>
    </row>
    <row r="12" spans="1:6" x14ac:dyDescent="0.2">
      <c r="A12" s="1" t="s">
        <v>446</v>
      </c>
      <c r="D12" s="20" t="s">
        <v>22</v>
      </c>
      <c r="E12" s="19" t="s">
        <v>445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/>
    </row>
    <row r="20" spans="1:6" x14ac:dyDescent="0.2">
      <c r="C20" s="21"/>
    </row>
    <row r="22" spans="1:6" x14ac:dyDescent="0.2">
      <c r="A22" s="8" t="s">
        <v>444</v>
      </c>
      <c r="C22" s="21" t="s">
        <v>443</v>
      </c>
      <c r="F22" s="1">
        <v>140</v>
      </c>
    </row>
    <row r="23" spans="1:6" x14ac:dyDescent="0.2">
      <c r="C23" s="1" t="s">
        <v>442</v>
      </c>
    </row>
    <row r="32" spans="1:6" ht="13.5" thickBot="1" x14ac:dyDescent="0.25">
      <c r="F32" s="11">
        <f>SUM(F18:F31)</f>
        <v>140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441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2-000000000000}">
  <sheetPr codeName="Sheet66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9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91" t="s">
        <v>1883</v>
      </c>
    </row>
    <row r="10" spans="1:6" x14ac:dyDescent="0.2">
      <c r="A10" s="91" t="s">
        <v>1304</v>
      </c>
      <c r="D10" s="92" t="s">
        <v>1327</v>
      </c>
      <c r="E10" s="92" t="s">
        <v>1878</v>
      </c>
    </row>
    <row r="11" spans="1:6" x14ac:dyDescent="0.2">
      <c r="A11" s="91" t="s">
        <v>1305</v>
      </c>
      <c r="D11" s="92" t="s">
        <v>1328</v>
      </c>
      <c r="E11" s="92" t="s">
        <v>1220</v>
      </c>
    </row>
    <row r="12" spans="1:6" x14ac:dyDescent="0.2">
      <c r="A12" s="91" t="s">
        <v>1306</v>
      </c>
      <c r="D12" s="92" t="s">
        <v>1308</v>
      </c>
      <c r="E12" s="92" t="s">
        <v>1884</v>
      </c>
    </row>
    <row r="13" spans="1:6" x14ac:dyDescent="0.2">
      <c r="A13" s="91" t="s">
        <v>1307</v>
      </c>
    </row>
    <row r="16" spans="1:6" s="14" customFormat="1" ht="20.100000000000001" customHeight="1" x14ac:dyDescent="0.2">
      <c r="A16" s="17" t="s">
        <v>1303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1855</v>
      </c>
    </row>
    <row r="19" spans="1:6" x14ac:dyDescent="0.2">
      <c r="A19" s="93"/>
      <c r="B19" s="93"/>
    </row>
    <row r="20" spans="1:6" x14ac:dyDescent="0.2">
      <c r="A20" s="93" t="s">
        <v>1856</v>
      </c>
      <c r="B20" s="93" t="s">
        <v>1857</v>
      </c>
      <c r="C20" s="91" t="s">
        <v>1771</v>
      </c>
      <c r="F20" s="91">
        <f>0.7*150</f>
        <v>105</v>
      </c>
    </row>
    <row r="21" spans="1:6" x14ac:dyDescent="0.2">
      <c r="C21" s="91" t="s">
        <v>1772</v>
      </c>
    </row>
    <row r="24" spans="1:6" x14ac:dyDescent="0.2">
      <c r="C24" s="94"/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SUM(F19:F30)</f>
        <v>105</v>
      </c>
    </row>
    <row r="32" spans="1:6" ht="13.5" thickTop="1" x14ac:dyDescent="0.2"/>
    <row r="33" spans="1:6" ht="20.100000000000001" customHeight="1" x14ac:dyDescent="0.2">
      <c r="A33" s="96" t="s">
        <v>336</v>
      </c>
      <c r="B33" s="96" t="s">
        <v>1773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6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2-000000000000}">
  <sheetPr codeName="Sheet10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759</v>
      </c>
    </row>
    <row r="10" spans="1:6" x14ac:dyDescent="0.2">
      <c r="A10" s="1" t="s">
        <v>758</v>
      </c>
      <c r="D10" s="20" t="s">
        <v>27</v>
      </c>
      <c r="E10" s="20" t="s">
        <v>601</v>
      </c>
    </row>
    <row r="11" spans="1:6" x14ac:dyDescent="0.2">
      <c r="A11" s="1" t="s">
        <v>757</v>
      </c>
      <c r="D11" s="20" t="s">
        <v>24</v>
      </c>
      <c r="E11" s="20" t="s">
        <v>23</v>
      </c>
    </row>
    <row r="12" spans="1:6" x14ac:dyDescent="0.2">
      <c r="A12" s="1" t="s">
        <v>756</v>
      </c>
      <c r="D12" s="20" t="s">
        <v>22</v>
      </c>
      <c r="E12" s="20" t="s">
        <v>755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13" t="s">
        <v>598</v>
      </c>
    </row>
    <row r="20" spans="2:6" x14ac:dyDescent="0.2">
      <c r="C20" s="13" t="s">
        <v>597</v>
      </c>
    </row>
    <row r="22" spans="2:6" x14ac:dyDescent="0.2">
      <c r="B22" s="8"/>
    </row>
    <row r="23" spans="2:6" x14ac:dyDescent="0.2">
      <c r="C23" s="1" t="s">
        <v>754</v>
      </c>
    </row>
    <row r="24" spans="2:6" x14ac:dyDescent="0.2">
      <c r="B24" s="8"/>
      <c r="C24" s="1" t="s">
        <v>753</v>
      </c>
    </row>
    <row r="25" spans="2:6" x14ac:dyDescent="0.2">
      <c r="B25" s="8"/>
      <c r="C25" s="1" t="s">
        <v>752</v>
      </c>
      <c r="F25" s="1">
        <v>27.18</v>
      </c>
    </row>
    <row r="26" spans="2:6" x14ac:dyDescent="0.2">
      <c r="C26" s="8"/>
    </row>
    <row r="27" spans="2:6" x14ac:dyDescent="0.2">
      <c r="B27" s="8"/>
      <c r="C27" s="1" t="s">
        <v>52</v>
      </c>
      <c r="F27" s="1">
        <v>5</v>
      </c>
    </row>
    <row r="28" spans="2:6" x14ac:dyDescent="0.2">
      <c r="B28" s="8"/>
    </row>
    <row r="32" spans="2:6" ht="13.5" thickBot="1" x14ac:dyDescent="0.25">
      <c r="F32" s="11">
        <f>SUM(F18:F31)</f>
        <v>32.18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751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2-000000000000}">
  <sheetPr codeName="Sheet10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764</v>
      </c>
    </row>
    <row r="10" spans="1:6" x14ac:dyDescent="0.2">
      <c r="A10" s="1" t="s">
        <v>758</v>
      </c>
      <c r="D10" s="20" t="s">
        <v>27</v>
      </c>
      <c r="E10" s="20" t="s">
        <v>601</v>
      </c>
    </row>
    <row r="11" spans="1:6" x14ac:dyDescent="0.2">
      <c r="A11" s="1" t="s">
        <v>757</v>
      </c>
      <c r="D11" s="20" t="s">
        <v>24</v>
      </c>
      <c r="E11" s="20" t="s">
        <v>23</v>
      </c>
    </row>
    <row r="12" spans="1:6" x14ac:dyDescent="0.2">
      <c r="A12" s="1" t="s">
        <v>756</v>
      </c>
      <c r="D12" s="20" t="s">
        <v>22</v>
      </c>
      <c r="E12" s="20" t="s">
        <v>763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13" t="s">
        <v>598</v>
      </c>
    </row>
    <row r="20" spans="2:6" x14ac:dyDescent="0.2">
      <c r="C20" s="13" t="s">
        <v>597</v>
      </c>
    </row>
    <row r="22" spans="2:6" x14ac:dyDescent="0.2">
      <c r="B22" s="8"/>
    </row>
    <row r="23" spans="2:6" x14ac:dyDescent="0.2">
      <c r="C23" s="1" t="s">
        <v>762</v>
      </c>
    </row>
    <row r="24" spans="2:6" x14ac:dyDescent="0.2">
      <c r="B24" s="8"/>
      <c r="C24" s="8" t="s">
        <v>761</v>
      </c>
      <c r="F24" s="1">
        <v>4.9400000000000004</v>
      </c>
    </row>
    <row r="25" spans="2:6" x14ac:dyDescent="0.2">
      <c r="B25" s="8"/>
    </row>
    <row r="26" spans="2:6" x14ac:dyDescent="0.2">
      <c r="C26" s="8"/>
    </row>
    <row r="27" spans="2:6" x14ac:dyDescent="0.2">
      <c r="B27" s="8"/>
      <c r="C27" s="1" t="s">
        <v>52</v>
      </c>
      <c r="F27" s="1">
        <v>5</v>
      </c>
    </row>
    <row r="28" spans="2:6" x14ac:dyDescent="0.2">
      <c r="B28" s="8"/>
    </row>
    <row r="32" spans="2:6" ht="13.5" thickBot="1" x14ac:dyDescent="0.25">
      <c r="F32" s="11">
        <f>SUM(F18:F31)</f>
        <v>9.9400000000000013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760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6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A65F-FCC5-49A3-8ABC-D3418BDD81F0}">
  <sheetPr codeName="Sheet728">
    <pageSetUpPr fitToPage="1"/>
  </sheetPr>
  <dimension ref="A1:J55"/>
  <sheetViews>
    <sheetView topLeftCell="A10" workbookViewId="0">
      <selection activeCell="D28" sqref="D28"/>
    </sheetView>
  </sheetViews>
  <sheetFormatPr defaultRowHeight="12.75" x14ac:dyDescent="0.2"/>
  <cols>
    <col min="1" max="2" width="15" style="91" customWidth="1"/>
    <col min="3" max="3" width="0.710937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9" width="9.140625" style="1"/>
    <col min="10" max="10" width="11" style="1" bestFit="1" customWidth="1"/>
    <col min="11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10" t="s">
        <v>7497</v>
      </c>
    </row>
    <row r="10" spans="1:8" x14ac:dyDescent="0.2">
      <c r="A10" s="91" t="s">
        <v>7484</v>
      </c>
      <c r="F10" s="92" t="s">
        <v>1329</v>
      </c>
      <c r="G10" s="289" t="s">
        <v>7496</v>
      </c>
    </row>
    <row r="11" spans="1:8" x14ac:dyDescent="0.2">
      <c r="A11" s="91" t="s">
        <v>7485</v>
      </c>
      <c r="F11" s="92" t="s">
        <v>1330</v>
      </c>
      <c r="G11" s="370" t="s">
        <v>1220</v>
      </c>
    </row>
    <row r="12" spans="1:8" x14ac:dyDescent="0.2">
      <c r="A12" s="91" t="s">
        <v>7486</v>
      </c>
      <c r="F12" s="92" t="s">
        <v>1377</v>
      </c>
      <c r="G12" s="370" t="s">
        <v>770</v>
      </c>
    </row>
    <row r="13" spans="1:8" x14ac:dyDescent="0.2">
      <c r="A13" s="91" t="s">
        <v>7487</v>
      </c>
    </row>
    <row r="16" spans="1:8" s="14" customFormat="1" ht="20.100000000000001" customHeight="1" x14ac:dyDescent="0.2">
      <c r="A16" s="17" t="s">
        <v>1247</v>
      </c>
      <c r="B16" s="397" t="s">
        <v>128</v>
      </c>
      <c r="C16" s="397"/>
      <c r="D16" s="18" t="s">
        <v>19</v>
      </c>
      <c r="E16" s="18"/>
      <c r="F16" s="17"/>
      <c r="G16" s="16"/>
      <c r="H16" s="15" t="s">
        <v>18</v>
      </c>
    </row>
    <row r="17" spans="1:10" x14ac:dyDescent="0.2">
      <c r="A17" s="106"/>
      <c r="J17" s="400"/>
    </row>
    <row r="18" spans="1:10" x14ac:dyDescent="0.2">
      <c r="D18" s="2" t="s">
        <v>7488</v>
      </c>
      <c r="E18" s="2"/>
    </row>
    <row r="19" spans="1:10" x14ac:dyDescent="0.2">
      <c r="A19" s="106"/>
    </row>
    <row r="20" spans="1:10" x14ac:dyDescent="0.2">
      <c r="A20" s="92" t="s">
        <v>7489</v>
      </c>
      <c r="B20" s="278" t="s">
        <v>7498</v>
      </c>
      <c r="C20" s="278"/>
      <c r="D20" s="94" t="s">
        <v>7490</v>
      </c>
      <c r="E20" s="94"/>
      <c r="H20" s="91">
        <f>4.1803*16815</f>
        <v>70291.744500000001</v>
      </c>
    </row>
    <row r="21" spans="1:10" x14ac:dyDescent="0.2">
      <c r="A21" s="92"/>
      <c r="B21" s="93"/>
      <c r="C21" s="93"/>
      <c r="D21" s="94" t="s">
        <v>7491</v>
      </c>
      <c r="E21" s="94"/>
      <c r="H21" s="91">
        <f>4.1803*2250</f>
        <v>9405.6749999999993</v>
      </c>
    </row>
    <row r="22" spans="1:10" x14ac:dyDescent="0.2">
      <c r="A22" s="92"/>
      <c r="B22" s="93"/>
      <c r="C22" s="93"/>
      <c r="D22" s="94" t="s">
        <v>7492</v>
      </c>
      <c r="E22" s="94"/>
      <c r="H22" s="91">
        <f>4.1803*50</f>
        <v>209.01499999999999</v>
      </c>
    </row>
    <row r="23" spans="1:10" x14ac:dyDescent="0.2">
      <c r="A23" s="92"/>
      <c r="B23" s="93"/>
      <c r="C23" s="93"/>
      <c r="D23" s="94" t="s">
        <v>7493</v>
      </c>
      <c r="E23" s="94"/>
      <c r="H23" s="91">
        <f>4.1803*135</f>
        <v>564.34050000000002</v>
      </c>
    </row>
    <row r="24" spans="1:10" x14ac:dyDescent="0.2">
      <c r="A24" s="106"/>
      <c r="D24" s="94" t="s">
        <v>7494</v>
      </c>
      <c r="E24" s="94"/>
      <c r="H24" s="91">
        <f>4.1803*1155</f>
        <v>4828.2465000000002</v>
      </c>
      <c r="J24" s="399"/>
    </row>
    <row r="25" spans="1:10" x14ac:dyDescent="0.2">
      <c r="A25" s="106"/>
      <c r="D25" s="91" t="s">
        <v>7495</v>
      </c>
      <c r="H25" s="91">
        <f>4.1803*138.6</f>
        <v>579.38957999999991</v>
      </c>
    </row>
    <row r="26" spans="1:10" x14ac:dyDescent="0.2">
      <c r="A26" s="106"/>
    </row>
    <row r="27" spans="1:10" x14ac:dyDescent="0.2">
      <c r="D27" s="91" t="s">
        <v>52</v>
      </c>
      <c r="H27" s="91">
        <v>30</v>
      </c>
    </row>
    <row r="28" spans="1:10" x14ac:dyDescent="0.2">
      <c r="A28" s="93"/>
      <c r="B28" s="93"/>
      <c r="C28" s="93"/>
    </row>
    <row r="29" spans="1:10" x14ac:dyDescent="0.2">
      <c r="A29" s="93"/>
      <c r="B29" s="93"/>
      <c r="C29" s="93"/>
    </row>
    <row r="30" spans="1:10" x14ac:dyDescent="0.2">
      <c r="A30" s="93"/>
      <c r="B30" s="93"/>
      <c r="C30" s="93"/>
    </row>
    <row r="31" spans="1:10" x14ac:dyDescent="0.2">
      <c r="A31" s="93"/>
      <c r="B31" s="93"/>
      <c r="C31" s="93"/>
    </row>
    <row r="32" spans="1:10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  <c r="D33" s="94"/>
      <c r="E33" s="94"/>
    </row>
    <row r="34" spans="1:8" x14ac:dyDescent="0.2">
      <c r="A34" s="1"/>
      <c r="B34" s="1"/>
      <c r="C34" s="1"/>
    </row>
    <row r="35" spans="1:8" x14ac:dyDescent="0.2">
      <c r="A35" s="106"/>
    </row>
    <row r="36" spans="1:8" ht="13.5" thickBot="1" x14ac:dyDescent="0.25">
      <c r="A36" s="106"/>
      <c r="H36" s="107">
        <f>SUM(H19:H34)</f>
        <v>85908.411080000005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Eighty-Five Thousand Nine Hundred Eight and 41/100 -----------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</row>
    <row r="40" spans="1:8" ht="25.5" x14ac:dyDescent="0.2">
      <c r="A40" s="91" t="s">
        <v>10</v>
      </c>
      <c r="B40" s="91" t="s">
        <v>658</v>
      </c>
      <c r="F40" s="218" t="s">
        <v>3975</v>
      </c>
      <c r="G40" s="219"/>
      <c r="H40" s="220"/>
    </row>
    <row r="42" spans="1:8" x14ac:dyDescent="0.2">
      <c r="F42" s="227"/>
      <c r="G42" s="227"/>
      <c r="H42" s="227"/>
    </row>
    <row r="43" spans="1:8" x14ac:dyDescent="0.2">
      <c r="A43" s="91" t="s">
        <v>120</v>
      </c>
      <c r="D43" s="398"/>
      <c r="E43" s="398"/>
      <c r="F43" s="228"/>
      <c r="G43" s="229"/>
      <c r="H43" s="229"/>
    </row>
    <row r="44" spans="1:8" x14ac:dyDescent="0.2">
      <c r="A44" s="23"/>
      <c r="B44" s="101"/>
      <c r="C44" s="386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10" x14ac:dyDescent="0.2">
      <c r="A50" s="101"/>
      <c r="B50" s="101"/>
      <c r="C50" s="386"/>
      <c r="D50" s="101"/>
      <c r="F50" s="101"/>
      <c r="G50" s="101"/>
      <c r="H50" s="101"/>
    </row>
    <row r="51" spans="1:10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10" s="91" customFormat="1" x14ac:dyDescent="0.2">
      <c r="F52" s="91" t="s">
        <v>2</v>
      </c>
      <c r="I52" s="1"/>
      <c r="J52" s="1"/>
    </row>
    <row r="54" spans="1:10" s="91" customFormat="1" x14ac:dyDescent="0.2">
      <c r="F54" s="2" t="s">
        <v>1</v>
      </c>
      <c r="I54" s="1"/>
      <c r="J54" s="1"/>
    </row>
    <row r="55" spans="1:10" s="91" customFormat="1" x14ac:dyDescent="0.2">
      <c r="F55" s="2" t="s">
        <v>0</v>
      </c>
      <c r="I55" s="1"/>
      <c r="J55" s="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19DB-74B9-4CE9-B22C-8AC5797F59E6}">
  <sheetPr codeName="Sheet651">
    <pageSetUpPr fitToPage="1"/>
  </sheetPr>
  <dimension ref="A1:R53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0.85546875" style="91" customWidth="1"/>
    <col min="4" max="4" width="20" style="91" customWidth="1"/>
    <col min="5" max="5" width="0.7109375" style="91" customWidth="1"/>
    <col min="6" max="6" width="17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5" t="s">
        <v>8812</v>
      </c>
    </row>
    <row r="10" spans="1:8" x14ac:dyDescent="0.2">
      <c r="A10" s="91" t="s">
        <v>6455</v>
      </c>
      <c r="F10" s="92" t="s">
        <v>1357</v>
      </c>
      <c r="G10" s="155" t="s">
        <v>8808</v>
      </c>
    </row>
    <row r="11" spans="1:8" x14ac:dyDescent="0.2">
      <c r="A11" s="91" t="s">
        <v>6456</v>
      </c>
      <c r="F11" s="92" t="s">
        <v>1330</v>
      </c>
      <c r="G11" s="155" t="s">
        <v>1220</v>
      </c>
    </row>
    <row r="12" spans="1:8" x14ac:dyDescent="0.2">
      <c r="A12" s="91" t="s">
        <v>6457</v>
      </c>
      <c r="F12" s="92" t="s">
        <v>1224</v>
      </c>
      <c r="G12" s="91" t="s">
        <v>8813</v>
      </c>
    </row>
    <row r="13" spans="1:8" x14ac:dyDescent="0.2">
      <c r="A13" s="91" t="s">
        <v>6458</v>
      </c>
      <c r="G13" s="91" t="s">
        <v>7931</v>
      </c>
    </row>
    <row r="14" spans="1:8" x14ac:dyDescent="0.2">
      <c r="A14" s="91" t="s">
        <v>1471</v>
      </c>
    </row>
    <row r="15" spans="1:8" x14ac:dyDescent="0.2">
      <c r="A15" s="91" t="s">
        <v>123</v>
      </c>
    </row>
    <row r="16" spans="1:8" s="14" customFormat="1" ht="20.100000000000001" customHeight="1" x14ac:dyDescent="0.2">
      <c r="A16" s="363" t="s">
        <v>1226</v>
      </c>
      <c r="B16" s="31" t="s">
        <v>1262</v>
      </c>
      <c r="C16" s="452"/>
      <c r="D16" s="18" t="s">
        <v>19</v>
      </c>
      <c r="E16" s="18"/>
      <c r="F16" s="17"/>
      <c r="G16" s="16"/>
      <c r="H16" s="15" t="s">
        <v>18</v>
      </c>
    </row>
    <row r="18" spans="1:18" ht="12.75" customHeight="1" x14ac:dyDescent="0.2">
      <c r="A18" s="93"/>
      <c r="D18" s="2" t="s">
        <v>5144</v>
      </c>
      <c r="E18" s="2"/>
    </row>
    <row r="19" spans="1:18" x14ac:dyDescent="0.2">
      <c r="A19" s="93"/>
      <c r="B19" s="93"/>
      <c r="C19" s="93"/>
      <c r="J19" s="91" t="s">
        <v>4732</v>
      </c>
      <c r="M19" s="91">
        <v>1020</v>
      </c>
      <c r="O19" s="91" t="s">
        <v>3859</v>
      </c>
      <c r="R19" s="91">
        <v>1575</v>
      </c>
    </row>
    <row r="20" spans="1:18" x14ac:dyDescent="0.2">
      <c r="A20" s="93" t="s">
        <v>8803</v>
      </c>
      <c r="B20" s="93" t="s">
        <v>8814</v>
      </c>
      <c r="C20" s="93"/>
      <c r="D20" s="91" t="s">
        <v>8815</v>
      </c>
      <c r="H20" s="91">
        <v>800</v>
      </c>
      <c r="J20" s="91" t="s">
        <v>5507</v>
      </c>
      <c r="M20" s="91">
        <v>100</v>
      </c>
      <c r="O20" s="91" t="s">
        <v>127</v>
      </c>
      <c r="R20" s="91">
        <v>400</v>
      </c>
    </row>
    <row r="21" spans="1:18" x14ac:dyDescent="0.2">
      <c r="D21" s="91" t="s">
        <v>8816</v>
      </c>
      <c r="J21" s="91" t="s">
        <v>127</v>
      </c>
      <c r="M21" s="91">
        <v>500</v>
      </c>
      <c r="O21" s="91" t="s">
        <v>3864</v>
      </c>
      <c r="R21" s="91">
        <v>100</v>
      </c>
    </row>
    <row r="22" spans="1:18" x14ac:dyDescent="0.2">
      <c r="D22" s="91" t="s">
        <v>8817</v>
      </c>
      <c r="J22" s="91" t="s">
        <v>3864</v>
      </c>
      <c r="M22" s="91">
        <v>100</v>
      </c>
      <c r="O22" s="91" t="s">
        <v>6249</v>
      </c>
      <c r="R22" s="91">
        <v>220</v>
      </c>
    </row>
    <row r="23" spans="1:18" x14ac:dyDescent="0.2">
      <c r="A23" s="94"/>
      <c r="J23" s="91" t="s">
        <v>5508</v>
      </c>
      <c r="M23" s="91">
        <v>300</v>
      </c>
    </row>
    <row r="24" spans="1:18" x14ac:dyDescent="0.2">
      <c r="M24" s="91">
        <f>SUM(M19:M23)</f>
        <v>2020</v>
      </c>
    </row>
    <row r="25" spans="1:18" x14ac:dyDescent="0.2">
      <c r="A25" s="93" t="s">
        <v>11</v>
      </c>
      <c r="B25" s="99"/>
      <c r="C25" s="453"/>
    </row>
    <row r="26" spans="1:18" x14ac:dyDescent="0.2">
      <c r="A26" s="93"/>
      <c r="B26" s="93"/>
      <c r="C26" s="93"/>
    </row>
    <row r="27" spans="1:18" x14ac:dyDescent="0.2">
      <c r="J27" s="91" t="s">
        <v>5509</v>
      </c>
      <c r="M27" s="91">
        <v>222</v>
      </c>
    </row>
    <row r="28" spans="1:18" x14ac:dyDescent="0.2">
      <c r="B28" s="94"/>
      <c r="C28" s="94"/>
    </row>
    <row r="29" spans="1:18" x14ac:dyDescent="0.2">
      <c r="B29" s="94"/>
      <c r="C29" s="94"/>
    </row>
    <row r="30" spans="1:18" x14ac:dyDescent="0.2">
      <c r="B30" s="94"/>
      <c r="C30" s="94"/>
    </row>
    <row r="31" spans="1:18" x14ac:dyDescent="0.2">
      <c r="B31" s="94"/>
      <c r="C31" s="94"/>
    </row>
    <row r="32" spans="1:18" x14ac:dyDescent="0.2">
      <c r="B32" s="94"/>
      <c r="C32" s="94"/>
      <c r="D32" s="143"/>
      <c r="E32" s="143"/>
      <c r="F32" s="143"/>
      <c r="G32" s="143"/>
      <c r="H32" s="143"/>
    </row>
    <row r="34" spans="1:8" ht="13.5" thickBot="1" x14ac:dyDescent="0.25">
      <c r="H34" s="95">
        <f>SUM(H19:H33)</f>
        <v>800</v>
      </c>
    </row>
    <row r="35" spans="1:8" ht="13.5" thickTop="1" x14ac:dyDescent="0.2"/>
    <row r="36" spans="1:8" ht="20.100000000000001" customHeight="1" x14ac:dyDescent="0.2">
      <c r="A36" s="96" t="s">
        <v>1075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Hundred and NO/100 -----------</v>
      </c>
      <c r="C36" s="185"/>
      <c r="D36" s="97"/>
      <c r="E36" s="97"/>
      <c r="F36" s="97"/>
      <c r="G36" s="97"/>
      <c r="H36" s="97"/>
    </row>
    <row r="37" spans="1:8" x14ac:dyDescent="0.2">
      <c r="A37" s="94"/>
    </row>
    <row r="38" spans="1:8" ht="25.5" x14ac:dyDescent="0.2">
      <c r="A38" s="98" t="s">
        <v>10</v>
      </c>
      <c r="F38" s="218" t="s">
        <v>3975</v>
      </c>
      <c r="G38" s="219"/>
      <c r="H38" s="220"/>
    </row>
    <row r="39" spans="1:8" x14ac:dyDescent="0.2">
      <c r="A39" s="98"/>
    </row>
    <row r="40" spans="1:8" x14ac:dyDescent="0.2">
      <c r="A40" s="98"/>
      <c r="F40" s="227"/>
      <c r="G40" s="227"/>
      <c r="H40" s="227"/>
    </row>
    <row r="41" spans="1:8" x14ac:dyDescent="0.2">
      <c r="A41" s="98"/>
      <c r="D41" s="99"/>
      <c r="E41" s="453"/>
      <c r="F41" s="228"/>
      <c r="G41" s="229"/>
      <c r="H41" s="229"/>
    </row>
    <row r="42" spans="1:8" x14ac:dyDescent="0.2">
      <c r="A42" s="101"/>
      <c r="B42" s="101"/>
      <c r="C42" s="386"/>
    </row>
    <row r="43" spans="1:8" x14ac:dyDescent="0.2">
      <c r="A43" s="98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5" spans="1:8" x14ac:dyDescent="0.2">
      <c r="A45" s="98"/>
      <c r="D45" s="98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100"/>
      <c r="B48" s="101"/>
      <c r="C48" s="386"/>
      <c r="D48" s="100"/>
      <c r="F48" s="101"/>
      <c r="G48" s="101"/>
      <c r="H48" s="101"/>
    </row>
    <row r="49" spans="1:6" s="61" customFormat="1" ht="17.100000000000001" customHeight="1" x14ac:dyDescent="0.2">
      <c r="A49" s="98" t="s">
        <v>4066</v>
      </c>
      <c r="B49" s="104"/>
      <c r="C49" s="104"/>
      <c r="D49" s="98" t="s">
        <v>50</v>
      </c>
      <c r="F49" s="61" t="s">
        <v>3</v>
      </c>
    </row>
    <row r="50" spans="1:6" x14ac:dyDescent="0.2">
      <c r="A50" s="98"/>
      <c r="F50" s="91" t="s">
        <v>2</v>
      </c>
    </row>
    <row r="51" spans="1:6" x14ac:dyDescent="0.2">
      <c r="A51" s="98"/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6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4AE4-514C-41A0-BBA0-3BA869978984}">
  <sheetPr codeName="Sheet745">
    <pageSetUpPr fitToPage="1"/>
  </sheetPr>
  <dimension ref="A1:O57"/>
  <sheetViews>
    <sheetView view="pageBreakPreview" zoomScaleNormal="100" zoomScaleSheetLayoutView="100" workbookViewId="0">
      <selection activeCell="A32" sqref="A32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" style="91" customWidth="1"/>
    <col min="4" max="4" width="21" style="91" customWidth="1"/>
    <col min="5" max="5" width="0.855468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  <c r="J8" s="91" t="s">
        <v>7174</v>
      </c>
      <c r="K8" s="91">
        <v>43462</v>
      </c>
      <c r="M8" s="91" t="s">
        <v>7166</v>
      </c>
    </row>
    <row r="9" spans="1:15" x14ac:dyDescent="0.2">
      <c r="F9" s="92" t="s">
        <v>1358</v>
      </c>
      <c r="G9" s="155" t="s">
        <v>8602</v>
      </c>
    </row>
    <row r="10" spans="1:15" x14ac:dyDescent="0.2">
      <c r="A10" s="91" t="s">
        <v>7656</v>
      </c>
      <c r="F10" s="92" t="s">
        <v>1357</v>
      </c>
      <c r="G10" s="155" t="s">
        <v>8559</v>
      </c>
    </row>
    <row r="11" spans="1:15" x14ac:dyDescent="0.2">
      <c r="A11" s="91" t="s">
        <v>7657</v>
      </c>
      <c r="F11" s="92" t="s">
        <v>1330</v>
      </c>
      <c r="G11" s="155" t="s">
        <v>1220</v>
      </c>
    </row>
    <row r="12" spans="1:15" x14ac:dyDescent="0.2">
      <c r="A12" s="91" t="s">
        <v>7658</v>
      </c>
      <c r="F12" s="92" t="s">
        <v>1224</v>
      </c>
      <c r="G12" s="91" t="s">
        <v>8603</v>
      </c>
    </row>
    <row r="13" spans="1:15" x14ac:dyDescent="0.2">
      <c r="A13" s="91" t="s">
        <v>1943</v>
      </c>
      <c r="G13" s="91" t="s">
        <v>7931</v>
      </c>
    </row>
    <row r="14" spans="1:15" x14ac:dyDescent="0.2">
      <c r="L14" s="2" t="s">
        <v>5338</v>
      </c>
    </row>
    <row r="16" spans="1:15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J16" s="93"/>
      <c r="K16" s="93" t="s">
        <v>7060</v>
      </c>
      <c r="L16" s="91" t="s">
        <v>7061</v>
      </c>
      <c r="M16" s="91"/>
      <c r="N16" s="91"/>
      <c r="O16" s="91">
        <v>90</v>
      </c>
    </row>
    <row r="17" spans="1:15" x14ac:dyDescent="0.2">
      <c r="L17" s="91" t="s">
        <v>7062</v>
      </c>
      <c r="O17" s="91">
        <v>90</v>
      </c>
    </row>
    <row r="18" spans="1:15" x14ac:dyDescent="0.2">
      <c r="D18" s="2" t="s">
        <v>8554</v>
      </c>
      <c r="E18" s="2"/>
      <c r="J18" s="93"/>
      <c r="K18" s="93"/>
      <c r="L18" s="91" t="s">
        <v>7063</v>
      </c>
      <c r="O18" s="91">
        <v>90</v>
      </c>
    </row>
    <row r="20" spans="1:15" x14ac:dyDescent="0.2">
      <c r="A20" s="93" t="s">
        <v>8604</v>
      </c>
      <c r="B20" s="93" t="s">
        <v>8605</v>
      </c>
      <c r="C20" s="93"/>
      <c r="D20" s="94" t="s">
        <v>8606</v>
      </c>
      <c r="E20" s="94"/>
      <c r="H20" s="91">
        <v>2000</v>
      </c>
    </row>
    <row r="21" spans="1:15" x14ac:dyDescent="0.2">
      <c r="D21" s="94" t="s">
        <v>8557</v>
      </c>
      <c r="E21" s="94"/>
      <c r="M21" s="108">
        <v>3.1666666666666665</v>
      </c>
      <c r="N21" s="108"/>
      <c r="O21" s="108"/>
    </row>
    <row r="22" spans="1:15" x14ac:dyDescent="0.2">
      <c r="A22" s="93"/>
      <c r="B22" s="93"/>
      <c r="C22" s="93"/>
      <c r="D22" s="94"/>
      <c r="E22" s="94"/>
      <c r="M22" s="108"/>
      <c r="N22" s="108"/>
      <c r="O22" s="108"/>
    </row>
    <row r="23" spans="1:15" x14ac:dyDescent="0.2">
      <c r="A23" s="93"/>
      <c r="B23" s="93"/>
      <c r="C23" s="93"/>
      <c r="D23" s="94"/>
      <c r="E23" s="94"/>
      <c r="M23" s="108"/>
      <c r="N23" s="108"/>
      <c r="O23" s="108"/>
    </row>
    <row r="24" spans="1:15" x14ac:dyDescent="0.2">
      <c r="A24" s="93"/>
      <c r="B24" s="93"/>
      <c r="C24" s="93"/>
      <c r="D24" s="94"/>
      <c r="E24" s="94"/>
    </row>
    <row r="26" spans="1:15" x14ac:dyDescent="0.2">
      <c r="A26" s="93"/>
      <c r="B26" s="93"/>
      <c r="C26" s="93"/>
      <c r="D26" s="94"/>
      <c r="E26" s="94"/>
    </row>
    <row r="27" spans="1:15" x14ac:dyDescent="0.2">
      <c r="A27" s="93"/>
      <c r="B27" s="93"/>
      <c r="C27" s="93"/>
      <c r="D27" s="94"/>
      <c r="E27" s="94"/>
    </row>
    <row r="28" spans="1:15" x14ac:dyDescent="0.2">
      <c r="A28" s="93"/>
      <c r="B28" s="93"/>
      <c r="C28" s="93"/>
      <c r="D28" s="94"/>
      <c r="E28" s="94"/>
    </row>
    <row r="29" spans="1:15" x14ac:dyDescent="0.2">
      <c r="A29" s="93"/>
      <c r="B29" s="93"/>
      <c r="C29" s="93"/>
      <c r="D29" s="2"/>
      <c r="E29" s="2"/>
    </row>
    <row r="30" spans="1:15" x14ac:dyDescent="0.2">
      <c r="A30" s="93"/>
      <c r="B30" s="93"/>
      <c r="C30" s="93"/>
      <c r="D30" s="2"/>
      <c r="E30" s="2"/>
    </row>
    <row r="31" spans="1:15" x14ac:dyDescent="0.2">
      <c r="A31" s="93"/>
      <c r="B31" s="93"/>
      <c r="C31" s="93"/>
    </row>
    <row r="32" spans="1:15" x14ac:dyDescent="0.2">
      <c r="A32" s="93"/>
      <c r="B32" s="93"/>
      <c r="C32" s="93"/>
      <c r="D32" s="94"/>
      <c r="E32" s="94"/>
    </row>
    <row r="36" spans="1:8" x14ac:dyDescent="0.2">
      <c r="A36" s="93"/>
      <c r="B36" s="428"/>
      <c r="C36" s="428"/>
    </row>
    <row r="38" spans="1:8" ht="13.5" thickBot="1" x14ac:dyDescent="0.25">
      <c r="H38" s="95">
        <f>SUM(H19:H37)</f>
        <v>2000</v>
      </c>
    </row>
    <row r="39" spans="1:8" ht="13.5" thickTop="1" x14ac:dyDescent="0.2"/>
    <row r="40" spans="1:8" ht="20.100000000000001" customHeight="1" x14ac:dyDescent="0.2">
      <c r="A40" s="96" t="s">
        <v>1075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Two Thousand and NO/100 -----------</v>
      </c>
      <c r="C40" s="185"/>
      <c r="D40" s="97"/>
      <c r="E40" s="97"/>
      <c r="F40" s="97"/>
      <c r="G40" s="97"/>
      <c r="H40" s="97"/>
    </row>
    <row r="41" spans="1:8" ht="20.100000000000001" customHeight="1" x14ac:dyDescent="0.2">
      <c r="A41" s="113"/>
      <c r="B41" s="103"/>
      <c r="C41" s="103"/>
      <c r="D41" s="61"/>
      <c r="E41" s="61"/>
      <c r="F41" s="388"/>
      <c r="G41" s="388"/>
      <c r="H41" s="388"/>
    </row>
    <row r="42" spans="1:8" ht="25.5" x14ac:dyDescent="0.2">
      <c r="A42" s="235" t="s">
        <v>3973</v>
      </c>
      <c r="F42" s="218" t="s">
        <v>3975</v>
      </c>
      <c r="G42" s="219"/>
      <c r="H42" s="220"/>
    </row>
    <row r="43" spans="1:8" x14ac:dyDescent="0.2">
      <c r="A43" s="98"/>
      <c r="F43" s="228"/>
      <c r="G43" s="229"/>
      <c r="H43" s="229"/>
    </row>
    <row r="44" spans="1:8" x14ac:dyDescent="0.2">
      <c r="D44" s="428"/>
      <c r="E44" s="428"/>
    </row>
    <row r="45" spans="1:8" x14ac:dyDescent="0.2">
      <c r="A45" s="98"/>
      <c r="D45" s="428"/>
      <c r="E45" s="428"/>
    </row>
    <row r="46" spans="1:8" x14ac:dyDescent="0.2">
      <c r="A46" s="100"/>
      <c r="B46" s="101"/>
      <c r="C46" s="386"/>
    </row>
    <row r="47" spans="1:8" x14ac:dyDescent="0.2">
      <c r="A47" s="98"/>
    </row>
    <row r="48" spans="1:8" x14ac:dyDescent="0.2">
      <c r="A48" s="98" t="s">
        <v>8</v>
      </c>
      <c r="D48" s="98" t="s">
        <v>8</v>
      </c>
      <c r="F48" s="98" t="s">
        <v>7</v>
      </c>
      <c r="H48" s="102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98"/>
      <c r="D51" s="98"/>
    </row>
    <row r="52" spans="1:8" x14ac:dyDescent="0.2">
      <c r="A52" s="100"/>
      <c r="B52" s="101"/>
      <c r="C52" s="386"/>
      <c r="D52" s="100"/>
      <c r="F52" s="101"/>
      <c r="G52" s="101"/>
      <c r="H52" s="101"/>
    </row>
    <row r="53" spans="1:8" s="61" customFormat="1" ht="17.100000000000001" customHeight="1" x14ac:dyDescent="0.2">
      <c r="A53" s="98" t="s">
        <v>4047</v>
      </c>
      <c r="B53" s="104"/>
      <c r="C53" s="104"/>
      <c r="D53" s="98" t="s">
        <v>50</v>
      </c>
      <c r="F53" s="61" t="s">
        <v>3</v>
      </c>
    </row>
    <row r="54" spans="1:8" x14ac:dyDescent="0.2">
      <c r="A54" s="98"/>
      <c r="F54" s="91" t="s">
        <v>2</v>
      </c>
    </row>
    <row r="55" spans="1:8" x14ac:dyDescent="0.2">
      <c r="A55" s="98"/>
    </row>
    <row r="56" spans="1:8" x14ac:dyDescent="0.2">
      <c r="F56" s="2" t="s">
        <v>1</v>
      </c>
    </row>
    <row r="57" spans="1:8" x14ac:dyDescent="0.2">
      <c r="F57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C42E-4F80-4EF4-8136-D3CF91022395}">
  <sheetPr codeName="Sheet782">
    <pageSetUpPr fitToPage="1"/>
  </sheetPr>
  <dimension ref="A1:P58"/>
  <sheetViews>
    <sheetView topLeftCell="A10" zoomScaleNormal="100" workbookViewId="0">
      <selection activeCell="F15" sqref="F15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1317</v>
      </c>
      <c r="G9" s="155" t="s">
        <v>8618</v>
      </c>
    </row>
    <row r="10" spans="1:16" x14ac:dyDescent="0.2">
      <c r="A10" s="91" t="s">
        <v>5219</v>
      </c>
      <c r="F10" s="92" t="s">
        <v>1329</v>
      </c>
      <c r="G10" s="155" t="s">
        <v>8616</v>
      </c>
    </row>
    <row r="11" spans="1:16" x14ac:dyDescent="0.2">
      <c r="A11" s="91" t="s">
        <v>5224</v>
      </c>
      <c r="F11" s="92" t="s">
        <v>1330</v>
      </c>
      <c r="G11" s="155" t="s">
        <v>1220</v>
      </c>
    </row>
    <row r="12" spans="1:16" x14ac:dyDescent="0.2">
      <c r="A12" s="91" t="s">
        <v>5220</v>
      </c>
      <c r="F12" s="92" t="s">
        <v>1331</v>
      </c>
      <c r="G12" s="94" t="s">
        <v>8619</v>
      </c>
    </row>
    <row r="13" spans="1:16" x14ac:dyDescent="0.2">
      <c r="A13" s="91" t="s">
        <v>5221</v>
      </c>
      <c r="G13" s="91" t="s">
        <v>7762</v>
      </c>
    </row>
    <row r="14" spans="1:16" x14ac:dyDescent="0.2">
      <c r="A14" s="91" t="s">
        <v>5222</v>
      </c>
    </row>
    <row r="15" spans="1:16" x14ac:dyDescent="0.2">
      <c r="A15" s="91" t="s">
        <v>5223</v>
      </c>
    </row>
    <row r="16" spans="1:16" s="14" customFormat="1" ht="20.100000000000001" customHeight="1" x14ac:dyDescent="0.2">
      <c r="A16" s="503" t="s">
        <v>1226</v>
      </c>
      <c r="B16" s="503" t="s">
        <v>128</v>
      </c>
      <c r="C16" s="503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8587</v>
      </c>
      <c r="E18" s="2"/>
      <c r="M18" s="91"/>
      <c r="N18" s="91"/>
      <c r="O18" s="91"/>
      <c r="P18" s="91"/>
    </row>
    <row r="19" spans="1:16" x14ac:dyDescent="0.2">
      <c r="A19" s="93"/>
      <c r="B19" s="93"/>
      <c r="C19" s="93"/>
      <c r="M19" s="91"/>
      <c r="N19" s="91"/>
      <c r="O19" s="91"/>
      <c r="P19" s="91"/>
    </row>
    <row r="20" spans="1:16" x14ac:dyDescent="0.2">
      <c r="A20" s="93" t="s">
        <v>8617</v>
      </c>
      <c r="B20" s="93" t="s">
        <v>8620</v>
      </c>
      <c r="C20" s="93"/>
      <c r="D20" s="91" t="s">
        <v>8621</v>
      </c>
      <c r="H20" s="91">
        <f>42.5*8</f>
        <v>340</v>
      </c>
      <c r="M20" s="91"/>
      <c r="N20" s="91"/>
      <c r="O20" s="91"/>
      <c r="P20" s="91"/>
    </row>
    <row r="21" spans="1:16" x14ac:dyDescent="0.2">
      <c r="M21" s="91"/>
      <c r="N21" s="91"/>
      <c r="O21" s="91"/>
      <c r="P21" s="91"/>
    </row>
    <row r="22" spans="1:16" x14ac:dyDescent="0.2">
      <c r="A22" s="93"/>
      <c r="B22" s="93"/>
      <c r="C22" s="93"/>
      <c r="M22" s="91"/>
      <c r="N22" s="91"/>
      <c r="O22" s="91"/>
      <c r="P22" s="91"/>
    </row>
    <row r="23" spans="1:16" x14ac:dyDescent="0.2">
      <c r="C23" s="142"/>
      <c r="D23" s="2"/>
      <c r="M23" s="91"/>
      <c r="N23" s="91"/>
      <c r="O23" s="91"/>
      <c r="P23" s="91"/>
    </row>
    <row r="24" spans="1:16" x14ac:dyDescent="0.2">
      <c r="C24" s="93"/>
      <c r="D24" s="2"/>
      <c r="M24" s="91"/>
      <c r="N24" s="91"/>
      <c r="O24" s="91"/>
      <c r="P24" s="91"/>
    </row>
    <row r="25" spans="1:16" x14ac:dyDescent="0.2">
      <c r="M25" s="91"/>
      <c r="N25" s="91"/>
      <c r="O25" s="91"/>
      <c r="P25" s="91"/>
    </row>
    <row r="26" spans="1:16" x14ac:dyDescent="0.2">
      <c r="A26" s="142"/>
      <c r="B26" s="142"/>
      <c r="C26" s="93"/>
    </row>
    <row r="27" spans="1:16" x14ac:dyDescent="0.2">
      <c r="A27" s="93"/>
      <c r="B27" s="93"/>
      <c r="C27" s="93"/>
    </row>
    <row r="28" spans="1:16" x14ac:dyDescent="0.2">
      <c r="A28" s="93"/>
      <c r="B28" s="93"/>
      <c r="C28" s="93"/>
    </row>
    <row r="29" spans="1:16" x14ac:dyDescent="0.2">
      <c r="A29" s="93"/>
      <c r="B29" s="93"/>
      <c r="C29" s="93"/>
    </row>
    <row r="30" spans="1:16" x14ac:dyDescent="0.2">
      <c r="A30" s="93"/>
      <c r="B30" s="93"/>
      <c r="C30" s="93"/>
    </row>
    <row r="31" spans="1:16" x14ac:dyDescent="0.2">
      <c r="A31" s="93"/>
      <c r="B31" s="93"/>
      <c r="C31" s="93"/>
    </row>
    <row r="32" spans="1:16" x14ac:dyDescent="0.2">
      <c r="A32" s="93"/>
      <c r="B32" s="93"/>
      <c r="C32" s="93"/>
    </row>
    <row r="33" spans="1:8" x14ac:dyDescent="0.2">
      <c r="A33" s="93"/>
      <c r="B33" s="93"/>
      <c r="C33" s="93"/>
    </row>
    <row r="34" spans="1:8" x14ac:dyDescent="0.2">
      <c r="A34" s="93"/>
      <c r="B34" s="93"/>
      <c r="C34" s="93"/>
    </row>
    <row r="38" spans="1:8" x14ac:dyDescent="0.2">
      <c r="A38" s="106"/>
      <c r="H38" s="1"/>
    </row>
    <row r="39" spans="1:8" ht="13.5" thickBot="1" x14ac:dyDescent="0.25">
      <c r="A39" s="106"/>
      <c r="H39" s="107">
        <f>SUM(H18:H38)</f>
        <v>340</v>
      </c>
    </row>
    <row r="40" spans="1:8" ht="13.5" thickTop="1" x14ac:dyDescent="0.2">
      <c r="A40" s="106"/>
    </row>
    <row r="41" spans="1:8" ht="20.100000000000001" customHeight="1" x14ac:dyDescent="0.2">
      <c r="A41" s="96" t="s">
        <v>1248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Three Hundred Forty and NO/100 -----------</v>
      </c>
      <c r="C41" s="185"/>
      <c r="D41" s="97"/>
      <c r="E41" s="97"/>
      <c r="F41" s="236"/>
      <c r="G41" s="232"/>
      <c r="H41" s="232"/>
    </row>
    <row r="42" spans="1:8" x14ac:dyDescent="0.2">
      <c r="A42" s="94"/>
    </row>
    <row r="43" spans="1:8" ht="25.5" x14ac:dyDescent="0.2">
      <c r="A43" s="91" t="s">
        <v>10</v>
      </c>
      <c r="F43" s="218" t="s">
        <v>3975</v>
      </c>
      <c r="G43" s="219"/>
      <c r="H43" s="220"/>
    </row>
    <row r="44" spans="1:8" x14ac:dyDescent="0.2">
      <c r="F44" s="227"/>
      <c r="G44" s="227"/>
      <c r="H44" s="227"/>
    </row>
    <row r="45" spans="1:8" x14ac:dyDescent="0.2">
      <c r="F45" s="228"/>
      <c r="G45" s="229"/>
      <c r="H45" s="229"/>
    </row>
    <row r="46" spans="1:8" x14ac:dyDescent="0.2">
      <c r="A46" s="1"/>
    </row>
    <row r="47" spans="1:8" x14ac:dyDescent="0.2">
      <c r="A47" s="101"/>
      <c r="B47" s="101"/>
      <c r="C47" s="386"/>
    </row>
    <row r="49" spans="1:8" x14ac:dyDescent="0.2">
      <c r="A49" s="91" t="s">
        <v>8</v>
      </c>
      <c r="D49" s="91" t="s">
        <v>8</v>
      </c>
      <c r="F49" s="98" t="s">
        <v>7</v>
      </c>
      <c r="H49" s="102"/>
    </row>
    <row r="53" spans="1:8" x14ac:dyDescent="0.2">
      <c r="A53" s="101" t="s">
        <v>120</v>
      </c>
      <c r="B53" s="101"/>
      <c r="C53" s="386"/>
      <c r="D53" s="101" t="s">
        <v>120</v>
      </c>
      <c r="F53" s="101"/>
      <c r="G53" s="101"/>
      <c r="H53" s="101"/>
    </row>
    <row r="54" spans="1:8" s="3" customFormat="1" ht="17.100000000000001" customHeight="1" x14ac:dyDescent="0.2">
      <c r="A54" s="61" t="s">
        <v>4066</v>
      </c>
      <c r="B54" s="104"/>
      <c r="C54" s="104"/>
      <c r="D54" s="61" t="s">
        <v>50</v>
      </c>
      <c r="E54" s="61"/>
      <c r="F54" s="61" t="s">
        <v>3</v>
      </c>
      <c r="G54" s="61"/>
      <c r="H54" s="61"/>
    </row>
    <row r="55" spans="1:8" x14ac:dyDescent="0.2">
      <c r="F55" s="91" t="s">
        <v>2</v>
      </c>
    </row>
    <row r="57" spans="1:8" x14ac:dyDescent="0.2">
      <c r="F57" s="2" t="s">
        <v>1</v>
      </c>
    </row>
    <row r="58" spans="1:8" x14ac:dyDescent="0.2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3" orientation="portrait" r:id="rId1"/>
  <headerFooter alignWithMargins="0"/>
</worksheet>
</file>

<file path=xl/worksheets/sheet6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82AB-0CE3-467A-95A8-538AA9867A78}">
  <sheetPr codeName="Sheet705"/>
  <dimension ref="A1:U66"/>
  <sheetViews>
    <sheetView view="pageBreakPreview" topLeftCell="A10" zoomScaleNormal="100" zoomScaleSheetLayoutView="100" workbookViewId="0">
      <selection activeCell="F12" sqref="F12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1.28515625" style="153" customWidth="1"/>
    <col min="4" max="4" width="21" style="153" customWidth="1"/>
    <col min="5" max="5" width="1.28515625" style="153" customWidth="1"/>
    <col min="6" max="6" width="13.28515625" style="153" customWidth="1"/>
    <col min="7" max="7" width="9" style="153" customWidth="1"/>
    <col min="8" max="8" width="13.28515625" style="153" customWidth="1"/>
    <col min="9" max="11" width="9.140625" style="152"/>
    <col min="12" max="12" width="10.42578125" style="152" bestFit="1" customWidth="1"/>
    <col min="13" max="16384" width="9.140625" style="152"/>
  </cols>
  <sheetData>
    <row r="1" spans="1:19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9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9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9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9" x14ac:dyDescent="0.2">
      <c r="A8" s="153" t="s">
        <v>32</v>
      </c>
      <c r="F8" s="154" t="s">
        <v>31</v>
      </c>
    </row>
    <row r="9" spans="1:19" x14ac:dyDescent="0.2">
      <c r="F9" s="155" t="s">
        <v>1317</v>
      </c>
      <c r="G9" s="61" t="s">
        <v>8622</v>
      </c>
    </row>
    <row r="10" spans="1:19" x14ac:dyDescent="0.2">
      <c r="A10" s="153" t="s">
        <v>7171</v>
      </c>
      <c r="F10" s="155" t="s">
        <v>1329</v>
      </c>
      <c r="G10" s="113" t="s">
        <v>8623</v>
      </c>
    </row>
    <row r="11" spans="1:19" x14ac:dyDescent="0.2">
      <c r="A11" s="153" t="s">
        <v>7172</v>
      </c>
      <c r="F11" s="155" t="s">
        <v>1330</v>
      </c>
      <c r="G11" s="113" t="s">
        <v>1220</v>
      </c>
    </row>
    <row r="12" spans="1:19" x14ac:dyDescent="0.2">
      <c r="A12" s="153" t="s">
        <v>7173</v>
      </c>
      <c r="F12" s="155" t="s">
        <v>1331</v>
      </c>
      <c r="G12" s="113" t="s">
        <v>770</v>
      </c>
      <c r="P12" s="152" t="s">
        <v>4776</v>
      </c>
    </row>
    <row r="13" spans="1:19" x14ac:dyDescent="0.2">
      <c r="K13" s="319"/>
    </row>
    <row r="14" spans="1:19" x14ac:dyDescent="0.2">
      <c r="N14" s="152" t="s">
        <v>4562</v>
      </c>
      <c r="O14" s="152" t="s">
        <v>4777</v>
      </c>
      <c r="P14" s="152" t="s">
        <v>4778</v>
      </c>
      <c r="S14" s="152">
        <v>166002.99008399999</v>
      </c>
    </row>
    <row r="15" spans="1:19" x14ac:dyDescent="0.2">
      <c r="P15" s="152" t="s">
        <v>4779</v>
      </c>
    </row>
    <row r="16" spans="1:19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P16" s="162" t="s">
        <v>4780</v>
      </c>
    </row>
    <row r="17" spans="1:21" x14ac:dyDescent="0.2">
      <c r="A17" s="164"/>
    </row>
    <row r="18" spans="1:21" x14ac:dyDescent="0.2">
      <c r="B18" s="173"/>
      <c r="D18" s="163" t="s">
        <v>5854</v>
      </c>
      <c r="E18" s="163"/>
      <c r="P18" s="152" t="s">
        <v>4781</v>
      </c>
    </row>
    <row r="20" spans="1:21" x14ac:dyDescent="0.2">
      <c r="A20" s="168" t="s">
        <v>8354</v>
      </c>
      <c r="B20" s="264"/>
      <c r="C20" s="168"/>
      <c r="D20" s="153" t="s">
        <v>8624</v>
      </c>
      <c r="H20" s="153">
        <f>20757.48*4.1277</f>
        <v>85680.650196000002</v>
      </c>
      <c r="P20" s="152" t="s">
        <v>52</v>
      </c>
      <c r="S20" s="152">
        <v>10</v>
      </c>
    </row>
    <row r="21" spans="1:21" x14ac:dyDescent="0.2">
      <c r="A21" s="168"/>
      <c r="B21" s="169"/>
      <c r="C21" s="169"/>
      <c r="D21" s="153" t="s">
        <v>8625</v>
      </c>
      <c r="E21" s="167"/>
    </row>
    <row r="22" spans="1:21" x14ac:dyDescent="0.2">
      <c r="A22" s="168"/>
      <c r="B22" s="173"/>
      <c r="C22" s="173"/>
      <c r="P22" s="152" t="s">
        <v>2147</v>
      </c>
      <c r="S22" s="152">
        <v>0.6</v>
      </c>
    </row>
    <row r="23" spans="1:21" x14ac:dyDescent="0.2">
      <c r="D23" s="153" t="s">
        <v>52</v>
      </c>
      <c r="F23" s="152"/>
      <c r="G23" s="152"/>
      <c r="H23" s="153">
        <v>30</v>
      </c>
      <c r="L23" s="319"/>
    </row>
    <row r="31" spans="1:21" x14ac:dyDescent="0.2">
      <c r="A31" s="166"/>
      <c r="B31" s="173"/>
      <c r="C31" s="173"/>
      <c r="N31" s="153"/>
      <c r="O31" s="153"/>
      <c r="P31" s="153"/>
      <c r="Q31" s="163" t="s">
        <v>4776</v>
      </c>
      <c r="R31" s="163"/>
      <c r="S31" s="153"/>
      <c r="T31" s="153"/>
      <c r="U31" s="153"/>
    </row>
    <row r="32" spans="1:21" x14ac:dyDescent="0.2">
      <c r="N32" s="153"/>
      <c r="O32" s="153"/>
      <c r="P32" s="153"/>
      <c r="Q32" s="153"/>
      <c r="R32" s="153"/>
      <c r="S32" s="153"/>
      <c r="T32" s="153"/>
      <c r="U32" s="153"/>
    </row>
    <row r="33" spans="1:21" x14ac:dyDescent="0.2">
      <c r="N33" s="168" t="s">
        <v>5934</v>
      </c>
      <c r="O33" s="168" t="s">
        <v>5935</v>
      </c>
      <c r="P33" s="168"/>
      <c r="Q33" s="153" t="s">
        <v>5936</v>
      </c>
      <c r="R33" s="153"/>
      <c r="S33" s="153"/>
      <c r="T33" s="153"/>
      <c r="U33" s="153">
        <f>71537.26*3.02309999</f>
        <v>216264.28999062738</v>
      </c>
    </row>
    <row r="34" spans="1:21" x14ac:dyDescent="0.2">
      <c r="A34" s="168"/>
      <c r="B34" s="173"/>
      <c r="C34" s="173"/>
      <c r="N34" s="168"/>
      <c r="O34" s="169"/>
      <c r="P34" s="169"/>
      <c r="Q34" s="167" t="s">
        <v>5937</v>
      </c>
      <c r="R34" s="167"/>
      <c r="S34" s="153"/>
      <c r="T34" s="153"/>
      <c r="U34" s="153"/>
    </row>
    <row r="35" spans="1:21" hidden="1" x14ac:dyDescent="0.2">
      <c r="D35" s="167"/>
      <c r="E35" s="167"/>
      <c r="N35" s="168"/>
      <c r="O35" s="173"/>
      <c r="P35" s="173"/>
      <c r="Q35" s="153"/>
      <c r="R35" s="153"/>
      <c r="S35" s="153"/>
      <c r="T35" s="153"/>
      <c r="U35" s="153"/>
    </row>
    <row r="36" spans="1:21" hidden="1" x14ac:dyDescent="0.2">
      <c r="A36" s="168"/>
      <c r="B36" s="173"/>
      <c r="C36" s="173"/>
      <c r="N36" s="153"/>
      <c r="O36" s="153"/>
      <c r="P36" s="153"/>
      <c r="Q36" s="153" t="s">
        <v>5938</v>
      </c>
      <c r="R36" s="153"/>
    </row>
    <row r="37" spans="1:21" hidden="1" x14ac:dyDescent="0.2">
      <c r="A37" s="168"/>
      <c r="B37" s="173"/>
      <c r="C37" s="173"/>
      <c r="D37" s="163"/>
      <c r="E37" s="163"/>
      <c r="N37" s="153"/>
      <c r="O37" s="153"/>
      <c r="P37" s="153"/>
      <c r="Q37" s="153"/>
      <c r="R37" s="153"/>
      <c r="S37" s="153"/>
      <c r="T37" s="153"/>
      <c r="U37" s="153"/>
    </row>
    <row r="38" spans="1:21" hidden="1" x14ac:dyDescent="0.2">
      <c r="A38" s="166"/>
      <c r="B38" s="169"/>
      <c r="C38" s="169"/>
      <c r="D38" s="152"/>
      <c r="E38" s="152"/>
      <c r="F38" s="152"/>
      <c r="G38" s="152"/>
      <c r="H38" s="152"/>
      <c r="N38" s="166"/>
      <c r="O38" s="173"/>
      <c r="P38" s="173"/>
      <c r="Q38" s="153" t="s">
        <v>52</v>
      </c>
      <c r="R38" s="153"/>
      <c r="S38" s="153"/>
      <c r="T38" s="153"/>
      <c r="U38" s="153">
        <v>10</v>
      </c>
    </row>
    <row r="39" spans="1:21" hidden="1" x14ac:dyDescent="0.2">
      <c r="A39" s="152"/>
      <c r="B39" s="152"/>
      <c r="C39" s="152"/>
      <c r="N39" s="153"/>
      <c r="O39" s="153"/>
      <c r="P39" s="153"/>
      <c r="Q39" s="153"/>
      <c r="R39" s="153"/>
      <c r="S39" s="153"/>
      <c r="T39" s="153"/>
      <c r="U39" s="153"/>
    </row>
    <row r="40" spans="1:21" hidden="1" x14ac:dyDescent="0.2">
      <c r="A40" s="152"/>
      <c r="B40" s="152"/>
      <c r="C40" s="152"/>
      <c r="D40" s="167"/>
      <c r="E40" s="167"/>
      <c r="N40" s="153"/>
      <c r="O40" s="153"/>
      <c r="P40" s="153"/>
      <c r="Q40" s="153" t="s">
        <v>2147</v>
      </c>
      <c r="R40" s="153"/>
      <c r="S40" s="153"/>
      <c r="T40" s="153"/>
      <c r="U40" s="153">
        <v>0.6</v>
      </c>
    </row>
    <row r="41" spans="1:21" hidden="1" x14ac:dyDescent="0.2">
      <c r="A41" s="166"/>
      <c r="B41" s="168"/>
      <c r="C41" s="168"/>
      <c r="D41" s="152"/>
      <c r="E41" s="152"/>
    </row>
    <row r="42" spans="1:21" hidden="1" x14ac:dyDescent="0.2">
      <c r="A42" s="166"/>
      <c r="B42" s="168"/>
      <c r="C42" s="168"/>
    </row>
    <row r="43" spans="1:21" hidden="1" x14ac:dyDescent="0.2">
      <c r="A43" s="166"/>
      <c r="B43" s="169"/>
      <c r="C43" s="169"/>
    </row>
    <row r="44" spans="1:21" x14ac:dyDescent="0.2">
      <c r="A44" s="166"/>
      <c r="B44" s="169"/>
      <c r="C44" s="169"/>
    </row>
    <row r="45" spans="1:21" x14ac:dyDescent="0.2">
      <c r="A45" s="215"/>
      <c r="B45" s="152"/>
      <c r="C45" s="152"/>
      <c r="D45" s="152"/>
      <c r="E45" s="152"/>
      <c r="F45" s="152"/>
      <c r="G45" s="152"/>
      <c r="H45" s="152"/>
    </row>
    <row r="46" spans="1:21" ht="13.5" thickBot="1" x14ac:dyDescent="0.25">
      <c r="A46" s="164"/>
      <c r="H46" s="170">
        <f>SUM(H20:H45)</f>
        <v>85710.650196000002</v>
      </c>
    </row>
    <row r="47" spans="1:21" ht="13.5" thickTop="1" x14ac:dyDescent="0.2">
      <c r="A47" s="164"/>
    </row>
    <row r="48" spans="1:21" ht="20.100000000000001" customHeight="1" x14ac:dyDescent="0.2">
      <c r="A48" s="171" t="s">
        <v>1248</v>
      </c>
      <c r="B48" s="213" t="str">
        <f>IF(OR(H46&gt;1000000,H46&lt;=0),"",IF(H46&lt;1000,"",IF(MOD(H46,1000000)&gt;=100000,INDEX(numbers,TRUNC(MOD(H46,1000000)/100000,0)+1)&amp;" Hundred","")&amp;IF(MOD(H46,100000)&gt;=20000," "&amp;INDEX(tens,TRUNC(MOD(H46,100000)/10000,0)+1)&amp;IF(MOD(MOD(H46,100000),10000)&gt;=1000,"-"&amp;INDEX(numbers,TRUNC(MOD(MOD(H46,100000),10000)/1000,0)+1),""),IF(MOD(H46,100000)&gt;=1000," "&amp;INDEX(numbers,TRUNC(MOD(H46,100000)/1000,0)+1),""))&amp;" Thousand") &amp; IF(H46&lt;1,"Zero Dollars",IF(MOD(H46,1000)&gt;=100," "&amp;INDEX(numbers,TRUNC(MOD(H46,1000)/100,0)+1)&amp;" Hundred","")&amp;IF(MOD(H46,100)&gt;=20," "&amp;INDEX(tens,TRUNC(MOD(H46,100)/10,0)+1)&amp;IF(MOD(MOD(H46,100),10)&gt;=1,"-"&amp;INDEX(numbers,TRUNC(MOD(MOD(H46,100),10),0)+1),""),IF(MOD(H46,100)&gt;=1," "&amp;INDEX(numbers,TRUNC(MOD(H46,100),0)+1),""))&amp;"") &amp; " and " &amp; IF(MOD(H46,1)&lt;0.005,"NO",ROUND(MOD(H46,1)*100,0)) &amp; "/100 -----------")</f>
        <v xml:space="preserve"> Eighty-Five Thousand Seven Hundred Ten and 65/100 -----------</v>
      </c>
      <c r="C48" s="213"/>
      <c r="D48" s="172"/>
      <c r="E48" s="172"/>
      <c r="F48" s="172"/>
      <c r="G48" s="172"/>
      <c r="H48" s="172"/>
      <c r="N48" s="153"/>
      <c r="O48" s="153"/>
      <c r="P48" s="153"/>
      <c r="Q48" s="163" t="s">
        <v>5939</v>
      </c>
      <c r="R48" s="163"/>
      <c r="S48" s="153"/>
      <c r="T48" s="153"/>
      <c r="U48" s="153"/>
    </row>
    <row r="49" spans="1:21" x14ac:dyDescent="0.2">
      <c r="A49" s="273"/>
      <c r="N49" s="153"/>
      <c r="O49" s="153"/>
      <c r="P49" s="153"/>
      <c r="Q49" s="153"/>
      <c r="R49" s="153"/>
      <c r="S49" s="153"/>
      <c r="T49" s="153"/>
      <c r="U49" s="153"/>
    </row>
    <row r="50" spans="1:21" ht="25.5" x14ac:dyDescent="0.2">
      <c r="A50" s="153" t="s">
        <v>10</v>
      </c>
      <c r="F50" s="218" t="s">
        <v>3975</v>
      </c>
      <c r="G50" s="219"/>
      <c r="H50" s="220"/>
      <c r="N50" s="168" t="s">
        <v>5727</v>
      </c>
      <c r="O50" s="168" t="s">
        <v>5940</v>
      </c>
      <c r="P50" s="168"/>
      <c r="Q50" s="153" t="s">
        <v>5941</v>
      </c>
      <c r="R50" s="153"/>
      <c r="S50" s="153"/>
      <c r="T50" s="153"/>
      <c r="U50" s="153">
        <f>4316.54*3.1221</f>
        <v>13476.669534000001</v>
      </c>
    </row>
    <row r="51" spans="1:21" x14ac:dyDescent="0.2">
      <c r="N51" s="168"/>
      <c r="O51" s="169"/>
      <c r="P51" s="169"/>
      <c r="Q51" s="167"/>
      <c r="R51" s="167"/>
      <c r="S51" s="153"/>
      <c r="T51" s="153"/>
      <c r="U51" s="153"/>
    </row>
    <row r="52" spans="1:21" x14ac:dyDescent="0.2">
      <c r="N52" s="168"/>
      <c r="O52" s="173"/>
      <c r="P52" s="173"/>
      <c r="Q52" s="153" t="s">
        <v>5942</v>
      </c>
      <c r="R52" s="153"/>
      <c r="S52" s="153"/>
      <c r="T52" s="153"/>
      <c r="U52" s="153">
        <f>1402.88*3.1221</f>
        <v>4379.9316480000007</v>
      </c>
    </row>
    <row r="53" spans="1:21" x14ac:dyDescent="0.2">
      <c r="A53" s="153" t="s">
        <v>120</v>
      </c>
      <c r="E53" s="173"/>
      <c r="N53" s="153"/>
      <c r="O53" s="153"/>
      <c r="P53" s="153"/>
      <c r="Q53" s="153"/>
      <c r="R53" s="153"/>
    </row>
    <row r="54" spans="1:21" x14ac:dyDescent="0.2">
      <c r="A54" s="174"/>
      <c r="B54" s="174"/>
      <c r="D54" s="225"/>
      <c r="N54" s="153"/>
      <c r="O54" s="153"/>
      <c r="P54" s="153"/>
      <c r="Q54" s="153" t="s">
        <v>52</v>
      </c>
      <c r="R54" s="153"/>
      <c r="S54" s="153"/>
      <c r="T54" s="153"/>
      <c r="U54" s="153">
        <v>10</v>
      </c>
    </row>
    <row r="55" spans="1:21" x14ac:dyDescent="0.2">
      <c r="D55" s="156"/>
      <c r="N55" s="166"/>
      <c r="O55" s="173"/>
      <c r="P55" s="173"/>
      <c r="Q55" s="153"/>
      <c r="R55" s="153"/>
      <c r="S55" s="153"/>
      <c r="T55" s="153"/>
      <c r="U55" s="153"/>
    </row>
    <row r="56" spans="1:21" x14ac:dyDescent="0.2">
      <c r="D56" s="156"/>
      <c r="N56" s="153"/>
      <c r="O56" s="153"/>
      <c r="P56" s="153"/>
      <c r="Q56" s="153" t="s">
        <v>2147</v>
      </c>
      <c r="R56" s="153"/>
      <c r="S56" s="153"/>
      <c r="T56" s="153"/>
      <c r="U56" s="153">
        <v>0.6</v>
      </c>
    </row>
    <row r="57" spans="1:21" x14ac:dyDescent="0.2">
      <c r="A57" s="153" t="s">
        <v>8</v>
      </c>
      <c r="D57" s="153" t="s">
        <v>8</v>
      </c>
      <c r="F57" s="175" t="s">
        <v>7</v>
      </c>
      <c r="H57" s="176"/>
      <c r="N57" s="153"/>
      <c r="O57" s="153"/>
      <c r="P57" s="153"/>
      <c r="Q57" s="153"/>
      <c r="R57" s="153"/>
      <c r="S57" s="153"/>
      <c r="T57" s="153"/>
      <c r="U57" s="153"/>
    </row>
    <row r="61" spans="1:21" x14ac:dyDescent="0.2">
      <c r="A61" s="274"/>
      <c r="B61" s="174"/>
      <c r="D61" s="274"/>
      <c r="F61" s="174"/>
      <c r="G61" s="174"/>
      <c r="H61" s="174"/>
    </row>
    <row r="62" spans="1:21" s="178" customFormat="1" ht="17.100000000000001" customHeight="1" x14ac:dyDescent="0.2">
      <c r="A62" s="156" t="s">
        <v>4066</v>
      </c>
      <c r="B62" s="177"/>
      <c r="C62" s="177"/>
      <c r="D62" s="156" t="s">
        <v>50</v>
      </c>
      <c r="E62" s="156"/>
      <c r="F62" s="156" t="s">
        <v>3</v>
      </c>
      <c r="G62" s="156"/>
      <c r="H62" s="156"/>
    </row>
    <row r="63" spans="1:21" x14ac:dyDescent="0.2">
      <c r="F63" s="153" t="s">
        <v>2</v>
      </c>
    </row>
    <row r="65" spans="6:6" x14ac:dyDescent="0.2">
      <c r="F65" s="163" t="s">
        <v>1</v>
      </c>
    </row>
    <row r="66" spans="6:6" x14ac:dyDescent="0.2">
      <c r="F66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7924-3C61-4933-A3FE-C145C264FCFE}">
  <sheetPr codeName="Sheet673">
    <pageSetUpPr fitToPage="1"/>
  </sheetPr>
  <dimension ref="A1:F59"/>
  <sheetViews>
    <sheetView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6748</v>
      </c>
    </row>
    <row r="10" spans="1:6" x14ac:dyDescent="0.2">
      <c r="A10" s="91" t="s">
        <v>6750</v>
      </c>
      <c r="D10" s="92" t="s">
        <v>1357</v>
      </c>
      <c r="E10" s="92" t="s">
        <v>6731</v>
      </c>
    </row>
    <row r="11" spans="1:6" x14ac:dyDescent="0.2">
      <c r="A11" s="91" t="s">
        <v>6751</v>
      </c>
      <c r="D11" s="92" t="s">
        <v>1330</v>
      </c>
      <c r="E11" s="92" t="s">
        <v>1220</v>
      </c>
    </row>
    <row r="12" spans="1:6" x14ac:dyDescent="0.2">
      <c r="A12" s="91" t="s">
        <v>6752</v>
      </c>
      <c r="D12" s="92" t="s">
        <v>1224</v>
      </c>
      <c r="E12" s="92" t="s">
        <v>6749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6733</v>
      </c>
    </row>
    <row r="20" spans="1:6" x14ac:dyDescent="0.2">
      <c r="A20" s="93" t="s">
        <v>6734</v>
      </c>
      <c r="B20" s="93" t="s">
        <v>6753</v>
      </c>
      <c r="C20" s="91" t="s">
        <v>6754</v>
      </c>
      <c r="F20" s="91">
        <v>3000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  <c r="B26" s="93"/>
    </row>
    <row r="27" spans="1:6" x14ac:dyDescent="0.2">
      <c r="A27" s="93"/>
      <c r="B27" s="93"/>
    </row>
    <row r="28" spans="1:6" x14ac:dyDescent="0.2">
      <c r="A28" s="93"/>
      <c r="B28" s="93"/>
    </row>
    <row r="29" spans="1:6" x14ac:dyDescent="0.2">
      <c r="A29" s="93"/>
      <c r="B29" s="93"/>
    </row>
    <row r="30" spans="1:6" x14ac:dyDescent="0.2">
      <c r="A30" s="93"/>
      <c r="B30" s="93"/>
    </row>
    <row r="31" spans="1:6" x14ac:dyDescent="0.2">
      <c r="A31" s="93"/>
      <c r="B31" s="93"/>
      <c r="C31" s="2"/>
    </row>
    <row r="32" spans="1:6" x14ac:dyDescent="0.2">
      <c r="A32" s="93"/>
      <c r="B32" s="93"/>
      <c r="C32" s="2"/>
    </row>
    <row r="34" spans="1:6" x14ac:dyDescent="0.2">
      <c r="A34" s="93"/>
      <c r="B34" s="93"/>
    </row>
    <row r="35" spans="1:6" x14ac:dyDescent="0.2">
      <c r="A35" s="93"/>
      <c r="B35" s="99"/>
    </row>
    <row r="36" spans="1:6" x14ac:dyDescent="0.2">
      <c r="C36" s="2"/>
    </row>
    <row r="38" spans="1:6" x14ac:dyDescent="0.2">
      <c r="A38" s="93"/>
      <c r="B38" s="99"/>
    </row>
    <row r="40" spans="1:6" ht="13.5" thickBot="1" x14ac:dyDescent="0.25">
      <c r="F40" s="95">
        <f>SUM(F19:F39)</f>
        <v>3000</v>
      </c>
    </row>
    <row r="41" spans="1:6" ht="13.5" thickTop="1" x14ac:dyDescent="0.2"/>
    <row r="42" spans="1:6" ht="20.100000000000001" customHeight="1" x14ac:dyDescent="0.2">
      <c r="A42" s="96" t="s">
        <v>1075</v>
      </c>
      <c r="B42" s="185" t="str">
        <f>IF(OR(F40&gt;1000000,F40&lt;=0),"",IF(F40&lt;1000,"",IF(MOD(F40,1000000)&gt;=100000,INDEX(numbers,TRUNC(MOD(F40,1000000)/100000,0)+1)&amp;" Hundred","")&amp;IF(MOD(F40,100000)&gt;=20000," "&amp;INDEX(tens,TRUNC(MOD(F40,100000)/10000,0)+1)&amp;IF(MOD(MOD(F40,100000),10000)&gt;=1000,"-"&amp;INDEX(numbers,TRUNC(MOD(MOD(F40,100000),10000)/1000,0)+1),""),IF(MOD(F40,100000)&gt;=1000," "&amp;INDEX(numbers,TRUNC(MOD(F40,100000)/1000,0)+1),""))&amp;" Thousand") &amp; IF(F40&lt;1,"Zero Dollars",IF(MOD(F40,1000)&gt;=100," "&amp;INDEX(numbers,TRUNC(MOD(F40,1000)/100,0)+1)&amp;" Hundred","")&amp;IF(MOD(F40,100)&gt;=20," "&amp;INDEX(tens,TRUNC(MOD(F40,100)/10,0)+1)&amp;IF(MOD(MOD(F40,100),10)&gt;=1,"-"&amp;INDEX(numbers,TRUNC(MOD(MOD(F40,100),10),0)+1),""),IF(MOD(F40,100)&gt;=1," "&amp;INDEX(numbers,TRUNC(MOD(F40,100),0)+1),""))&amp;"") &amp; " and " &amp; IF(MOD(F40,1)&lt;0.005,"NO",ROUND(MOD(F40,1)*100,0)) &amp; "/100 -----------")</f>
        <v xml:space="preserve"> Three Thousand and NO/100 -----------</v>
      </c>
      <c r="C42" s="97"/>
      <c r="D42" s="222"/>
      <c r="E42" s="222"/>
      <c r="F42" s="222"/>
    </row>
    <row r="43" spans="1:6" ht="20.100000000000001" customHeight="1" x14ac:dyDescent="0.2">
      <c r="A43" s="113"/>
      <c r="B43" s="103"/>
      <c r="C43" s="61"/>
      <c r="D43" s="222"/>
      <c r="E43" s="222"/>
      <c r="F43" s="222"/>
    </row>
    <row r="44" spans="1:6" ht="25.5" x14ac:dyDescent="0.2">
      <c r="A44" s="235" t="s">
        <v>3973</v>
      </c>
      <c r="D44" s="218" t="s">
        <v>3975</v>
      </c>
      <c r="E44" s="219"/>
      <c r="F44" s="220"/>
    </row>
    <row r="45" spans="1:6" x14ac:dyDescent="0.2">
      <c r="A45" s="98"/>
      <c r="D45" s="228"/>
      <c r="E45" s="229"/>
      <c r="F45" s="229"/>
    </row>
    <row r="46" spans="1:6" x14ac:dyDescent="0.2">
      <c r="C46" s="99"/>
    </row>
    <row r="47" spans="1:6" x14ac:dyDescent="0.2">
      <c r="A47" s="98"/>
      <c r="C47" s="99"/>
    </row>
    <row r="48" spans="1:6" x14ac:dyDescent="0.2">
      <c r="A48" s="100"/>
      <c r="B48" s="101"/>
    </row>
    <row r="49" spans="1:6" x14ac:dyDescent="0.2">
      <c r="A49" s="98"/>
    </row>
    <row r="50" spans="1:6" x14ac:dyDescent="0.2">
      <c r="A50" s="98" t="s">
        <v>8</v>
      </c>
      <c r="D50" s="98" t="s">
        <v>7</v>
      </c>
      <c r="F50" s="102"/>
    </row>
    <row r="51" spans="1:6" x14ac:dyDescent="0.2">
      <c r="A51" s="98"/>
    </row>
    <row r="52" spans="1:6" x14ac:dyDescent="0.2">
      <c r="A52" s="98"/>
    </row>
    <row r="53" spans="1:6" x14ac:dyDescent="0.2">
      <c r="A53" s="98"/>
    </row>
    <row r="54" spans="1:6" x14ac:dyDescent="0.2">
      <c r="A54" s="100"/>
      <c r="B54" s="101"/>
      <c r="D54" s="101"/>
      <c r="E54" s="101"/>
      <c r="F54" s="101"/>
    </row>
    <row r="55" spans="1:6" s="61" customFormat="1" ht="17.100000000000001" customHeight="1" x14ac:dyDescent="0.2">
      <c r="A55" s="98" t="s">
        <v>4047</v>
      </c>
      <c r="B55" s="104"/>
      <c r="D55" s="61" t="s">
        <v>3</v>
      </c>
    </row>
    <row r="56" spans="1:6" x14ac:dyDescent="0.2">
      <c r="A56" s="98"/>
      <c r="D56" s="91" t="s">
        <v>2</v>
      </c>
    </row>
    <row r="57" spans="1:6" x14ac:dyDescent="0.2">
      <c r="A57" s="98"/>
    </row>
    <row r="58" spans="1:6" x14ac:dyDescent="0.2">
      <c r="D58" s="2" t="s">
        <v>1</v>
      </c>
    </row>
    <row r="59" spans="1:6" x14ac:dyDescent="0.2">
      <c r="D59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1" orientation="portrait" r:id="rId1"/>
  <headerFooter alignWithMargins="0"/>
</worksheet>
</file>

<file path=xl/worksheets/sheet6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34B3-35B3-4B87-AF1D-15F85A353D26}">
  <sheetPr codeName="Sheet706">
    <pageSetUpPr fitToPage="1"/>
  </sheetPr>
  <dimension ref="A1:M59"/>
  <sheetViews>
    <sheetView view="pageBreakPreview" topLeftCell="A4" zoomScaleNormal="100" zoomScaleSheetLayoutView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</row>
    <row r="2" spans="1:13" x14ac:dyDescent="0.2">
      <c r="A2" s="522" t="s">
        <v>33</v>
      </c>
      <c r="B2" s="522"/>
      <c r="C2" s="522"/>
      <c r="D2" s="522"/>
      <c r="E2" s="522"/>
      <c r="F2" s="522"/>
    </row>
    <row r="3" spans="1:13" x14ac:dyDescent="0.2">
      <c r="A3" s="522" t="s">
        <v>1829</v>
      </c>
      <c r="B3" s="522"/>
      <c r="C3" s="522"/>
      <c r="D3" s="522"/>
      <c r="E3" s="522"/>
      <c r="F3" s="522"/>
    </row>
    <row r="4" spans="1:13" x14ac:dyDescent="0.2">
      <c r="A4" s="522" t="s">
        <v>1828</v>
      </c>
      <c r="B4" s="522"/>
      <c r="C4" s="522"/>
      <c r="D4" s="522"/>
      <c r="E4" s="522"/>
      <c r="F4" s="522"/>
    </row>
    <row r="8" spans="1:13" x14ac:dyDescent="0.2">
      <c r="A8" s="91" t="s">
        <v>32</v>
      </c>
      <c r="D8" s="22" t="s">
        <v>31</v>
      </c>
      <c r="H8" s="91" t="s">
        <v>7174</v>
      </c>
      <c r="I8" s="91">
        <v>43462</v>
      </c>
      <c r="K8" s="91" t="s">
        <v>7166</v>
      </c>
    </row>
    <row r="9" spans="1:13" x14ac:dyDescent="0.2">
      <c r="D9" s="92" t="s">
        <v>1358</v>
      </c>
      <c r="E9" s="155" t="s">
        <v>7229</v>
      </c>
    </row>
    <row r="10" spans="1:13" x14ac:dyDescent="0.2">
      <c r="A10" s="91" t="s">
        <v>7231</v>
      </c>
      <c r="D10" s="92" t="s">
        <v>1357</v>
      </c>
      <c r="E10" s="155" t="s">
        <v>7214</v>
      </c>
    </row>
    <row r="11" spans="1:13" x14ac:dyDescent="0.2">
      <c r="A11" s="91" t="s">
        <v>7232</v>
      </c>
      <c r="D11" s="92" t="s">
        <v>1330</v>
      </c>
      <c r="E11" s="155" t="s">
        <v>1220</v>
      </c>
    </row>
    <row r="12" spans="1:13" x14ac:dyDescent="0.2">
      <c r="A12" s="91" t="s">
        <v>1862</v>
      </c>
      <c r="D12" s="92" t="s">
        <v>1224</v>
      </c>
      <c r="E12" s="91" t="s">
        <v>7230</v>
      </c>
    </row>
    <row r="14" spans="1:13" x14ac:dyDescent="0.2">
      <c r="J14" s="2" t="s">
        <v>5338</v>
      </c>
    </row>
    <row r="16" spans="1:13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  <c r="H16" s="93"/>
      <c r="I16" s="93" t="s">
        <v>7060</v>
      </c>
      <c r="J16" s="91" t="s">
        <v>7061</v>
      </c>
      <c r="K16" s="91"/>
      <c r="L16" s="91"/>
      <c r="M16" s="91">
        <v>90</v>
      </c>
    </row>
    <row r="17" spans="1:13" x14ac:dyDescent="0.2">
      <c r="J17" s="91" t="s">
        <v>7062</v>
      </c>
      <c r="M17" s="91">
        <v>90</v>
      </c>
    </row>
    <row r="18" spans="1:13" x14ac:dyDescent="0.2">
      <c r="C18" s="2" t="s">
        <v>7233</v>
      </c>
      <c r="H18" s="93"/>
      <c r="I18" s="93"/>
      <c r="J18" s="91" t="s">
        <v>7063</v>
      </c>
      <c r="M18" s="91">
        <v>90</v>
      </c>
    </row>
    <row r="20" spans="1:13" x14ac:dyDescent="0.2">
      <c r="A20" s="93" t="s">
        <v>7211</v>
      </c>
      <c r="B20" s="93" t="s">
        <v>7234</v>
      </c>
      <c r="C20" s="91" t="s">
        <v>7235</v>
      </c>
      <c r="F20" s="91">
        <v>270</v>
      </c>
    </row>
    <row r="22" spans="1:13" x14ac:dyDescent="0.2">
      <c r="A22" s="93"/>
      <c r="B22" s="93"/>
    </row>
    <row r="23" spans="1:13" x14ac:dyDescent="0.2">
      <c r="A23" s="93"/>
      <c r="B23" s="93"/>
    </row>
    <row r="24" spans="1:13" x14ac:dyDescent="0.2">
      <c r="A24" s="93"/>
      <c r="B24" s="93"/>
    </row>
    <row r="25" spans="1:13" x14ac:dyDescent="0.2">
      <c r="A25" s="93"/>
      <c r="B25" s="93"/>
    </row>
    <row r="26" spans="1:13" x14ac:dyDescent="0.2">
      <c r="A26" s="93"/>
      <c r="B26" s="93"/>
    </row>
    <row r="27" spans="1:13" x14ac:dyDescent="0.2">
      <c r="A27" s="93"/>
      <c r="B27" s="93"/>
    </row>
    <row r="28" spans="1:13" x14ac:dyDescent="0.2">
      <c r="A28" s="93"/>
      <c r="B28" s="93"/>
    </row>
    <row r="29" spans="1:13" x14ac:dyDescent="0.2">
      <c r="A29" s="93"/>
      <c r="B29" s="93"/>
    </row>
    <row r="30" spans="1:13" x14ac:dyDescent="0.2">
      <c r="A30" s="93"/>
      <c r="B30" s="93"/>
    </row>
    <row r="31" spans="1:13" x14ac:dyDescent="0.2">
      <c r="A31" s="93"/>
      <c r="B31" s="93"/>
      <c r="C31" s="2"/>
    </row>
    <row r="32" spans="1:13" x14ac:dyDescent="0.2">
      <c r="A32" s="93"/>
      <c r="B32" s="93"/>
      <c r="C32" s="2"/>
    </row>
    <row r="34" spans="1:6" x14ac:dyDescent="0.2">
      <c r="A34" s="93"/>
      <c r="B34" s="93"/>
    </row>
    <row r="35" spans="1:6" x14ac:dyDescent="0.2">
      <c r="A35" s="93"/>
      <c r="B35" s="99"/>
    </row>
    <row r="36" spans="1:6" x14ac:dyDescent="0.2">
      <c r="C36" s="2"/>
    </row>
    <row r="38" spans="1:6" x14ac:dyDescent="0.2">
      <c r="A38" s="93"/>
      <c r="B38" s="99"/>
    </row>
    <row r="40" spans="1:6" ht="13.5" thickBot="1" x14ac:dyDescent="0.25">
      <c r="F40" s="95">
        <f>SUM(F19:F39)</f>
        <v>270</v>
      </c>
    </row>
    <row r="41" spans="1:6" ht="13.5" thickTop="1" x14ac:dyDescent="0.2"/>
    <row r="42" spans="1:6" ht="20.100000000000001" customHeight="1" x14ac:dyDescent="0.2">
      <c r="A42" s="96" t="s">
        <v>1075</v>
      </c>
      <c r="B42" s="185" t="str">
        <f>IF(OR(F40&gt;1000000,F40&lt;=0),"",IF(F40&lt;1000,"",IF(MOD(F40,1000000)&gt;=100000,INDEX(numbers,TRUNC(MOD(F40,1000000)/100000,0)+1)&amp;" Hundred","")&amp;IF(MOD(F40,100000)&gt;=20000," "&amp;INDEX(tens,TRUNC(MOD(F40,100000)/10000,0)+1)&amp;IF(MOD(MOD(F40,100000),10000)&gt;=1000,"-"&amp;INDEX(numbers,TRUNC(MOD(MOD(F40,100000),10000)/1000,0)+1),""),IF(MOD(F40,100000)&gt;=1000," "&amp;INDEX(numbers,TRUNC(MOD(F40,100000)/1000,0)+1),""))&amp;" Thousand") &amp; IF(F40&lt;1,"Zero Dollars",IF(MOD(F40,1000)&gt;=100," "&amp;INDEX(numbers,TRUNC(MOD(F40,1000)/100,0)+1)&amp;" Hundred","")&amp;IF(MOD(F40,100)&gt;=20," "&amp;INDEX(tens,TRUNC(MOD(F40,100)/10,0)+1)&amp;IF(MOD(MOD(F40,100),10)&gt;=1,"-"&amp;INDEX(numbers,TRUNC(MOD(MOD(F40,100),10),0)+1),""),IF(MOD(F40,100)&gt;=1," "&amp;INDEX(numbers,TRUNC(MOD(F40,100),0)+1),""))&amp;"") &amp; " and " &amp; IF(MOD(F40,1)&lt;0.005,"NO",ROUND(MOD(F40,1)*100,0)) &amp; "/100 -----------")</f>
        <v xml:space="preserve"> Two Hundred Seventy and NO/100 -----------</v>
      </c>
      <c r="C42" s="97"/>
      <c r="D42" s="222"/>
      <c r="E42" s="222"/>
      <c r="F42" s="222"/>
    </row>
    <row r="43" spans="1:6" ht="20.100000000000001" customHeight="1" x14ac:dyDescent="0.2">
      <c r="A43" s="113"/>
      <c r="B43" s="103"/>
      <c r="C43" s="61"/>
      <c r="D43" s="222"/>
      <c r="E43" s="222"/>
      <c r="F43" s="222"/>
    </row>
    <row r="44" spans="1:6" ht="25.5" x14ac:dyDescent="0.2">
      <c r="A44" s="235" t="s">
        <v>3973</v>
      </c>
      <c r="D44" s="218" t="s">
        <v>3975</v>
      </c>
      <c r="E44" s="219"/>
      <c r="F44" s="220"/>
    </row>
    <row r="45" spans="1:6" x14ac:dyDescent="0.2">
      <c r="A45" s="98"/>
      <c r="D45" s="228"/>
      <c r="E45" s="229"/>
      <c r="F45" s="229"/>
    </row>
    <row r="46" spans="1:6" x14ac:dyDescent="0.2">
      <c r="C46" s="99"/>
    </row>
    <row r="47" spans="1:6" x14ac:dyDescent="0.2">
      <c r="A47" s="98"/>
      <c r="C47" s="99"/>
    </row>
    <row r="48" spans="1:6" x14ac:dyDescent="0.2">
      <c r="A48" s="100"/>
      <c r="B48" s="101"/>
    </row>
    <row r="49" spans="1:6" x14ac:dyDescent="0.2">
      <c r="A49" s="98"/>
    </row>
    <row r="50" spans="1:6" x14ac:dyDescent="0.2">
      <c r="A50" s="98" t="s">
        <v>8</v>
      </c>
      <c r="D50" s="98" t="s">
        <v>7</v>
      </c>
      <c r="F50" s="102"/>
    </row>
    <row r="51" spans="1:6" x14ac:dyDescent="0.2">
      <c r="A51" s="98"/>
    </row>
    <row r="52" spans="1:6" x14ac:dyDescent="0.2">
      <c r="A52" s="98"/>
    </row>
    <row r="53" spans="1:6" x14ac:dyDescent="0.2">
      <c r="A53" s="98"/>
    </row>
    <row r="54" spans="1:6" x14ac:dyDescent="0.2">
      <c r="A54" s="100"/>
      <c r="B54" s="101"/>
      <c r="D54" s="101"/>
      <c r="E54" s="101"/>
      <c r="F54" s="101"/>
    </row>
    <row r="55" spans="1:6" s="61" customFormat="1" ht="17.100000000000001" customHeight="1" x14ac:dyDescent="0.2">
      <c r="A55" s="98" t="s">
        <v>4047</v>
      </c>
      <c r="B55" s="104"/>
      <c r="D55" s="61" t="s">
        <v>3</v>
      </c>
    </row>
    <row r="56" spans="1:6" x14ac:dyDescent="0.2">
      <c r="A56" s="98"/>
      <c r="D56" s="91" t="s">
        <v>2</v>
      </c>
    </row>
    <row r="57" spans="1:6" x14ac:dyDescent="0.2">
      <c r="A57" s="98"/>
    </row>
    <row r="58" spans="1:6" x14ac:dyDescent="0.2">
      <c r="D58" s="2" t="s">
        <v>1</v>
      </c>
    </row>
    <row r="59" spans="1:6" x14ac:dyDescent="0.2">
      <c r="D59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6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C440-F67A-4732-9829-92F9523C0EBC}">
  <sheetPr codeName="Sheet707">
    <pageSetUpPr fitToPage="1"/>
  </sheetPr>
  <dimension ref="A1:I56"/>
  <sheetViews>
    <sheetView workbookViewId="0">
      <selection activeCell="G9" sqref="G9:G13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.42578125" style="1" customWidth="1"/>
    <col min="4" max="4" width="23" style="1" customWidth="1"/>
    <col min="5" max="5" width="1.1406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7743</v>
      </c>
      <c r="H9" s="91"/>
    </row>
    <row r="10" spans="1:8" x14ac:dyDescent="0.2">
      <c r="A10" s="91" t="s">
        <v>7100</v>
      </c>
      <c r="B10" s="91"/>
      <c r="C10" s="91"/>
      <c r="D10" s="91"/>
      <c r="E10" s="91"/>
      <c r="F10" s="92" t="s">
        <v>1357</v>
      </c>
      <c r="G10" s="92" t="s">
        <v>7741</v>
      </c>
      <c r="H10" s="91"/>
    </row>
    <row r="11" spans="1:8" x14ac:dyDescent="0.2">
      <c r="A11" s="91" t="s">
        <v>7101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7102</v>
      </c>
      <c r="B12" s="91"/>
      <c r="C12" s="91"/>
      <c r="D12" s="91"/>
      <c r="E12" s="91"/>
      <c r="F12" s="92" t="s">
        <v>1377</v>
      </c>
      <c r="G12" s="92" t="s">
        <v>7744</v>
      </c>
      <c r="H12" s="91"/>
    </row>
    <row r="13" spans="1:8" x14ac:dyDescent="0.2">
      <c r="A13" s="91" t="s">
        <v>5739</v>
      </c>
      <c r="B13" s="91"/>
      <c r="C13" s="91"/>
      <c r="D13" s="91"/>
      <c r="E13" s="91"/>
      <c r="F13" s="91"/>
      <c r="G13" s="91" t="s">
        <v>6823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41"/>
      <c r="D16" s="18" t="s">
        <v>19</v>
      </c>
      <c r="E16" s="18"/>
      <c r="F16" s="17"/>
      <c r="G16" s="16"/>
      <c r="H16" s="15" t="s">
        <v>18</v>
      </c>
    </row>
    <row r="17" spans="1:9" x14ac:dyDescent="0.2">
      <c r="A17" s="91"/>
      <c r="B17" s="91"/>
      <c r="C17" s="91"/>
      <c r="D17" s="91"/>
      <c r="E17" s="91"/>
      <c r="F17" s="91"/>
      <c r="G17" s="91"/>
      <c r="H17" s="91"/>
    </row>
    <row r="18" spans="1:9" x14ac:dyDescent="0.2">
      <c r="D18" s="2" t="s">
        <v>7745</v>
      </c>
      <c r="E18" s="2"/>
      <c r="F18" s="91"/>
      <c r="G18" s="91"/>
      <c r="H18" s="91"/>
    </row>
    <row r="19" spans="1:9" x14ac:dyDescent="0.2">
      <c r="I19" s="91"/>
    </row>
    <row r="20" spans="1:9" x14ac:dyDescent="0.2">
      <c r="A20" s="93" t="s">
        <v>7746</v>
      </c>
      <c r="B20" s="93" t="s">
        <v>7747</v>
      </c>
      <c r="C20" s="93"/>
      <c r="D20" s="91" t="s">
        <v>7748</v>
      </c>
      <c r="E20" s="91"/>
      <c r="F20" s="91"/>
      <c r="G20" s="91"/>
      <c r="H20" s="91">
        <f>640+170+640+85+640+255+320+640+170+200</f>
        <v>3760</v>
      </c>
      <c r="I20" s="91"/>
    </row>
    <row r="21" spans="1:9" x14ac:dyDescent="0.2">
      <c r="A21" s="93"/>
      <c r="B21" s="93"/>
      <c r="C21" s="93"/>
      <c r="D21" s="91" t="s">
        <v>7749</v>
      </c>
      <c r="E21" s="91"/>
      <c r="F21" s="91"/>
      <c r="G21" s="91"/>
      <c r="H21" s="91">
        <f>163.7+133.75+180+117.6+169+107.6+9</f>
        <v>880.65</v>
      </c>
      <c r="I21" s="91"/>
    </row>
    <row r="22" spans="1:9" x14ac:dyDescent="0.2">
      <c r="A22" s="93"/>
      <c r="B22" s="94"/>
      <c r="C22" s="94"/>
      <c r="D22" s="91"/>
      <c r="E22" s="91"/>
      <c r="F22" s="91"/>
      <c r="G22" s="91"/>
      <c r="H22" s="91"/>
      <c r="I22" s="91"/>
    </row>
    <row r="23" spans="1:9" x14ac:dyDescent="0.2">
      <c r="A23" s="93"/>
      <c r="B23" s="94"/>
      <c r="C23" s="94"/>
      <c r="D23" s="91"/>
      <c r="E23" s="91"/>
      <c r="F23" s="91"/>
      <c r="G23" s="91"/>
      <c r="H23" s="91"/>
      <c r="I23" s="91"/>
    </row>
    <row r="24" spans="1:9" x14ac:dyDescent="0.2">
      <c r="A24" s="93"/>
      <c r="B24" s="93"/>
      <c r="C24" s="93"/>
      <c r="D24" s="91"/>
      <c r="E24" s="91"/>
      <c r="F24" s="91"/>
      <c r="G24" s="91"/>
      <c r="H24" s="91"/>
      <c r="I24" s="91"/>
    </row>
    <row r="25" spans="1:9" x14ac:dyDescent="0.2">
      <c r="A25" s="93"/>
      <c r="B25" s="94"/>
      <c r="C25" s="94"/>
      <c r="D25" s="91"/>
      <c r="E25" s="91"/>
      <c r="F25" s="91"/>
      <c r="G25" s="91"/>
      <c r="H25" s="91"/>
      <c r="I25" s="91"/>
    </row>
    <row r="26" spans="1:9" x14ac:dyDescent="0.2">
      <c r="A26" s="93"/>
      <c r="B26" s="94"/>
      <c r="C26" s="94"/>
      <c r="F26" s="91"/>
      <c r="G26" s="91"/>
      <c r="H26" s="91"/>
      <c r="I26" s="91"/>
    </row>
    <row r="27" spans="1:9" x14ac:dyDescent="0.2">
      <c r="A27" s="93"/>
      <c r="B27" s="94"/>
      <c r="C27" s="94"/>
      <c r="D27" s="91"/>
      <c r="E27" s="91"/>
      <c r="F27" s="91"/>
      <c r="G27" s="91"/>
      <c r="H27" s="91"/>
      <c r="I27" s="91"/>
    </row>
    <row r="28" spans="1:9" x14ac:dyDescent="0.2">
      <c r="A28" s="93"/>
      <c r="B28" s="94"/>
      <c r="C28" s="94"/>
      <c r="D28" s="91"/>
      <c r="E28" s="91"/>
      <c r="F28" s="91"/>
      <c r="G28" s="91"/>
      <c r="H28" s="91"/>
      <c r="I28" s="91"/>
    </row>
    <row r="29" spans="1:9" x14ac:dyDescent="0.2">
      <c r="A29" s="93"/>
      <c r="B29" s="94"/>
      <c r="C29" s="94"/>
      <c r="I29" s="91"/>
    </row>
    <row r="30" spans="1:9" x14ac:dyDescent="0.2">
      <c r="A30" s="93"/>
      <c r="B30" s="94"/>
      <c r="C30" s="94"/>
      <c r="I30" s="91"/>
    </row>
    <row r="31" spans="1:9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9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ht="13.5" thickBot="1" x14ac:dyDescent="0.25">
      <c r="A34" s="91"/>
      <c r="B34" s="91"/>
      <c r="C34" s="91"/>
      <c r="D34" s="91"/>
      <c r="E34" s="91"/>
      <c r="F34" s="91"/>
      <c r="G34" s="91"/>
      <c r="H34" s="107">
        <f>SUM(H20:H33)</f>
        <v>4640.6499999999996</v>
      </c>
      <c r="I34" s="91"/>
    </row>
    <row r="35" spans="1:9" ht="13.5" thickTop="1" x14ac:dyDescent="0.2">
      <c r="A35" s="91"/>
      <c r="B35" s="91"/>
      <c r="C35" s="91"/>
      <c r="D35" s="91"/>
      <c r="E35" s="91"/>
      <c r="F35" s="91"/>
      <c r="G35" s="91"/>
      <c r="I35" s="91"/>
    </row>
    <row r="36" spans="1:9" x14ac:dyDescent="0.2">
      <c r="A36" s="91"/>
      <c r="B36" s="91"/>
      <c r="C36" s="91"/>
      <c r="D36" s="91"/>
      <c r="E36" s="91"/>
    </row>
    <row r="37" spans="1:9" ht="20.100000000000001" customHeight="1" x14ac:dyDescent="0.2">
      <c r="A37" s="96" t="s">
        <v>122</v>
      </c>
      <c r="B37" s="185" t="str">
        <f>IF(OR(H34&gt;1000000,H34&lt;=0),"",IF(H34&lt;1000,"",IF(MOD(H34,1000000)&gt;=100000,INDEX(numbers,TRUNC(MOD(H34,1000000)/100000,0)+1)&amp;" Hundred","")&amp;IF(MOD(H34,100000)&gt;=20000," "&amp;INDEX(teb,TRUNC(MOD(H34,100000)/10000,0)+1)&amp;IF(MOD(MOD(H34,100000),10000)&gt;=1000,"-"&amp;INDEX(numbers,TRUNC(MOD(MOD(H34,100000),10000)/1000,0)+1),""),IF(MOD(H34,100000)&gt;=1000,"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"&amp;INDEX(teb,TRUNC(MOD(H34,100)/10,0)+1)&amp;IF(MOD(MOD(H34,100),10)&gt;=1,"-"&amp;INDEX(numbers,TRUNC(MOD(MOD(H34,100),10),0)+1),""),IF(MOD(H34,100)&gt;=1,"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Four Thousand Six Hundred Forty and 65/100 -----------</v>
      </c>
      <c r="C37" s="185"/>
      <c r="D37" s="97"/>
      <c r="E37" s="222"/>
      <c r="F37" s="222"/>
      <c r="G37" s="222"/>
      <c r="H37" s="222"/>
      <c r="I37" s="91"/>
    </row>
    <row r="38" spans="1:9" ht="20.100000000000001" customHeight="1" x14ac:dyDescent="0.2">
      <c r="A38" s="113"/>
      <c r="B38" s="103"/>
      <c r="C38" s="103"/>
      <c r="D38" s="61"/>
      <c r="E38" s="61"/>
      <c r="F38" s="222"/>
      <c r="G38" s="222"/>
      <c r="H38" s="222"/>
      <c r="I38" s="91"/>
    </row>
    <row r="39" spans="1:9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  <c r="I39" s="91"/>
    </row>
    <row r="40" spans="1:9" x14ac:dyDescent="0.2">
      <c r="A40" s="91"/>
      <c r="B40" s="91"/>
      <c r="C40" s="91"/>
      <c r="D40" s="91"/>
      <c r="E40" s="91"/>
      <c r="F40" s="228"/>
      <c r="G40" s="229"/>
      <c r="H40" s="229"/>
    </row>
    <row r="41" spans="1:9" x14ac:dyDescent="0.2">
      <c r="B41" s="91"/>
      <c r="C41" s="91"/>
      <c r="D41" s="99"/>
      <c r="E41" s="442"/>
      <c r="F41" s="91"/>
      <c r="G41" s="91"/>
      <c r="H41" s="91"/>
    </row>
    <row r="42" spans="1:9" x14ac:dyDescent="0.2">
      <c r="A42" s="91"/>
      <c r="B42" s="91"/>
      <c r="C42" s="91"/>
      <c r="D42" s="99"/>
      <c r="E42" s="442"/>
      <c r="F42" s="91"/>
      <c r="G42" s="91"/>
      <c r="H42" s="91"/>
    </row>
    <row r="43" spans="1:9" x14ac:dyDescent="0.2">
      <c r="A43" s="101"/>
      <c r="B43" s="101"/>
      <c r="C43" s="386"/>
      <c r="D43" s="91"/>
      <c r="E43" s="91"/>
      <c r="F43" s="91"/>
      <c r="G43" s="91"/>
      <c r="H43" s="91"/>
    </row>
    <row r="44" spans="1:9" x14ac:dyDescent="0.2">
      <c r="B44" s="91"/>
      <c r="C44" s="91"/>
      <c r="D44" s="91"/>
      <c r="E44" s="91"/>
      <c r="F44" s="91"/>
      <c r="G44" s="91"/>
      <c r="H44" s="91"/>
    </row>
    <row r="45" spans="1:9" x14ac:dyDescent="0.2">
      <c r="A45" s="98" t="s">
        <v>8</v>
      </c>
      <c r="D45" s="98" t="s">
        <v>8</v>
      </c>
      <c r="E45" s="91"/>
      <c r="F45" s="98" t="s">
        <v>7</v>
      </c>
      <c r="G45" s="91"/>
      <c r="H45" s="102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209" t="s">
        <v>4066</v>
      </c>
      <c r="B50" s="104"/>
      <c r="C50" s="104"/>
      <c r="D50" s="209" t="s">
        <v>7647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FA52-0D79-44A6-B957-CE1BF7F83D53}">
  <sheetPr codeName="Sheet686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  <c r="E8" s="251"/>
    </row>
    <row r="9" spans="1:7" x14ac:dyDescent="0.2">
      <c r="D9" s="92" t="s">
        <v>1334</v>
      </c>
      <c r="E9" s="91" t="s">
        <v>6998</v>
      </c>
      <c r="G9" s="61"/>
    </row>
    <row r="10" spans="1:7" x14ac:dyDescent="0.2">
      <c r="A10" s="91" t="s">
        <v>6972</v>
      </c>
      <c r="D10" s="92" t="s">
        <v>1335</v>
      </c>
      <c r="E10" s="92" t="s">
        <v>6951</v>
      </c>
      <c r="G10" s="113"/>
    </row>
    <row r="11" spans="1:7" x14ac:dyDescent="0.2">
      <c r="A11" s="91" t="s">
        <v>6976</v>
      </c>
      <c r="D11" s="92" t="s">
        <v>1333</v>
      </c>
      <c r="E11" s="92" t="s">
        <v>1220</v>
      </c>
      <c r="G11" s="113"/>
    </row>
    <row r="12" spans="1:7" x14ac:dyDescent="0.2">
      <c r="A12" s="91" t="s">
        <v>6973</v>
      </c>
      <c r="D12" s="92" t="s">
        <v>1331</v>
      </c>
      <c r="E12" s="94" t="s">
        <v>6999</v>
      </c>
      <c r="G12" s="113"/>
    </row>
    <row r="13" spans="1:7" x14ac:dyDescent="0.2">
      <c r="A13" s="91" t="s">
        <v>6974</v>
      </c>
    </row>
    <row r="14" spans="1:7" x14ac:dyDescent="0.2">
      <c r="A14" s="91" t="s">
        <v>6975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B18" s="111"/>
      <c r="C18" s="2" t="s">
        <v>7000</v>
      </c>
      <c r="I18" s="91"/>
      <c r="J18" s="91"/>
      <c r="K18" s="91"/>
      <c r="L18" s="91"/>
    </row>
    <row r="19" spans="1:12" x14ac:dyDescent="0.2">
      <c r="C19" s="2"/>
      <c r="I19" s="91"/>
      <c r="J19" s="91"/>
      <c r="K19" s="91"/>
      <c r="L19" s="110"/>
    </row>
    <row r="20" spans="1:12" x14ac:dyDescent="0.2">
      <c r="A20" s="93" t="s">
        <v>6987</v>
      </c>
      <c r="B20" s="93" t="s">
        <v>6872</v>
      </c>
      <c r="C20" s="91" t="s">
        <v>7001</v>
      </c>
      <c r="F20" s="110">
        <f>300*9</f>
        <v>2700</v>
      </c>
      <c r="I20" s="91"/>
      <c r="J20" s="91"/>
      <c r="K20" s="91"/>
      <c r="L20" s="91"/>
    </row>
    <row r="21" spans="1:12" x14ac:dyDescent="0.2">
      <c r="A21" s="93"/>
      <c r="B21" s="93"/>
      <c r="C21" s="91" t="s">
        <v>7002</v>
      </c>
      <c r="F21" s="110">
        <f>3*18</f>
        <v>54</v>
      </c>
      <c r="I21" s="91"/>
      <c r="J21" s="91"/>
      <c r="K21" s="91"/>
      <c r="L21" s="91"/>
    </row>
    <row r="22" spans="1:12" x14ac:dyDescent="0.2">
      <c r="C22" s="91" t="s">
        <v>6650</v>
      </c>
      <c r="F22" s="91">
        <v>180</v>
      </c>
      <c r="I22" s="91"/>
      <c r="J22" s="91"/>
      <c r="K22" s="91"/>
      <c r="L22" s="110"/>
    </row>
    <row r="23" spans="1:12" x14ac:dyDescent="0.2">
      <c r="A23" s="93"/>
      <c r="B23" s="99"/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31" spans="1:12" x14ac:dyDescent="0.2">
      <c r="A31" s="93"/>
      <c r="B31" s="111"/>
    </row>
    <row r="36" spans="1:6" ht="13.5" thickBot="1" x14ac:dyDescent="0.25">
      <c r="F36" s="95">
        <f>SUM(F18:F35)</f>
        <v>2934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Thousand Nine Hundred Thirty-Four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6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19A3-7215-488E-A340-75DB27762361}">
  <sheetPr codeName="Sheet664">
    <pageSetUpPr fitToPage="1"/>
  </sheetPr>
  <dimension ref="A1:K52"/>
  <sheetViews>
    <sheetView view="pageBreakPreview" zoomScale="115" zoomScaleNormal="100" zoomScaleSheetLayoutView="115" workbookViewId="0">
      <selection activeCell="K16" sqref="K16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1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1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1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1" x14ac:dyDescent="0.2">
      <c r="A8" s="91" t="s">
        <v>32</v>
      </c>
      <c r="F8" s="22" t="s">
        <v>31</v>
      </c>
    </row>
    <row r="9" spans="1:11" x14ac:dyDescent="0.2">
      <c r="F9" s="92" t="s">
        <v>1317</v>
      </c>
      <c r="G9" s="91" t="s">
        <v>6603</v>
      </c>
      <c r="K9" s="1" t="s">
        <v>8448</v>
      </c>
    </row>
    <row r="10" spans="1:11" x14ac:dyDescent="0.2">
      <c r="A10" s="91" t="s">
        <v>6606</v>
      </c>
      <c r="F10" s="92" t="s">
        <v>1329</v>
      </c>
      <c r="G10" s="92" t="s">
        <v>6605</v>
      </c>
      <c r="K10" s="1" t="s">
        <v>8443</v>
      </c>
    </row>
    <row r="11" spans="1:11" x14ac:dyDescent="0.2">
      <c r="A11" s="91" t="s">
        <v>6607</v>
      </c>
      <c r="F11" s="92" t="s">
        <v>1330</v>
      </c>
      <c r="G11" s="92" t="s">
        <v>1220</v>
      </c>
      <c r="K11" s="1" t="s">
        <v>2625</v>
      </c>
    </row>
    <row r="12" spans="1:11" x14ac:dyDescent="0.2">
      <c r="A12" s="91" t="s">
        <v>6608</v>
      </c>
      <c r="F12" s="92" t="s">
        <v>1377</v>
      </c>
      <c r="G12" s="92" t="s">
        <v>6604</v>
      </c>
      <c r="K12" s="1" t="s">
        <v>8449</v>
      </c>
    </row>
    <row r="13" spans="1:11" x14ac:dyDescent="0.2">
      <c r="A13" s="91" t="s">
        <v>1015</v>
      </c>
      <c r="K13" s="1" t="s">
        <v>7762</v>
      </c>
    </row>
    <row r="16" spans="1:11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6609</v>
      </c>
      <c r="E18" s="2"/>
    </row>
    <row r="19" spans="1:8" x14ac:dyDescent="0.2">
      <c r="A19" s="106"/>
    </row>
    <row r="20" spans="1:8" x14ac:dyDescent="0.2">
      <c r="A20" s="93" t="s">
        <v>6568</v>
      </c>
      <c r="B20" s="93" t="s">
        <v>6610</v>
      </c>
      <c r="C20" s="93"/>
      <c r="D20" s="94" t="s">
        <v>6611</v>
      </c>
      <c r="E20" s="94"/>
      <c r="H20" s="91">
        <f>240*9</f>
        <v>2160</v>
      </c>
    </row>
    <row r="21" spans="1:8" x14ac:dyDescent="0.2">
      <c r="A21" s="92"/>
      <c r="B21" s="93"/>
      <c r="C21" s="93"/>
      <c r="D21" s="94"/>
      <c r="E21" s="94"/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2160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Thousand One Hundred Sixty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1"/>
      <c r="G39" s="1"/>
      <c r="H39" s="1"/>
    </row>
    <row r="40" spans="1:8" x14ac:dyDescent="0.2">
      <c r="A40" s="91" t="s">
        <v>120</v>
      </c>
      <c r="D40" s="99"/>
      <c r="E40" s="99"/>
    </row>
    <row r="41" spans="1:8" x14ac:dyDescent="0.2">
      <c r="A41" s="101"/>
      <c r="B41" s="101"/>
      <c r="D41" s="99"/>
      <c r="E41" s="99"/>
    </row>
    <row r="42" spans="1:8" x14ac:dyDescent="0.2">
      <c r="F42" s="227"/>
      <c r="G42" s="227"/>
      <c r="H42" s="227"/>
    </row>
    <row r="43" spans="1:8" x14ac:dyDescent="0.2">
      <c r="A43" s="91" t="s">
        <v>8</v>
      </c>
      <c r="F43" s="98" t="s">
        <v>7</v>
      </c>
      <c r="G43" s="229"/>
      <c r="H43" s="229"/>
    </row>
    <row r="44" spans="1:8" x14ac:dyDescent="0.2">
      <c r="A44" s="1"/>
      <c r="D44" s="1"/>
    </row>
    <row r="47" spans="1:8" x14ac:dyDescent="0.2">
      <c r="A47" s="101" t="s">
        <v>120</v>
      </c>
      <c r="B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/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6971-821B-4107-908C-47C45F6966C4}">
  <sheetPr codeName="Sheet777">
    <pageSetUpPr fitToPage="1"/>
  </sheetPr>
  <dimension ref="A1:K52"/>
  <sheetViews>
    <sheetView view="pageBreakPreview" zoomScale="115" zoomScaleNormal="100" zoomScaleSheetLayoutView="115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11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1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1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1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1" x14ac:dyDescent="0.2">
      <c r="A8" s="91" t="s">
        <v>32</v>
      </c>
      <c r="F8" s="22" t="s">
        <v>31</v>
      </c>
    </row>
    <row r="9" spans="1:11" x14ac:dyDescent="0.2">
      <c r="F9" s="92" t="s">
        <v>1317</v>
      </c>
      <c r="G9" s="91" t="s">
        <v>8450</v>
      </c>
      <c r="K9" s="1" t="s">
        <v>8448</v>
      </c>
    </row>
    <row r="10" spans="1:11" x14ac:dyDescent="0.2">
      <c r="A10" s="91" t="s">
        <v>8452</v>
      </c>
      <c r="F10" s="92" t="s">
        <v>1329</v>
      </c>
      <c r="G10" s="92" t="s">
        <v>8443</v>
      </c>
      <c r="K10" s="1" t="s">
        <v>8443</v>
      </c>
    </row>
    <row r="11" spans="1:11" x14ac:dyDescent="0.2">
      <c r="A11" s="91" t="s">
        <v>6607</v>
      </c>
      <c r="F11" s="92" t="s">
        <v>1330</v>
      </c>
      <c r="G11" s="92" t="s">
        <v>2625</v>
      </c>
      <c r="K11" s="1" t="s">
        <v>2625</v>
      </c>
    </row>
    <row r="12" spans="1:11" x14ac:dyDescent="0.2">
      <c r="A12" s="91" t="s">
        <v>6608</v>
      </c>
      <c r="F12" s="92" t="s">
        <v>1377</v>
      </c>
      <c r="G12" s="92" t="s">
        <v>8451</v>
      </c>
      <c r="K12" s="1" t="s">
        <v>8449</v>
      </c>
    </row>
    <row r="13" spans="1:11" x14ac:dyDescent="0.2">
      <c r="A13" s="91" t="s">
        <v>1015</v>
      </c>
      <c r="G13" s="91" t="s">
        <v>7762</v>
      </c>
      <c r="K13" s="1" t="s">
        <v>7762</v>
      </c>
    </row>
    <row r="16" spans="1:11" s="14" customFormat="1" ht="20.100000000000001" customHeight="1" x14ac:dyDescent="0.2">
      <c r="A16" s="17" t="s">
        <v>1247</v>
      </c>
      <c r="B16" s="491" t="s">
        <v>128</v>
      </c>
      <c r="C16" s="49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8453</v>
      </c>
      <c r="E18" s="2"/>
    </row>
    <row r="19" spans="1:8" x14ac:dyDescent="0.2">
      <c r="A19" s="106"/>
      <c r="D19" s="2" t="s">
        <v>8454</v>
      </c>
    </row>
    <row r="21" spans="1:8" x14ac:dyDescent="0.2">
      <c r="A21" s="93" t="s">
        <v>8455</v>
      </c>
      <c r="B21" s="93" t="s">
        <v>8456</v>
      </c>
      <c r="C21" s="93"/>
      <c r="D21" s="94" t="s">
        <v>8457</v>
      </c>
      <c r="E21" s="94"/>
      <c r="H21" s="91">
        <f>35*35</f>
        <v>1225</v>
      </c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1225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Two Hundred Twenty-Five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1"/>
      <c r="G39" s="1"/>
      <c r="H39" s="1"/>
    </row>
    <row r="40" spans="1:8" x14ac:dyDescent="0.2">
      <c r="A40" s="91" t="s">
        <v>120</v>
      </c>
      <c r="D40" s="492"/>
      <c r="E40" s="492"/>
    </row>
    <row r="41" spans="1:8" x14ac:dyDescent="0.2">
      <c r="A41" s="101"/>
      <c r="B41" s="101"/>
      <c r="D41" s="492"/>
      <c r="E41" s="492"/>
    </row>
    <row r="42" spans="1:8" x14ac:dyDescent="0.2">
      <c r="F42" s="227"/>
      <c r="G42" s="227"/>
      <c r="H42" s="227"/>
    </row>
    <row r="43" spans="1:8" x14ac:dyDescent="0.2">
      <c r="A43" s="91" t="s">
        <v>8</v>
      </c>
      <c r="D43" s="91" t="s">
        <v>8</v>
      </c>
      <c r="F43" s="98" t="s">
        <v>7</v>
      </c>
      <c r="G43" s="229"/>
      <c r="H43" s="229"/>
    </row>
    <row r="44" spans="1:8" x14ac:dyDescent="0.2">
      <c r="A44" s="1"/>
      <c r="D44" s="1"/>
    </row>
    <row r="47" spans="1:8" x14ac:dyDescent="0.2">
      <c r="A47" s="101" t="s">
        <v>120</v>
      </c>
      <c r="B47" s="101"/>
      <c r="D47" s="101" t="s">
        <v>120</v>
      </c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 t="s">
        <v>50</v>
      </c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5562-F435-4B5F-A913-505BB606E6E4}">
  <sheetPr codeName="Sheet708"/>
  <dimension ref="A1:P54"/>
  <sheetViews>
    <sheetView view="pageBreakPreview" zoomScaleNormal="100" zoomScaleSheetLayoutView="100" workbookViewId="0">
      <selection activeCell="G9" sqref="G9:G1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5" width="9.140625" style="1"/>
    <col min="16" max="16" width="12.28515625" style="1" bestFit="1" customWidth="1"/>
    <col min="17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16" x14ac:dyDescent="0.2">
      <c r="J7" s="366"/>
      <c r="K7" s="366"/>
    </row>
    <row r="8" spans="1:16" x14ac:dyDescent="0.2">
      <c r="A8" s="91" t="s">
        <v>32</v>
      </c>
      <c r="F8" s="22" t="s">
        <v>31</v>
      </c>
      <c r="J8" s="366"/>
      <c r="K8" s="366"/>
    </row>
    <row r="9" spans="1:16" x14ac:dyDescent="0.2">
      <c r="F9" s="92" t="s">
        <v>1317</v>
      </c>
      <c r="G9" s="155" t="s">
        <v>8033</v>
      </c>
      <c r="J9" s="366"/>
      <c r="K9" s="366"/>
    </row>
    <row r="10" spans="1:16" x14ac:dyDescent="0.2">
      <c r="A10" s="91" t="s">
        <v>7144</v>
      </c>
      <c r="F10" s="92" t="s">
        <v>1329</v>
      </c>
      <c r="G10" s="155" t="s">
        <v>8021</v>
      </c>
      <c r="J10" s="366"/>
      <c r="K10" s="366"/>
    </row>
    <row r="11" spans="1:16" x14ac:dyDescent="0.2">
      <c r="A11" s="91" t="s">
        <v>7145</v>
      </c>
      <c r="F11" s="92" t="s">
        <v>1330</v>
      </c>
      <c r="G11" s="155" t="s">
        <v>1220</v>
      </c>
      <c r="J11" s="366"/>
      <c r="K11" s="366"/>
    </row>
    <row r="12" spans="1:16" x14ac:dyDescent="0.2">
      <c r="A12" s="91" t="s">
        <v>7146</v>
      </c>
      <c r="F12" s="92" t="s">
        <v>1331</v>
      </c>
      <c r="G12" s="91" t="s">
        <v>8034</v>
      </c>
    </row>
    <row r="13" spans="1:16" x14ac:dyDescent="0.2">
      <c r="A13" s="91" t="s">
        <v>7147</v>
      </c>
      <c r="G13" s="91" t="s">
        <v>7914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L16" s="91"/>
      <c r="M16" s="91"/>
      <c r="N16" s="91"/>
      <c r="O16" s="91"/>
      <c r="P16" s="91"/>
    </row>
    <row r="17" spans="1:16" x14ac:dyDescent="0.2">
      <c r="A17" s="106"/>
      <c r="L17" s="91"/>
      <c r="M17" s="91"/>
      <c r="N17" s="91"/>
      <c r="O17" s="91"/>
      <c r="P17" s="91"/>
    </row>
    <row r="18" spans="1:16" x14ac:dyDescent="0.2">
      <c r="D18" s="2" t="s">
        <v>8035</v>
      </c>
      <c r="E18" s="2"/>
      <c r="L18" s="91"/>
      <c r="M18" s="91"/>
      <c r="N18" s="91"/>
      <c r="O18" s="91"/>
      <c r="P18" s="91"/>
    </row>
    <row r="19" spans="1:16" x14ac:dyDescent="0.2">
      <c r="A19" s="106"/>
      <c r="D19" s="2"/>
      <c r="E19" s="2"/>
      <c r="L19" s="91"/>
      <c r="M19" s="91"/>
      <c r="N19" s="91"/>
      <c r="O19" s="91"/>
      <c r="P19" s="91"/>
    </row>
    <row r="20" spans="1:16" x14ac:dyDescent="0.2">
      <c r="A20" s="93" t="s">
        <v>8036</v>
      </c>
      <c r="B20" s="93" t="s">
        <v>8037</v>
      </c>
      <c r="D20" s="91" t="s">
        <v>8038</v>
      </c>
      <c r="H20" s="91">
        <v>1500</v>
      </c>
      <c r="L20" s="91" t="s">
        <v>7780</v>
      </c>
      <c r="M20" s="91"/>
      <c r="N20" s="91"/>
      <c r="O20" s="91"/>
      <c r="P20" s="91">
        <v>26000</v>
      </c>
    </row>
    <row r="21" spans="1:16" x14ac:dyDescent="0.2">
      <c r="A21" s="93"/>
      <c r="B21" s="94"/>
      <c r="C21" s="94"/>
      <c r="L21" s="91" t="s">
        <v>7149</v>
      </c>
      <c r="M21" s="91"/>
      <c r="N21" s="91"/>
      <c r="O21" s="91"/>
      <c r="P21" s="91"/>
    </row>
    <row r="22" spans="1:16" x14ac:dyDescent="0.2">
      <c r="A22" s="93"/>
      <c r="B22" s="93"/>
      <c r="C22" s="93"/>
      <c r="D22" s="143"/>
      <c r="L22" s="143" t="s">
        <v>7150</v>
      </c>
      <c r="M22" s="91"/>
      <c r="N22" s="91"/>
      <c r="O22" s="91"/>
      <c r="P22" s="91"/>
    </row>
    <row r="23" spans="1:16" x14ac:dyDescent="0.2">
      <c r="A23" s="93"/>
      <c r="B23" s="93"/>
      <c r="C23" s="93"/>
      <c r="N23" s="2"/>
      <c r="O23" s="91"/>
      <c r="P23" s="91"/>
    </row>
    <row r="24" spans="1:16" x14ac:dyDescent="0.2">
      <c r="A24" s="93"/>
      <c r="B24" s="99"/>
      <c r="C24" s="99"/>
      <c r="L24" s="2"/>
      <c r="M24" s="2"/>
      <c r="N24" s="91"/>
      <c r="O24" s="91"/>
      <c r="P24" s="91"/>
    </row>
    <row r="25" spans="1:16" x14ac:dyDescent="0.2">
      <c r="A25" s="93"/>
      <c r="B25" s="93"/>
      <c r="C25" s="93"/>
      <c r="L25" s="91" t="s">
        <v>7148</v>
      </c>
      <c r="M25" s="91"/>
      <c r="N25" s="91"/>
      <c r="O25" s="91"/>
      <c r="P25" s="91">
        <v>26000</v>
      </c>
    </row>
    <row r="26" spans="1:16" x14ac:dyDescent="0.2">
      <c r="A26" s="93"/>
      <c r="B26" s="94"/>
      <c r="C26" s="94"/>
      <c r="L26" s="91" t="s">
        <v>7149</v>
      </c>
      <c r="M26" s="91"/>
      <c r="N26" s="91"/>
      <c r="O26" s="91"/>
      <c r="P26" s="91"/>
    </row>
    <row r="27" spans="1:16" x14ac:dyDescent="0.2">
      <c r="A27" s="93"/>
      <c r="B27" s="99"/>
      <c r="C27" s="99"/>
      <c r="L27" s="143" t="s">
        <v>7150</v>
      </c>
      <c r="M27" s="91"/>
      <c r="N27" s="91"/>
      <c r="O27" s="91"/>
      <c r="P27" s="91"/>
    </row>
    <row r="28" spans="1:16" x14ac:dyDescent="0.2">
      <c r="A28" s="93"/>
      <c r="B28" s="93"/>
      <c r="C28" s="93"/>
      <c r="L28" s="91"/>
      <c r="M28" s="91"/>
      <c r="N28" s="91"/>
      <c r="O28" s="91"/>
      <c r="P28" s="91"/>
    </row>
    <row r="29" spans="1:16" x14ac:dyDescent="0.2">
      <c r="A29" s="93"/>
      <c r="B29" s="93"/>
      <c r="C29" s="93"/>
      <c r="L29" s="91" t="s">
        <v>7151</v>
      </c>
      <c r="M29" s="91"/>
      <c r="N29" s="91"/>
      <c r="O29" s="91"/>
      <c r="P29" s="91">
        <v>8000</v>
      </c>
    </row>
    <row r="30" spans="1:16" x14ac:dyDescent="0.2">
      <c r="A30" s="93"/>
      <c r="B30" s="93"/>
      <c r="C30" s="93"/>
    </row>
    <row r="31" spans="1:16" x14ac:dyDescent="0.2">
      <c r="A31" s="93"/>
      <c r="B31" s="93"/>
      <c r="C31" s="93"/>
    </row>
    <row r="32" spans="1:16" x14ac:dyDescent="0.2">
      <c r="A32" s="93"/>
      <c r="B32" s="93"/>
      <c r="C32" s="93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1500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Five Hundred and NO/100 -----------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</row>
    <row r="43" spans="1:8" x14ac:dyDescent="0.2">
      <c r="D43" s="61"/>
    </row>
    <row r="44" spans="1:8" x14ac:dyDescent="0.2">
      <c r="D44" s="6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0"/>
  <dimension ref="A1:H56"/>
  <sheetViews>
    <sheetView workbookViewId="0">
      <selection activeCell="G9" sqref="G9:G14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85546875" style="1" customWidth="1"/>
    <col min="4" max="4" width="23" style="1" customWidth="1"/>
    <col min="5" max="5" width="0.855468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8920</v>
      </c>
      <c r="H9" s="91"/>
    </row>
    <row r="10" spans="1:8" x14ac:dyDescent="0.2">
      <c r="A10" s="91" t="s">
        <v>8535</v>
      </c>
      <c r="B10" s="91"/>
      <c r="C10" s="91"/>
      <c r="D10" s="91"/>
      <c r="E10" s="91"/>
      <c r="F10" s="92" t="s">
        <v>1357</v>
      </c>
      <c r="G10" s="98" t="s">
        <v>8898</v>
      </c>
      <c r="H10" s="91"/>
    </row>
    <row r="11" spans="1:8" x14ac:dyDescent="0.2">
      <c r="A11" s="91" t="s">
        <v>1228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8536</v>
      </c>
      <c r="B12" s="91"/>
      <c r="C12" s="91"/>
      <c r="D12" s="91"/>
      <c r="E12" s="91"/>
      <c r="F12" s="92" t="s">
        <v>1224</v>
      </c>
      <c r="G12" s="94" t="s">
        <v>8921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7559</v>
      </c>
      <c r="C16" s="409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1230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 t="s">
        <v>8533</v>
      </c>
      <c r="E19" s="2"/>
      <c r="F19" s="91"/>
      <c r="G19" s="91"/>
      <c r="H19" s="91"/>
    </row>
    <row r="20" spans="1:8" x14ac:dyDescent="0.2">
      <c r="A20" s="106"/>
      <c r="B20" s="91"/>
      <c r="C20" s="91"/>
      <c r="F20" s="91"/>
      <c r="G20" s="91"/>
      <c r="H20" s="91"/>
    </row>
    <row r="21" spans="1:8" x14ac:dyDescent="0.2">
      <c r="A21" s="105" t="s">
        <v>8534</v>
      </c>
      <c r="B21" s="91"/>
      <c r="C21" s="91"/>
      <c r="D21" s="91" t="s">
        <v>1967</v>
      </c>
      <c r="E21" s="91"/>
      <c r="H21" s="91">
        <v>350</v>
      </c>
    </row>
    <row r="22" spans="1:8" x14ac:dyDescent="0.2">
      <c r="A22" s="137"/>
      <c r="B22" s="91"/>
      <c r="C22" s="91"/>
      <c r="D22" s="91" t="s">
        <v>8922</v>
      </c>
      <c r="E22" s="91"/>
      <c r="F22" s="91"/>
      <c r="G22" s="91"/>
      <c r="H22" s="91"/>
    </row>
    <row r="23" spans="1:8" x14ac:dyDescent="0.2">
      <c r="A23" s="106"/>
      <c r="B23" s="91"/>
      <c r="C23" s="91"/>
      <c r="D23" s="143"/>
      <c r="E23" s="143"/>
      <c r="F23" s="91"/>
      <c r="G23" s="91"/>
      <c r="H23" s="91"/>
    </row>
    <row r="25" spans="1:8" x14ac:dyDescent="0.2">
      <c r="A25" s="137"/>
      <c r="B25" s="91"/>
      <c r="C25" s="91"/>
    </row>
    <row r="26" spans="1:8" x14ac:dyDescent="0.2">
      <c r="A26" s="106"/>
      <c r="B26" s="91"/>
      <c r="C26" s="91"/>
    </row>
    <row r="27" spans="1:8" x14ac:dyDescent="0.2">
      <c r="A27" s="91"/>
      <c r="B27" s="91"/>
      <c r="C27" s="91"/>
      <c r="D27" s="91"/>
      <c r="E27" s="91"/>
      <c r="F27" s="91"/>
      <c r="G27" s="91"/>
      <c r="H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350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Fifty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99"/>
      <c r="E42" s="410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647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42578125" style="91" customWidth="1"/>
    <col min="4" max="4" width="21" style="91" customWidth="1"/>
    <col min="5" max="5" width="1.28515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5" t="s">
        <v>8581</v>
      </c>
    </row>
    <row r="10" spans="1:8" x14ac:dyDescent="0.2">
      <c r="A10" s="91" t="s">
        <v>6403</v>
      </c>
      <c r="F10" s="92" t="s">
        <v>1329</v>
      </c>
      <c r="G10" s="155" t="s">
        <v>8559</v>
      </c>
    </row>
    <row r="11" spans="1:8" x14ac:dyDescent="0.2">
      <c r="A11" s="91" t="s">
        <v>6404</v>
      </c>
      <c r="F11" s="92" t="s">
        <v>1330</v>
      </c>
      <c r="G11" s="155" t="s">
        <v>1220</v>
      </c>
    </row>
    <row r="12" spans="1:8" x14ac:dyDescent="0.2">
      <c r="A12" s="91" t="s">
        <v>1862</v>
      </c>
      <c r="F12" s="92" t="s">
        <v>1377</v>
      </c>
      <c r="G12" s="91" t="s">
        <v>8582</v>
      </c>
    </row>
    <row r="13" spans="1:8" x14ac:dyDescent="0.2">
      <c r="G13" s="91" t="s">
        <v>7931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500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4118</v>
      </c>
      <c r="E18" s="2"/>
    </row>
    <row r="19" spans="1:8" x14ac:dyDescent="0.2">
      <c r="A19" s="106"/>
      <c r="D19" s="2"/>
      <c r="E19" s="2"/>
    </row>
    <row r="20" spans="1:8" x14ac:dyDescent="0.2">
      <c r="A20" s="92"/>
      <c r="B20" s="93"/>
      <c r="C20" s="93"/>
      <c r="D20" s="91" t="s">
        <v>8583</v>
      </c>
      <c r="H20" s="91">
        <f>490+1760+1650</f>
        <v>3900</v>
      </c>
    </row>
    <row r="21" spans="1:8" x14ac:dyDescent="0.2">
      <c r="A21" s="106"/>
      <c r="D21" s="91" t="s">
        <v>8584</v>
      </c>
      <c r="H21" s="91">
        <f>490+1760+1760</f>
        <v>4010</v>
      </c>
    </row>
    <row r="22" spans="1:8" x14ac:dyDescent="0.2">
      <c r="A22" s="286"/>
    </row>
    <row r="23" spans="1:8" x14ac:dyDescent="0.2">
      <c r="A23" s="287"/>
    </row>
    <row r="24" spans="1:8" x14ac:dyDescent="0.2">
      <c r="A24" s="287"/>
    </row>
    <row r="25" spans="1:8" x14ac:dyDescent="0.2">
      <c r="A25" s="286"/>
      <c r="D25" s="94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SUM(H19:H33)</f>
        <v>7910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 Thousand Nine Hundred Ten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388"/>
      <c r="G38" s="388"/>
      <c r="H38" s="388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501"/>
    </row>
    <row r="42" spans="1:8" x14ac:dyDescent="0.2">
      <c r="A42" s="91" t="s">
        <v>120</v>
      </c>
      <c r="D42" s="99"/>
      <c r="E42" s="501"/>
    </row>
    <row r="43" spans="1:8" x14ac:dyDescent="0.2">
      <c r="A43" s="101"/>
      <c r="B43" s="101"/>
      <c r="C43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C49" s="386"/>
      <c r="D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7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2-000000000000}">
  <sheetPr codeName="Sheet644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1" t="s">
        <v>6392</v>
      </c>
    </row>
    <row r="10" spans="1:6" x14ac:dyDescent="0.2">
      <c r="A10" s="91" t="s">
        <v>6394</v>
      </c>
      <c r="D10" s="92" t="s">
        <v>1356</v>
      </c>
      <c r="E10" s="92" t="s">
        <v>6370</v>
      </c>
    </row>
    <row r="11" spans="1:6" x14ac:dyDescent="0.2">
      <c r="A11" s="91" t="s">
        <v>6395</v>
      </c>
      <c r="D11" s="92" t="s">
        <v>1364</v>
      </c>
      <c r="E11" s="92" t="s">
        <v>1220</v>
      </c>
    </row>
    <row r="12" spans="1:6" x14ac:dyDescent="0.2">
      <c r="A12" s="91" t="s">
        <v>6396</v>
      </c>
      <c r="D12" s="92" t="s">
        <v>1224</v>
      </c>
      <c r="E12" s="92" t="s">
        <v>6393</v>
      </c>
    </row>
    <row r="13" spans="1:6" x14ac:dyDescent="0.2">
      <c r="A13" s="91" t="s">
        <v>6397</v>
      </c>
    </row>
    <row r="14" spans="1:6" x14ac:dyDescent="0.2">
      <c r="A14" s="91" t="s">
        <v>6398</v>
      </c>
    </row>
    <row r="15" spans="1:6" x14ac:dyDescent="0.2">
      <c r="A15" s="91" t="s">
        <v>6399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A18" s="93"/>
      <c r="C18" s="2" t="s">
        <v>3476</v>
      </c>
      <c r="G18" s="193"/>
    </row>
    <row r="19" spans="1:7" x14ac:dyDescent="0.2">
      <c r="A19" s="93"/>
      <c r="B19" s="93"/>
    </row>
    <row r="20" spans="1:7" x14ac:dyDescent="0.2">
      <c r="A20" s="94" t="s">
        <v>6336</v>
      </c>
      <c r="B20" s="93" t="s">
        <v>6400</v>
      </c>
      <c r="C20" s="91" t="s">
        <v>6401</v>
      </c>
      <c r="F20" s="91">
        <v>6000</v>
      </c>
    </row>
    <row r="21" spans="1:7" x14ac:dyDescent="0.2">
      <c r="C21" s="91" t="s">
        <v>6402</v>
      </c>
    </row>
    <row r="22" spans="1:7" x14ac:dyDescent="0.2">
      <c r="A22" s="94"/>
    </row>
    <row r="23" spans="1:7" x14ac:dyDescent="0.2">
      <c r="A23" s="94"/>
    </row>
    <row r="28" spans="1:7" x14ac:dyDescent="0.2">
      <c r="A28" s="93"/>
      <c r="B28" s="93"/>
      <c r="C28" s="94"/>
    </row>
    <row r="33" spans="1:6" ht="13.5" thickBot="1" x14ac:dyDescent="0.25">
      <c r="F33" s="107">
        <f>SUM(F18:F31)</f>
        <v>6000</v>
      </c>
    </row>
    <row r="34" spans="1:6" ht="13.5" thickTop="1" x14ac:dyDescent="0.2">
      <c r="F34" s="101"/>
    </row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Thousand and NO/100 -----------</v>
      </c>
      <c r="C35" s="97"/>
      <c r="D35" s="97"/>
      <c r="E35" s="97"/>
      <c r="F35" s="207"/>
    </row>
    <row r="36" spans="1:6" x14ac:dyDescent="0.2">
      <c r="A36" s="94" t="s">
        <v>11</v>
      </c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7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2-000000000000}">
  <sheetPr codeName="Sheet628">
    <pageSetUpPr fitToPage="1"/>
  </sheetPr>
  <dimension ref="A1:H55"/>
  <sheetViews>
    <sheetView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0.85546875" style="91" customWidth="1"/>
    <col min="4" max="4" width="21" style="91" customWidth="1"/>
    <col min="5" max="5" width="1.42578125" style="91" customWidth="1"/>
    <col min="6" max="6" width="16.42578125" style="91" customWidth="1"/>
    <col min="7" max="7" width="12.57031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5" t="s">
        <v>8216</v>
      </c>
    </row>
    <row r="10" spans="1:8" x14ac:dyDescent="0.2">
      <c r="A10" s="91" t="s">
        <v>6213</v>
      </c>
      <c r="F10" s="92" t="s">
        <v>1357</v>
      </c>
      <c r="G10" s="155" t="s">
        <v>8183</v>
      </c>
    </row>
    <row r="11" spans="1:8" x14ac:dyDescent="0.2">
      <c r="A11" s="91" t="s">
        <v>6214</v>
      </c>
      <c r="F11" s="92" t="s">
        <v>1330</v>
      </c>
      <c r="G11" s="155" t="s">
        <v>1220</v>
      </c>
    </row>
    <row r="12" spans="1:8" x14ac:dyDescent="0.2">
      <c r="A12" s="91" t="s">
        <v>1889</v>
      </c>
      <c r="F12" s="92" t="s">
        <v>1224</v>
      </c>
      <c r="G12" s="91" t="s">
        <v>8217</v>
      </c>
    </row>
    <row r="13" spans="1:8" x14ac:dyDescent="0.2">
      <c r="A13" s="91" t="s">
        <v>1314</v>
      </c>
      <c r="G13" s="91" t="s">
        <v>7914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8080</v>
      </c>
      <c r="E18" s="2"/>
    </row>
    <row r="19" spans="1:8" x14ac:dyDescent="0.2">
      <c r="A19" s="99"/>
      <c r="B19" s="99"/>
      <c r="C19" s="481"/>
      <c r="D19" s="2" t="s">
        <v>8081</v>
      </c>
      <c r="E19" s="2"/>
    </row>
    <row r="21" spans="1:8" x14ac:dyDescent="0.2">
      <c r="A21" s="93" t="s">
        <v>8218</v>
      </c>
      <c r="B21" s="93" t="s">
        <v>8219</v>
      </c>
      <c r="C21" s="93"/>
      <c r="D21" s="91" t="s">
        <v>8220</v>
      </c>
      <c r="H21" s="91">
        <v>4913.2</v>
      </c>
    </row>
    <row r="22" spans="1:8" x14ac:dyDescent="0.2">
      <c r="A22" s="99"/>
      <c r="B22" s="99"/>
      <c r="C22" s="481"/>
      <c r="D22" s="91" t="s">
        <v>6886</v>
      </c>
      <c r="H22" s="91">
        <v>294.8</v>
      </c>
    </row>
    <row r="23" spans="1:8" x14ac:dyDescent="0.2">
      <c r="A23" s="99"/>
      <c r="B23" s="99"/>
      <c r="C23" s="481"/>
      <c r="D23" s="91" t="s">
        <v>5275</v>
      </c>
      <c r="H23" s="91">
        <f>21*2</f>
        <v>42</v>
      </c>
    </row>
    <row r="31" spans="1:8" x14ac:dyDescent="0.2">
      <c r="A31" s="93"/>
      <c r="B31" s="94"/>
      <c r="C31" s="94"/>
    </row>
    <row r="32" spans="1:8" x14ac:dyDescent="0.2">
      <c r="B32" s="94"/>
      <c r="C32" s="94"/>
    </row>
    <row r="33" spans="1:8" x14ac:dyDescent="0.2">
      <c r="B33" s="94"/>
      <c r="C33" s="94"/>
    </row>
    <row r="34" spans="1:8" x14ac:dyDescent="0.2">
      <c r="B34" s="94"/>
      <c r="C34" s="94"/>
    </row>
    <row r="36" spans="1:8" ht="13.5" thickBot="1" x14ac:dyDescent="0.25">
      <c r="H36" s="95">
        <f>SUM(H18:H35)</f>
        <v>5250</v>
      </c>
    </row>
    <row r="37" spans="1:8" ht="13.5" thickTop="1" x14ac:dyDescent="0.2"/>
    <row r="38" spans="1:8" ht="20.100000000000001" customHeight="1" x14ac:dyDescent="0.2">
      <c r="A38" s="96" t="s">
        <v>1075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Two Hundred Fifty and NO/100 -----------</v>
      </c>
      <c r="C38" s="185"/>
      <c r="D38" s="97"/>
      <c r="E38" s="97"/>
      <c r="F38" s="97"/>
      <c r="G38" s="97"/>
      <c r="H38" s="97"/>
    </row>
    <row r="39" spans="1:8" x14ac:dyDescent="0.2">
      <c r="A39" s="94"/>
      <c r="H39" s="209"/>
    </row>
    <row r="40" spans="1:8" ht="25.5" x14ac:dyDescent="0.2">
      <c r="A40" s="169" t="s">
        <v>4046</v>
      </c>
      <c r="F40" s="218" t="s">
        <v>3975</v>
      </c>
      <c r="G40" s="219"/>
      <c r="H40" s="220"/>
    </row>
    <row r="41" spans="1:8" x14ac:dyDescent="0.2">
      <c r="A41" s="153"/>
    </row>
    <row r="42" spans="1:8" x14ac:dyDescent="0.2">
      <c r="A42" s="152"/>
    </row>
    <row r="43" spans="1:8" x14ac:dyDescent="0.2">
      <c r="A43" s="153"/>
    </row>
    <row r="44" spans="1:8" x14ac:dyDescent="0.2">
      <c r="A44" s="174"/>
      <c r="B44" s="101"/>
      <c r="C44" s="386"/>
      <c r="D44" s="99"/>
      <c r="E44" s="481"/>
      <c r="F44" s="227"/>
      <c r="G44" s="227"/>
      <c r="H44" s="227"/>
    </row>
    <row r="45" spans="1:8" x14ac:dyDescent="0.2">
      <c r="A45" s="152"/>
      <c r="F45" s="228"/>
      <c r="G45" s="229"/>
      <c r="H45" s="229"/>
    </row>
    <row r="46" spans="1:8" x14ac:dyDescent="0.2">
      <c r="A46" s="175" t="s">
        <v>8</v>
      </c>
      <c r="D46" s="175" t="s">
        <v>8</v>
      </c>
      <c r="F46" s="175" t="s">
        <v>7</v>
      </c>
    </row>
    <row r="47" spans="1:8" x14ac:dyDescent="0.2">
      <c r="A47" s="153"/>
      <c r="D47" s="153"/>
    </row>
    <row r="48" spans="1:8" x14ac:dyDescent="0.2">
      <c r="A48" s="153"/>
      <c r="D48" s="153"/>
    </row>
    <row r="49" spans="1:8" x14ac:dyDescent="0.2">
      <c r="A49" s="153"/>
      <c r="D49" s="153"/>
    </row>
    <row r="50" spans="1:8" x14ac:dyDescent="0.2">
      <c r="A50" s="174"/>
      <c r="B50" s="101"/>
      <c r="C50" s="386"/>
      <c r="D50" s="174"/>
      <c r="F50" s="101"/>
      <c r="G50" s="101"/>
      <c r="H50" s="101"/>
    </row>
    <row r="51" spans="1:8" s="61" customFormat="1" ht="17.100000000000001" customHeight="1" x14ac:dyDescent="0.2">
      <c r="A51" s="153" t="s">
        <v>4066</v>
      </c>
      <c r="B51" s="104"/>
      <c r="C51" s="104"/>
      <c r="D51" s="153" t="s">
        <v>50</v>
      </c>
      <c r="F51" s="61" t="s">
        <v>3</v>
      </c>
    </row>
    <row r="52" spans="1:8" x14ac:dyDescent="0.2">
      <c r="A52" s="153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7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2-000000000000}">
  <sheetPr codeName="Sheet645">
    <pageSetUpPr fitToPage="1"/>
  </sheetPr>
  <dimension ref="A1:H55"/>
  <sheetViews>
    <sheetView zoomScaleNormal="100" workbookViewId="0">
      <selection activeCell="G9" sqref="G9:G1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.28515625" style="91" customWidth="1"/>
    <col min="4" max="4" width="21" style="91" customWidth="1"/>
    <col min="5" max="5" width="1.2851562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3" t="s">
        <v>8838</v>
      </c>
    </row>
    <row r="10" spans="1:8" x14ac:dyDescent="0.2">
      <c r="A10" s="91" t="s">
        <v>6334</v>
      </c>
      <c r="F10" s="92" t="s">
        <v>1357</v>
      </c>
      <c r="G10" s="155" t="s">
        <v>8808</v>
      </c>
    </row>
    <row r="11" spans="1:8" x14ac:dyDescent="0.2">
      <c r="A11" s="91" t="s">
        <v>6335</v>
      </c>
      <c r="F11" s="92" t="s">
        <v>1330</v>
      </c>
      <c r="G11" s="155" t="s">
        <v>1220</v>
      </c>
    </row>
    <row r="12" spans="1:8" x14ac:dyDescent="0.2">
      <c r="A12" s="91" t="s">
        <v>4687</v>
      </c>
      <c r="F12" s="92" t="s">
        <v>1224</v>
      </c>
      <c r="G12" s="155" t="s">
        <v>8839</v>
      </c>
    </row>
    <row r="13" spans="1:8" x14ac:dyDescent="0.2">
      <c r="A13" s="91" t="s">
        <v>1314</v>
      </c>
      <c r="G13" s="153" t="s">
        <v>7931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8840</v>
      </c>
      <c r="E18" s="2"/>
    </row>
    <row r="20" spans="1:8" x14ac:dyDescent="0.2">
      <c r="A20" s="93" t="s">
        <v>8841</v>
      </c>
      <c r="B20" s="93" t="s">
        <v>8842</v>
      </c>
      <c r="C20" s="93"/>
      <c r="D20" s="91" t="s">
        <v>8843</v>
      </c>
      <c r="H20" s="91">
        <v>1500</v>
      </c>
    </row>
    <row r="21" spans="1:8" x14ac:dyDescent="0.2">
      <c r="D21" s="91" t="s">
        <v>8844</v>
      </c>
    </row>
    <row r="22" spans="1:8" x14ac:dyDescent="0.2">
      <c r="A22" s="93"/>
      <c r="B22" s="93"/>
      <c r="C22" s="93"/>
    </row>
    <row r="23" spans="1:8" x14ac:dyDescent="0.2">
      <c r="A23" s="93"/>
      <c r="B23" s="93"/>
      <c r="C23" s="93"/>
      <c r="D23" s="2"/>
      <c r="E23" s="2"/>
    </row>
    <row r="24" spans="1:8" x14ac:dyDescent="0.2">
      <c r="A24" s="93"/>
      <c r="B24" s="93"/>
      <c r="C24" s="93"/>
    </row>
    <row r="25" spans="1:8" x14ac:dyDescent="0.2">
      <c r="A25" s="93"/>
      <c r="B25" s="93"/>
      <c r="C25" s="93"/>
    </row>
    <row r="26" spans="1:8" x14ac:dyDescent="0.2">
      <c r="A26" s="93"/>
      <c r="B26" s="93"/>
      <c r="C26" s="93"/>
    </row>
    <row r="27" spans="1:8" x14ac:dyDescent="0.2">
      <c r="A27" s="93"/>
      <c r="B27" s="99"/>
      <c r="C27" s="457"/>
    </row>
    <row r="28" spans="1:8" x14ac:dyDescent="0.2">
      <c r="A28" s="93"/>
      <c r="B28" s="93"/>
      <c r="C28" s="93"/>
      <c r="D28" s="2"/>
      <c r="E28" s="2"/>
    </row>
    <row r="30" spans="1:8" x14ac:dyDescent="0.2">
      <c r="A30" s="93"/>
      <c r="B30" s="93"/>
      <c r="C30" s="93"/>
    </row>
    <row r="31" spans="1:8" x14ac:dyDescent="0.2">
      <c r="A31" s="93"/>
      <c r="B31" s="99"/>
      <c r="C31" s="457"/>
    </row>
    <row r="32" spans="1:8" x14ac:dyDescent="0.2">
      <c r="D32" s="2"/>
      <c r="E32" s="2"/>
    </row>
    <row r="34" spans="1:8" x14ac:dyDescent="0.2">
      <c r="A34" s="93"/>
      <c r="B34" s="99"/>
      <c r="C34" s="457"/>
    </row>
    <row r="36" spans="1:8" ht="13.5" thickBot="1" x14ac:dyDescent="0.25">
      <c r="H36" s="95">
        <f>SUM(H18:H35)</f>
        <v>1500</v>
      </c>
    </row>
    <row r="37" spans="1:8" ht="13.5" thickTop="1" x14ac:dyDescent="0.2"/>
    <row r="38" spans="1:8" ht="20.100000000000001" customHeight="1" x14ac:dyDescent="0.2">
      <c r="A38" s="96" t="s">
        <v>1075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Five Hundred and NO/100 -----------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235" t="s">
        <v>3973</v>
      </c>
      <c r="F40" s="218" t="s">
        <v>3975</v>
      </c>
      <c r="G40" s="219"/>
      <c r="H40" s="220"/>
    </row>
    <row r="41" spans="1:8" x14ac:dyDescent="0.2">
      <c r="A41" s="98"/>
      <c r="F41" s="228"/>
      <c r="G41" s="229"/>
      <c r="H41" s="229"/>
    </row>
    <row r="42" spans="1:8" x14ac:dyDescent="0.2">
      <c r="D42" s="99"/>
      <c r="E42" s="457"/>
    </row>
    <row r="43" spans="1:8" x14ac:dyDescent="0.2">
      <c r="A43" s="98"/>
      <c r="D43" s="99"/>
      <c r="E43" s="457"/>
    </row>
    <row r="44" spans="1:8" x14ac:dyDescent="0.2">
      <c r="A44" s="100"/>
      <c r="B44" s="101"/>
      <c r="C44" s="386"/>
    </row>
    <row r="45" spans="1:8" x14ac:dyDescent="0.2">
      <c r="A45" s="98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C50" s="386"/>
      <c r="D50" s="100"/>
      <c r="F50" s="101"/>
      <c r="G50" s="101"/>
      <c r="H50" s="101"/>
    </row>
    <row r="51" spans="1:8" s="61" customFormat="1" ht="17.100000000000001" customHeight="1" x14ac:dyDescent="0.2">
      <c r="A51" s="98" t="s">
        <v>4047</v>
      </c>
      <c r="B51" s="104"/>
      <c r="C51" s="104"/>
      <c r="D51" s="98" t="s">
        <v>50</v>
      </c>
      <c r="F51" s="61" t="s">
        <v>3</v>
      </c>
    </row>
    <row r="52" spans="1:8" x14ac:dyDescent="0.2">
      <c r="A52" s="98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7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2-000000000000}">
  <sheetPr codeName="Sheet623">
    <pageSetUpPr fitToPage="1"/>
  </sheetPr>
  <dimension ref="A1:H52"/>
  <sheetViews>
    <sheetView view="pageBreakPreview" zoomScale="115" zoomScaleNormal="100" zoomScaleSheetLayoutView="115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1" width="9.140625" style="1"/>
    <col min="12" max="12" width="11.5703125" style="1" bestFit="1" customWidth="1"/>
    <col min="13" max="15" width="9.140625" style="1"/>
    <col min="16" max="16" width="11.5703125" style="1" bestFit="1" customWidth="1"/>
    <col min="17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6314</v>
      </c>
    </row>
    <row r="10" spans="1:8" x14ac:dyDescent="0.2">
      <c r="A10" s="91" t="s">
        <v>6082</v>
      </c>
      <c r="F10" s="92" t="s">
        <v>1329</v>
      </c>
      <c r="G10" s="92" t="s">
        <v>6278</v>
      </c>
    </row>
    <row r="11" spans="1:8" x14ac:dyDescent="0.2">
      <c r="A11" s="91" t="s">
        <v>6083</v>
      </c>
      <c r="F11" s="92" t="s">
        <v>1330</v>
      </c>
      <c r="G11" s="92" t="s">
        <v>1220</v>
      </c>
    </row>
    <row r="12" spans="1:8" x14ac:dyDescent="0.2">
      <c r="A12" s="91" t="s">
        <v>6084</v>
      </c>
      <c r="F12" s="92" t="s">
        <v>1377</v>
      </c>
      <c r="G12" s="92" t="s">
        <v>6315</v>
      </c>
    </row>
    <row r="13" spans="1:8" x14ac:dyDescent="0.2">
      <c r="A13" s="91" t="s">
        <v>6085</v>
      </c>
    </row>
    <row r="14" spans="1:8" x14ac:dyDescent="0.2">
      <c r="A14" s="91" t="s">
        <v>6086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6088</v>
      </c>
      <c r="E18" s="2"/>
    </row>
    <row r="19" spans="1:8" x14ac:dyDescent="0.2">
      <c r="A19" s="106"/>
    </row>
    <row r="20" spans="1:8" x14ac:dyDescent="0.2">
      <c r="A20" s="93" t="s">
        <v>6316</v>
      </c>
      <c r="B20" s="93" t="s">
        <v>6317</v>
      </c>
      <c r="C20" s="93"/>
      <c r="D20" s="94" t="s">
        <v>6318</v>
      </c>
      <c r="E20" s="94"/>
      <c r="H20" s="91">
        <f>19500/2</f>
        <v>9750</v>
      </c>
    </row>
    <row r="21" spans="1:8" x14ac:dyDescent="0.2">
      <c r="A21" s="92"/>
      <c r="B21" s="93"/>
      <c r="C21" s="93"/>
      <c r="D21" s="94" t="s">
        <v>6087</v>
      </c>
      <c r="E21" s="94"/>
    </row>
    <row r="22" spans="1:8" x14ac:dyDescent="0.2">
      <c r="A22" s="92"/>
      <c r="B22" s="93"/>
      <c r="C22" s="93"/>
      <c r="D22" s="94"/>
      <c r="E22" s="94"/>
    </row>
    <row r="23" spans="1:8" x14ac:dyDescent="0.2">
      <c r="A23" s="92"/>
      <c r="B23" s="93"/>
      <c r="C23" s="93"/>
      <c r="D23" s="94"/>
      <c r="E23" s="94"/>
    </row>
    <row r="24" spans="1:8" x14ac:dyDescent="0.2">
      <c r="A24" s="106"/>
      <c r="D24" s="94"/>
      <c r="E24" s="94"/>
    </row>
    <row r="25" spans="1:8" x14ac:dyDescent="0.2">
      <c r="A25" s="106"/>
    </row>
    <row r="26" spans="1:8" x14ac:dyDescent="0.2">
      <c r="A26" s="106"/>
    </row>
    <row r="28" spans="1:8" x14ac:dyDescent="0.2">
      <c r="A28" s="93"/>
      <c r="B28" s="93"/>
      <c r="C28" s="93"/>
    </row>
    <row r="29" spans="1:8" x14ac:dyDescent="0.2">
      <c r="A29" s="1"/>
      <c r="B29" s="1"/>
      <c r="C29" s="1"/>
      <c r="D29" s="94"/>
      <c r="E29" s="94"/>
    </row>
    <row r="30" spans="1:8" x14ac:dyDescent="0.2">
      <c r="A30" s="1"/>
      <c r="B30" s="1"/>
      <c r="C30" s="1"/>
      <c r="D30" s="94"/>
      <c r="E30" s="94"/>
    </row>
    <row r="31" spans="1:8" x14ac:dyDescent="0.2">
      <c r="A31" s="1"/>
      <c r="B31" s="1"/>
      <c r="C31" s="1"/>
    </row>
    <row r="32" spans="1:8" x14ac:dyDescent="0.2">
      <c r="A32" s="106"/>
    </row>
    <row r="33" spans="1:8" ht="13.5" thickBot="1" x14ac:dyDescent="0.25">
      <c r="A33" s="106"/>
      <c r="H33" s="107">
        <f>SUM(H19:H31)</f>
        <v>9750</v>
      </c>
    </row>
    <row r="34" spans="1:8" ht="13.5" thickTop="1" x14ac:dyDescent="0.2">
      <c r="A34" s="106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Nine Thousand Seven Hundred Fifty and NO/100 -----------</v>
      </c>
      <c r="C35" s="185"/>
      <c r="D35" s="97"/>
      <c r="E35" s="97"/>
      <c r="F35" s="97"/>
      <c r="G35" s="97"/>
      <c r="H35" s="97"/>
    </row>
    <row r="36" spans="1:8" x14ac:dyDescent="0.2">
      <c r="A36" s="94"/>
    </row>
    <row r="37" spans="1:8" ht="25.5" x14ac:dyDescent="0.2">
      <c r="A37" s="91" t="s">
        <v>10</v>
      </c>
      <c r="F37" s="218" t="s">
        <v>3975</v>
      </c>
      <c r="G37" s="219"/>
      <c r="H37" s="220"/>
    </row>
    <row r="39" spans="1:8" x14ac:dyDescent="0.2">
      <c r="F39" s="1"/>
      <c r="G39" s="1"/>
      <c r="H39" s="1"/>
    </row>
    <row r="40" spans="1:8" x14ac:dyDescent="0.2">
      <c r="A40" s="91" t="s">
        <v>120</v>
      </c>
      <c r="D40" s="99"/>
      <c r="E40" s="99"/>
    </row>
    <row r="41" spans="1:8" x14ac:dyDescent="0.2">
      <c r="A41" s="101"/>
      <c r="B41" s="101"/>
      <c r="D41" s="99"/>
      <c r="E41" s="99"/>
    </row>
    <row r="42" spans="1:8" x14ac:dyDescent="0.2">
      <c r="F42" s="227"/>
      <c r="G42" s="227"/>
      <c r="H42" s="227"/>
    </row>
    <row r="43" spans="1:8" x14ac:dyDescent="0.2">
      <c r="A43" s="91" t="s">
        <v>8</v>
      </c>
      <c r="F43" s="98" t="s">
        <v>7</v>
      </c>
      <c r="G43" s="229"/>
      <c r="H43" s="229"/>
    </row>
    <row r="44" spans="1:8" x14ac:dyDescent="0.2">
      <c r="A44" s="1"/>
      <c r="D44" s="1"/>
    </row>
    <row r="47" spans="1:8" x14ac:dyDescent="0.2">
      <c r="A47" s="101" t="s">
        <v>120</v>
      </c>
      <c r="B47" s="101"/>
      <c r="F47" s="101"/>
      <c r="G47" s="101"/>
      <c r="H47" s="101"/>
    </row>
    <row r="48" spans="1:8" s="3" customFormat="1" ht="17.100000000000001" customHeight="1" x14ac:dyDescent="0.2">
      <c r="A48" s="91" t="s">
        <v>4066</v>
      </c>
      <c r="B48" s="104"/>
      <c r="C48" s="104"/>
      <c r="D48" s="91"/>
      <c r="E48" s="61"/>
      <c r="F48" s="61" t="s">
        <v>3</v>
      </c>
      <c r="G48" s="61"/>
      <c r="H48" s="61"/>
    </row>
    <row r="49" spans="6:6" x14ac:dyDescent="0.2">
      <c r="F49" s="91" t="s">
        <v>2</v>
      </c>
    </row>
    <row r="51" spans="6:6" x14ac:dyDescent="0.2">
      <c r="F51" s="2" t="s">
        <v>1</v>
      </c>
    </row>
    <row r="52" spans="6:6" x14ac:dyDescent="0.2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7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2-000000000000}">
  <sheetPr codeName="Sheet538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6435</v>
      </c>
    </row>
    <row r="10" spans="1:6" x14ac:dyDescent="0.2">
      <c r="A10" s="91" t="s">
        <v>5301</v>
      </c>
      <c r="D10" s="92" t="s">
        <v>1357</v>
      </c>
      <c r="E10" s="92" t="s">
        <v>6417</v>
      </c>
    </row>
    <row r="11" spans="1:6" x14ac:dyDescent="0.2">
      <c r="A11" s="91" t="s">
        <v>5302</v>
      </c>
      <c r="D11" s="92" t="s">
        <v>1330</v>
      </c>
      <c r="E11" s="92" t="s">
        <v>1220</v>
      </c>
    </row>
    <row r="12" spans="1:6" x14ac:dyDescent="0.2">
      <c r="A12" s="91" t="s">
        <v>5303</v>
      </c>
      <c r="D12" s="92" t="s">
        <v>1224</v>
      </c>
      <c r="E12" s="92" t="s">
        <v>6436</v>
      </c>
    </row>
    <row r="13" spans="1:6" x14ac:dyDescent="0.2">
      <c r="A13" s="91" t="s">
        <v>5304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6437</v>
      </c>
    </row>
    <row r="20" spans="1:6" x14ac:dyDescent="0.2">
      <c r="A20" s="93" t="s">
        <v>6391</v>
      </c>
      <c r="B20" s="93" t="s">
        <v>5306</v>
      </c>
      <c r="C20" s="91" t="s">
        <v>6438</v>
      </c>
      <c r="F20" s="91">
        <v>200</v>
      </c>
    </row>
    <row r="22" spans="1:6" x14ac:dyDescent="0.2">
      <c r="C22" s="2"/>
    </row>
    <row r="24" spans="1:6" x14ac:dyDescent="0.2">
      <c r="A24" s="93"/>
      <c r="B24" s="93"/>
    </row>
    <row r="31" spans="1:6" x14ac:dyDescent="0.2">
      <c r="B31" s="94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200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and NO/100 -----------</v>
      </c>
      <c r="C37" s="97"/>
      <c r="D37" s="97"/>
      <c r="E37" s="97"/>
      <c r="F37" s="97"/>
    </row>
    <row r="38" spans="1:6" x14ac:dyDescent="0.2">
      <c r="A38" s="94"/>
      <c r="F38" s="209"/>
    </row>
    <row r="39" spans="1:6" ht="25.5" x14ac:dyDescent="0.2">
      <c r="A39" s="169" t="s">
        <v>4046</v>
      </c>
      <c r="D39" s="218" t="s">
        <v>3975</v>
      </c>
      <c r="E39" s="219"/>
      <c r="F39" s="220"/>
    </row>
    <row r="40" spans="1:6" x14ac:dyDescent="0.2">
      <c r="A40" s="153"/>
    </row>
    <row r="41" spans="1:6" x14ac:dyDescent="0.2">
      <c r="A41" s="152"/>
    </row>
    <row r="42" spans="1:6" x14ac:dyDescent="0.2">
      <c r="A42" s="153"/>
    </row>
    <row r="43" spans="1:6" x14ac:dyDescent="0.2">
      <c r="A43" s="174"/>
      <c r="B43" s="101"/>
      <c r="C43" s="99"/>
      <c r="D43" s="227"/>
      <c r="E43" s="227"/>
      <c r="F43" s="227"/>
    </row>
    <row r="44" spans="1:6" x14ac:dyDescent="0.2">
      <c r="A44" s="152"/>
      <c r="D44" s="228"/>
      <c r="E44" s="229"/>
      <c r="F44" s="229"/>
    </row>
    <row r="45" spans="1:6" x14ac:dyDescent="0.2">
      <c r="A45" s="175" t="s">
        <v>8</v>
      </c>
      <c r="D45" s="175" t="s">
        <v>7</v>
      </c>
    </row>
    <row r="46" spans="1:6" x14ac:dyDescent="0.2">
      <c r="A46" s="153"/>
    </row>
    <row r="47" spans="1:6" x14ac:dyDescent="0.2">
      <c r="A47" s="153"/>
    </row>
    <row r="48" spans="1:6" x14ac:dyDescent="0.2">
      <c r="A48" s="153"/>
    </row>
    <row r="49" spans="1:6" x14ac:dyDescent="0.2">
      <c r="A49" s="174"/>
      <c r="B49" s="101"/>
      <c r="D49" s="101"/>
      <c r="E49" s="101"/>
      <c r="F49" s="101"/>
    </row>
    <row r="50" spans="1:6" s="61" customFormat="1" ht="17.100000000000001" customHeight="1" x14ac:dyDescent="0.2">
      <c r="A50" s="153" t="s">
        <v>4066</v>
      </c>
      <c r="B50" s="104"/>
      <c r="D50" s="61" t="s">
        <v>3</v>
      </c>
    </row>
    <row r="51" spans="1:6" x14ac:dyDescent="0.2">
      <c r="A51" s="153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7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2-000000000000}">
  <sheetPr codeName="Sheet614">
    <pageSetUpPr fitToPage="1"/>
  </sheetPr>
  <dimension ref="A1:H54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5.28515625" style="91" customWidth="1"/>
    <col min="3" max="3" width="1.5703125" style="91" customWidth="1"/>
    <col min="4" max="4" width="21" style="91" customWidth="1"/>
    <col min="5" max="5" width="2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2643</v>
      </c>
      <c r="F9" s="92" t="s">
        <v>1317</v>
      </c>
      <c r="G9" s="91" t="s">
        <v>6206</v>
      </c>
    </row>
    <row r="10" spans="1:8" x14ac:dyDescent="0.2">
      <c r="A10" s="91" t="s">
        <v>5930</v>
      </c>
      <c r="F10" s="92" t="s">
        <v>1329</v>
      </c>
      <c r="G10" s="92" t="s">
        <v>6198</v>
      </c>
    </row>
    <row r="11" spans="1:8" x14ac:dyDescent="0.2">
      <c r="A11" s="91" t="s">
        <v>2645</v>
      </c>
      <c r="F11" s="92" t="s">
        <v>1330</v>
      </c>
      <c r="G11" s="325" t="s">
        <v>1220</v>
      </c>
    </row>
    <row r="12" spans="1:8" x14ac:dyDescent="0.2">
      <c r="A12" s="91" t="s">
        <v>3309</v>
      </c>
      <c r="F12" s="92" t="s">
        <v>1377</v>
      </c>
      <c r="G12" s="92" t="s">
        <v>6207</v>
      </c>
    </row>
    <row r="13" spans="1:8" x14ac:dyDescent="0.2">
      <c r="A13" s="91" t="s">
        <v>5931</v>
      </c>
      <c r="H13" s="61"/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4449</v>
      </c>
    </row>
    <row r="19" spans="1:8" x14ac:dyDescent="0.2">
      <c r="A19" s="106"/>
      <c r="E19" s="2"/>
    </row>
    <row r="20" spans="1:8" x14ac:dyDescent="0.2">
      <c r="A20" s="93" t="s">
        <v>6113</v>
      </c>
      <c r="B20" s="93" t="s">
        <v>6208</v>
      </c>
      <c r="C20" s="93"/>
      <c r="D20" s="91" t="s">
        <v>6209</v>
      </c>
      <c r="E20" s="2"/>
      <c r="H20" s="91">
        <f>58*29</f>
        <v>1682</v>
      </c>
    </row>
    <row r="21" spans="1:8" x14ac:dyDescent="0.2">
      <c r="A21" s="106"/>
      <c r="D21" s="91" t="s">
        <v>6210</v>
      </c>
      <c r="E21" s="94"/>
      <c r="H21" s="91">
        <f>58*18</f>
        <v>1044</v>
      </c>
    </row>
    <row r="22" spans="1:8" x14ac:dyDescent="0.2">
      <c r="A22" s="286"/>
      <c r="D22" s="94"/>
      <c r="E22" s="94"/>
    </row>
    <row r="23" spans="1:8" x14ac:dyDescent="0.2">
      <c r="A23" s="93" t="s">
        <v>6179</v>
      </c>
      <c r="B23" s="93" t="s">
        <v>6211</v>
      </c>
      <c r="D23" s="91" t="s">
        <v>6212</v>
      </c>
      <c r="H23" s="91">
        <f>58*11</f>
        <v>638</v>
      </c>
    </row>
    <row r="24" spans="1:8" x14ac:dyDescent="0.2">
      <c r="A24" s="92"/>
    </row>
    <row r="25" spans="1:8" x14ac:dyDescent="0.2">
      <c r="A25" s="106"/>
      <c r="D25" s="2"/>
      <c r="E25" s="94"/>
    </row>
    <row r="26" spans="1:8" x14ac:dyDescent="0.2">
      <c r="A26" s="287"/>
    </row>
    <row r="27" spans="1:8" x14ac:dyDescent="0.2">
      <c r="A27" s="106"/>
    </row>
    <row r="28" spans="1:8" x14ac:dyDescent="0.2">
      <c r="A28" s="106"/>
    </row>
    <row r="30" spans="1:8" x14ac:dyDescent="0.2">
      <c r="A30" s="93"/>
      <c r="B30" s="93"/>
      <c r="C30" s="93"/>
      <c r="D30" s="94"/>
      <c r="E30" s="94"/>
    </row>
    <row r="31" spans="1:8" x14ac:dyDescent="0.2">
      <c r="A31" s="1"/>
      <c r="B31" s="1"/>
      <c r="C31" s="1"/>
      <c r="D31" s="94"/>
      <c r="E31" s="94"/>
    </row>
    <row r="32" spans="1:8" x14ac:dyDescent="0.2">
      <c r="A32" s="1"/>
      <c r="B32" s="1"/>
      <c r="C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06"/>
      <c r="H34" s="1"/>
    </row>
    <row r="35" spans="1:8" ht="13.5" thickBot="1" x14ac:dyDescent="0.25">
      <c r="A35" s="106"/>
      <c r="H35" s="107">
        <f>SUM(H18:H33)</f>
        <v>3364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Three Hundred Sixty-Four and NO/100 -----------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120</v>
      </c>
      <c r="D42" s="99"/>
      <c r="E42" s="99"/>
    </row>
    <row r="43" spans="1:8" x14ac:dyDescent="0.2">
      <c r="A43" s="101"/>
      <c r="B43" s="101"/>
    </row>
    <row r="45" spans="1:8" x14ac:dyDescent="0.2">
      <c r="A45" s="91" t="s">
        <v>8</v>
      </c>
      <c r="F45" s="98" t="s">
        <v>7</v>
      </c>
      <c r="H45" s="102"/>
    </row>
    <row r="49" spans="1:8" x14ac:dyDescent="0.2">
      <c r="A49" s="101"/>
      <c r="B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7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2-000000000000}">
  <sheetPr codeName="Sheet646">
    <pageSetUpPr fitToPage="1"/>
  </sheetPr>
  <dimension ref="A1:H57"/>
  <sheetViews>
    <sheetView workbookViewId="0">
      <selection activeCell="G9" sqref="G9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7" spans="1:8" s="91" customFormat="1" x14ac:dyDescent="0.2"/>
    <row r="8" spans="1:8" s="91" customFormat="1" x14ac:dyDescent="0.2">
      <c r="A8" s="91" t="s">
        <v>32</v>
      </c>
      <c r="F8" s="22" t="s">
        <v>31</v>
      </c>
    </row>
    <row r="9" spans="1:8" s="91" customFormat="1" x14ac:dyDescent="0.2">
      <c r="F9" s="92" t="s">
        <v>1705</v>
      </c>
      <c r="G9" s="61" t="s">
        <v>6287</v>
      </c>
    </row>
    <row r="10" spans="1:8" s="91" customFormat="1" x14ac:dyDescent="0.2">
      <c r="A10" s="91" t="s">
        <v>6289</v>
      </c>
      <c r="F10" s="92" t="s">
        <v>1706</v>
      </c>
      <c r="G10" s="113" t="s">
        <v>6278</v>
      </c>
    </row>
    <row r="11" spans="1:8" s="91" customFormat="1" x14ac:dyDescent="0.2">
      <c r="A11" s="91" t="s">
        <v>6290</v>
      </c>
      <c r="F11" s="92" t="s">
        <v>1707</v>
      </c>
      <c r="G11" s="113" t="s">
        <v>1220</v>
      </c>
    </row>
    <row r="12" spans="1:8" s="91" customFormat="1" x14ac:dyDescent="0.2">
      <c r="A12" s="91" t="s">
        <v>6291</v>
      </c>
      <c r="F12" s="92" t="s">
        <v>1355</v>
      </c>
      <c r="G12" s="113" t="s">
        <v>6288</v>
      </c>
    </row>
    <row r="13" spans="1:8" s="91" customFormat="1" x14ac:dyDescent="0.2">
      <c r="A13" s="91" t="s">
        <v>1570</v>
      </c>
    </row>
    <row r="14" spans="1:8" s="91" customFormat="1" x14ac:dyDescent="0.2">
      <c r="A14" s="91" t="s">
        <v>6292</v>
      </c>
    </row>
    <row r="15" spans="1:8" s="91" customFormat="1" x14ac:dyDescent="0.2">
      <c r="A15" s="91" t="s">
        <v>6293</v>
      </c>
    </row>
    <row r="16" spans="1:8" s="14" customFormat="1" ht="20.100000000000001" customHeight="1" x14ac:dyDescent="0.2">
      <c r="A16" s="17" t="s">
        <v>129</v>
      </c>
      <c r="B16" s="31" t="s">
        <v>1379</v>
      </c>
      <c r="C16" s="31"/>
      <c r="D16" s="18" t="s">
        <v>19</v>
      </c>
      <c r="E16" s="18"/>
      <c r="F16" s="17"/>
      <c r="G16" s="16"/>
      <c r="H16" s="15" t="s">
        <v>18</v>
      </c>
    </row>
    <row r="17" spans="1:8" s="91" customFormat="1" x14ac:dyDescent="0.2"/>
    <row r="18" spans="1:8" s="91" customFormat="1" x14ac:dyDescent="0.2">
      <c r="A18" s="93"/>
      <c r="B18" s="93"/>
      <c r="C18" s="93"/>
      <c r="D18" s="2" t="s">
        <v>6294</v>
      </c>
    </row>
    <row r="19" spans="1:8" s="91" customFormat="1" x14ac:dyDescent="0.2">
      <c r="A19" s="93"/>
      <c r="B19" s="93"/>
      <c r="C19" s="93"/>
    </row>
    <row r="20" spans="1:8" s="91" customFormat="1" x14ac:dyDescent="0.2">
      <c r="A20" s="93" t="s">
        <v>6295</v>
      </c>
      <c r="B20" s="93" t="s">
        <v>6296</v>
      </c>
      <c r="C20" s="93"/>
      <c r="D20" s="91" t="s">
        <v>6297</v>
      </c>
      <c r="H20" s="91">
        <v>23584.91</v>
      </c>
    </row>
    <row r="21" spans="1:8" s="91" customFormat="1" x14ac:dyDescent="0.2">
      <c r="D21" s="91" t="s">
        <v>2147</v>
      </c>
      <c r="H21" s="91">
        <f>H20*6%</f>
        <v>1415.0945999999999</v>
      </c>
    </row>
    <row r="22" spans="1:8" s="91" customFormat="1" x14ac:dyDescent="0.2">
      <c r="A22" s="93"/>
      <c r="B22" s="93"/>
      <c r="C22" s="93"/>
    </row>
    <row r="23" spans="1:8" s="91" customFormat="1" x14ac:dyDescent="0.2">
      <c r="E23" s="2"/>
    </row>
    <row r="24" spans="1:8" s="91" customFormat="1" x14ac:dyDescent="0.2">
      <c r="A24" s="93"/>
      <c r="B24" s="93"/>
      <c r="C24" s="93"/>
    </row>
    <row r="25" spans="1:8" s="91" customFormat="1" x14ac:dyDescent="0.2">
      <c r="A25" s="93"/>
      <c r="B25" s="93"/>
      <c r="C25" s="93"/>
    </row>
    <row r="26" spans="1:8" s="91" customFormat="1" x14ac:dyDescent="0.2">
      <c r="A26" s="93"/>
      <c r="B26" s="93"/>
      <c r="C26" s="93"/>
      <c r="E26" s="2"/>
    </row>
    <row r="27" spans="1:8" s="91" customFormat="1" x14ac:dyDescent="0.2"/>
    <row r="28" spans="1:8" s="91" customFormat="1" x14ac:dyDescent="0.2">
      <c r="A28" s="93"/>
      <c r="B28" s="93"/>
      <c r="C28" s="93"/>
    </row>
    <row r="29" spans="1:8" s="91" customFormat="1" x14ac:dyDescent="0.2"/>
    <row r="30" spans="1:8" s="91" customFormat="1" x14ac:dyDescent="0.2"/>
    <row r="31" spans="1:8" s="91" customFormat="1" x14ac:dyDescent="0.2"/>
    <row r="32" spans="1:8" s="91" customFormat="1" x14ac:dyDescent="0.2"/>
    <row r="33" spans="1:8" s="91" customFormat="1" x14ac:dyDescent="0.2"/>
    <row r="34" spans="1:8" s="91" customFormat="1" ht="13.5" thickBot="1" x14ac:dyDescent="0.25">
      <c r="H34" s="95">
        <f>SUM(H18:H33)</f>
        <v>25000.0046</v>
      </c>
    </row>
    <row r="35" spans="1:8" s="91" customFormat="1" ht="13.5" thickTop="1" x14ac:dyDescent="0.2"/>
    <row r="36" spans="1:8" s="91" customFormat="1" ht="21.75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Twenty-Five Thousand and NO/100 -----------</v>
      </c>
      <c r="C36" s="185"/>
      <c r="D36" s="97"/>
      <c r="E36" s="97"/>
      <c r="F36" s="237"/>
      <c r="G36" s="237"/>
      <c r="H36" s="237"/>
    </row>
    <row r="37" spans="1:8" s="91" customFormat="1" ht="15.75" customHeight="1" x14ac:dyDescent="0.2">
      <c r="A37" s="113"/>
      <c r="B37" s="103"/>
      <c r="C37" s="103"/>
      <c r="D37" s="61"/>
      <c r="E37" s="61"/>
      <c r="F37" s="227"/>
      <c r="G37" s="227"/>
      <c r="H37" s="227"/>
    </row>
    <row r="38" spans="1:8" s="91" customFormat="1" ht="24" customHeight="1" x14ac:dyDescent="0.2">
      <c r="A38" s="61" t="s">
        <v>10</v>
      </c>
      <c r="B38" s="103"/>
      <c r="C38" s="103"/>
      <c r="D38" s="61"/>
      <c r="E38" s="61"/>
      <c r="F38" s="218" t="s">
        <v>3975</v>
      </c>
      <c r="G38" s="219"/>
      <c r="H38" s="220"/>
    </row>
    <row r="39" spans="1:8" s="91" customFormat="1" x14ac:dyDescent="0.2">
      <c r="F39" s="228"/>
      <c r="G39" s="229"/>
      <c r="H39" s="229"/>
    </row>
    <row r="40" spans="1:8" s="91" customFormat="1" x14ac:dyDescent="0.2"/>
    <row r="41" spans="1:8" s="91" customFormat="1" x14ac:dyDescent="0.2"/>
    <row r="42" spans="1:8" s="91" customFormat="1" x14ac:dyDescent="0.2"/>
    <row r="43" spans="1:8" s="91" customFormat="1" x14ac:dyDescent="0.2">
      <c r="A43" s="101"/>
      <c r="B43" s="101"/>
    </row>
    <row r="44" spans="1:8" s="91" customFormat="1" x14ac:dyDescent="0.2"/>
    <row r="45" spans="1:8" s="91" customFormat="1" x14ac:dyDescent="0.2">
      <c r="A45" s="98" t="s">
        <v>8</v>
      </c>
      <c r="D45" s="98" t="s">
        <v>8</v>
      </c>
      <c r="F45" s="98" t="s">
        <v>7</v>
      </c>
      <c r="H45" s="102"/>
    </row>
    <row r="46" spans="1:8" s="91" customFormat="1" x14ac:dyDescent="0.2"/>
    <row r="47" spans="1:8" s="91" customFormat="1" x14ac:dyDescent="0.2"/>
    <row r="48" spans="1:8" s="91" customFormat="1" x14ac:dyDescent="0.2"/>
    <row r="49" spans="1:8" s="91" customFormat="1" x14ac:dyDescent="0.2">
      <c r="A49" s="101"/>
      <c r="B49" s="101"/>
      <c r="D49" s="101"/>
      <c r="F49" s="101"/>
      <c r="G49" s="101"/>
      <c r="H49" s="101"/>
    </row>
    <row r="50" spans="1:8" s="61" customFormat="1" ht="17.100000000000001" customHeight="1" x14ac:dyDescent="0.2">
      <c r="A50" s="209" t="s">
        <v>4066</v>
      </c>
      <c r="B50" s="104"/>
      <c r="C50" s="104"/>
      <c r="D50" s="209" t="s">
        <v>50</v>
      </c>
      <c r="F50" s="61" t="s">
        <v>3</v>
      </c>
    </row>
    <row r="51" spans="1:8" s="91" customFormat="1" x14ac:dyDescent="0.2">
      <c r="F51" s="91" t="s">
        <v>2</v>
      </c>
    </row>
    <row r="52" spans="1:8" s="91" customFormat="1" x14ac:dyDescent="0.2"/>
    <row r="53" spans="1:8" s="91" customFormat="1" x14ac:dyDescent="0.2">
      <c r="F53" s="2" t="s">
        <v>1</v>
      </c>
    </row>
    <row r="54" spans="1:8" s="91" customFormat="1" x14ac:dyDescent="0.2">
      <c r="F54" s="2" t="s">
        <v>0</v>
      </c>
    </row>
    <row r="55" spans="1:8" s="91" customFormat="1" x14ac:dyDescent="0.2"/>
    <row r="56" spans="1:8" s="91" customFormat="1" x14ac:dyDescent="0.2"/>
    <row r="57" spans="1:8" s="91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7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2-000000000000}">
  <sheetPr codeName="Sheet599"/>
  <dimension ref="A1:H57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5840</v>
      </c>
      <c r="F9" s="92" t="s">
        <v>1317</v>
      </c>
      <c r="G9" s="155" t="s">
        <v>5837</v>
      </c>
    </row>
    <row r="10" spans="1:8" x14ac:dyDescent="0.2">
      <c r="A10" s="91" t="s">
        <v>5841</v>
      </c>
      <c r="F10" s="92" t="s">
        <v>1329</v>
      </c>
      <c r="G10" s="155" t="s">
        <v>5839</v>
      </c>
    </row>
    <row r="11" spans="1:8" x14ac:dyDescent="0.2">
      <c r="A11" s="91" t="s">
        <v>5842</v>
      </c>
      <c r="F11" s="92" t="s">
        <v>1330</v>
      </c>
      <c r="G11" s="155" t="s">
        <v>1220</v>
      </c>
    </row>
    <row r="12" spans="1:8" x14ac:dyDescent="0.2">
      <c r="A12" s="91" t="s">
        <v>1561</v>
      </c>
      <c r="F12" s="92" t="s">
        <v>1224</v>
      </c>
      <c r="G12" s="91" t="s">
        <v>5838</v>
      </c>
    </row>
    <row r="13" spans="1:8" x14ac:dyDescent="0.2">
      <c r="A13" s="91" t="s">
        <v>5843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5847</v>
      </c>
      <c r="E18" s="2"/>
    </row>
    <row r="19" spans="1:8" x14ac:dyDescent="0.2">
      <c r="D19" s="2"/>
      <c r="E19" s="2"/>
    </row>
    <row r="20" spans="1:8" x14ac:dyDescent="0.2">
      <c r="A20" s="93" t="s">
        <v>5844</v>
      </c>
      <c r="B20" s="94" t="s">
        <v>5845</v>
      </c>
      <c r="C20" s="93"/>
      <c r="D20" s="91" t="s">
        <v>5848</v>
      </c>
      <c r="H20" s="91">
        <v>700</v>
      </c>
    </row>
    <row r="21" spans="1:8" x14ac:dyDescent="0.2">
      <c r="B21" s="94" t="s">
        <v>5846</v>
      </c>
      <c r="C21" s="93"/>
      <c r="D21" s="91" t="s">
        <v>2147</v>
      </c>
      <c r="H21" s="91">
        <f>H20*6%</f>
        <v>42</v>
      </c>
    </row>
    <row r="23" spans="1:8" x14ac:dyDescent="0.2">
      <c r="A23" s="93"/>
      <c r="B23" s="93"/>
      <c r="C23" s="93"/>
    </row>
    <row r="24" spans="1:8" x14ac:dyDescent="0.2">
      <c r="A24" s="93"/>
      <c r="B24" s="99"/>
      <c r="C24" s="99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4"/>
    </row>
    <row r="29" spans="1:8" x14ac:dyDescent="0.2">
      <c r="A29" s="94"/>
    </row>
    <row r="30" spans="1:8" x14ac:dyDescent="0.2">
      <c r="A30" s="94"/>
    </row>
    <row r="31" spans="1:8" x14ac:dyDescent="0.2">
      <c r="A31" s="94"/>
    </row>
    <row r="32" spans="1:8" x14ac:dyDescent="0.2">
      <c r="A32" s="93"/>
      <c r="B32" s="99"/>
    </row>
    <row r="33" spans="1:8" x14ac:dyDescent="0.2">
      <c r="D33" s="2"/>
      <c r="E33" s="2"/>
    </row>
    <row r="34" spans="1:8" x14ac:dyDescent="0.2">
      <c r="E34" s="2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93"/>
      <c r="B36" s="99"/>
      <c r="C36" s="1"/>
      <c r="E36" s="1"/>
      <c r="F36" s="1"/>
      <c r="G36" s="1"/>
    </row>
    <row r="37" spans="1:8" x14ac:dyDescent="0.2">
      <c r="A37" s="112"/>
    </row>
    <row r="38" spans="1:8" ht="13.5" thickBot="1" x14ac:dyDescent="0.25">
      <c r="A38" s="112"/>
      <c r="H38" s="95">
        <f>SUM(H20:H37)</f>
        <v>742</v>
      </c>
    </row>
    <row r="39" spans="1:8" ht="13.5" thickTop="1" x14ac:dyDescent="0.2">
      <c r="A39" s="112"/>
      <c r="H39" s="238"/>
    </row>
    <row r="40" spans="1:8" ht="20.100000000000001" customHeight="1" x14ac:dyDescent="0.2">
      <c r="A40" s="96" t="s">
        <v>1347</v>
      </c>
      <c r="B40" s="185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Seven Hundred Forty-Two and NO/100 -----------</v>
      </c>
      <c r="C40" s="185"/>
      <c r="D40" s="97"/>
      <c r="E40" s="97"/>
      <c r="F40" s="97"/>
      <c r="G40" s="97"/>
      <c r="H40" s="97"/>
    </row>
    <row r="41" spans="1:8" x14ac:dyDescent="0.2">
      <c r="A41" s="94"/>
    </row>
    <row r="42" spans="1:8" ht="25.5" x14ac:dyDescent="0.2">
      <c r="A42" s="91" t="s">
        <v>10</v>
      </c>
      <c r="F42" s="218" t="s">
        <v>3975</v>
      </c>
      <c r="G42" s="219"/>
      <c r="H42" s="220"/>
    </row>
    <row r="44" spans="1:8" x14ac:dyDescent="0.2">
      <c r="F44" s="227"/>
      <c r="G44" s="227"/>
      <c r="H44" s="227"/>
    </row>
    <row r="45" spans="1:8" x14ac:dyDescent="0.2">
      <c r="A45" s="98" t="s">
        <v>121</v>
      </c>
      <c r="D45" s="99"/>
      <c r="E45" s="99"/>
      <c r="F45" s="228"/>
      <c r="G45" s="229"/>
      <c r="H45" s="229"/>
    </row>
    <row r="46" spans="1:8" x14ac:dyDescent="0.2">
      <c r="A46" s="23"/>
      <c r="B46" s="101"/>
    </row>
    <row r="47" spans="1:8" x14ac:dyDescent="0.2">
      <c r="A47" s="98"/>
    </row>
    <row r="48" spans="1:8" x14ac:dyDescent="0.2">
      <c r="A48" s="98" t="s">
        <v>8</v>
      </c>
      <c r="D48" s="98"/>
      <c r="F48" s="98" t="s">
        <v>7</v>
      </c>
      <c r="H48" s="102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98"/>
      <c r="D51" s="98"/>
    </row>
    <row r="52" spans="1:8" x14ac:dyDescent="0.2">
      <c r="A52" s="100"/>
      <c r="B52" s="101"/>
      <c r="D52" s="98"/>
      <c r="F52" s="101"/>
      <c r="G52" s="101"/>
      <c r="H52" s="101"/>
    </row>
    <row r="53" spans="1:8" s="3" customFormat="1" ht="17.100000000000001" customHeight="1" x14ac:dyDescent="0.2">
      <c r="A53" s="103" t="s">
        <v>4047</v>
      </c>
      <c r="B53" s="104"/>
      <c r="C53" s="104"/>
      <c r="D53" s="103"/>
      <c r="E53" s="61"/>
      <c r="F53" s="61" t="s">
        <v>3</v>
      </c>
      <c r="G53" s="61"/>
      <c r="H53" s="61"/>
    </row>
    <row r="54" spans="1:8" x14ac:dyDescent="0.2">
      <c r="F54" s="91" t="s">
        <v>2</v>
      </c>
    </row>
    <row r="56" spans="1:8" x14ac:dyDescent="0.2">
      <c r="F56" s="2" t="s">
        <v>1</v>
      </c>
    </row>
    <row r="57" spans="1:8" x14ac:dyDescent="0.2">
      <c r="F57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7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2-000000000000}">
  <sheetPr codeName="Sheet624">
    <pageSetUpPr fitToPage="1"/>
  </sheetPr>
  <dimension ref="A1:F55"/>
  <sheetViews>
    <sheetView zoomScaleNormal="100" workbookViewId="0">
      <selection activeCell="E9" sqref="E9:E12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155" t="s">
        <v>7512</v>
      </c>
    </row>
    <row r="10" spans="1:6" x14ac:dyDescent="0.2">
      <c r="A10" s="91" t="s">
        <v>965</v>
      </c>
      <c r="D10" s="92" t="s">
        <v>1357</v>
      </c>
      <c r="E10" s="155" t="s">
        <v>7500</v>
      </c>
    </row>
    <row r="11" spans="1:6" x14ac:dyDescent="0.2">
      <c r="A11" s="91" t="s">
        <v>6018</v>
      </c>
      <c r="D11" s="92" t="s">
        <v>1330</v>
      </c>
      <c r="E11" s="155" t="s">
        <v>1220</v>
      </c>
    </row>
    <row r="12" spans="1:6" x14ac:dyDescent="0.2">
      <c r="A12" s="91" t="s">
        <v>6019</v>
      </c>
      <c r="D12" s="92" t="s">
        <v>1224</v>
      </c>
      <c r="E12" s="91" t="s">
        <v>7513</v>
      </c>
    </row>
    <row r="13" spans="1:6" x14ac:dyDescent="0.2">
      <c r="A13" s="91" t="s">
        <v>6020</v>
      </c>
    </row>
    <row r="14" spans="1:6" x14ac:dyDescent="0.2">
      <c r="A14" s="91" t="s">
        <v>6021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7514</v>
      </c>
    </row>
    <row r="20" spans="1:6" x14ac:dyDescent="0.2">
      <c r="A20" s="93" t="s">
        <v>7398</v>
      </c>
      <c r="B20" s="93" t="s">
        <v>7515</v>
      </c>
      <c r="C20" s="91" t="s">
        <v>6022</v>
      </c>
      <c r="F20" s="91">
        <f>28*2</f>
        <v>56</v>
      </c>
    </row>
    <row r="22" spans="1:6" x14ac:dyDescent="0.2">
      <c r="C22" s="2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C26" s="2"/>
    </row>
    <row r="28" spans="1:6" x14ac:dyDescent="0.2">
      <c r="A28" s="93"/>
      <c r="B28" s="93"/>
    </row>
    <row r="29" spans="1:6" x14ac:dyDescent="0.2">
      <c r="A29" s="93"/>
      <c r="B29" s="99"/>
    </row>
    <row r="30" spans="1:6" x14ac:dyDescent="0.2">
      <c r="A30" s="93"/>
      <c r="B30" s="93"/>
    </row>
    <row r="31" spans="1:6" x14ac:dyDescent="0.2">
      <c r="A31" s="93"/>
      <c r="B31" s="99"/>
    </row>
    <row r="32" spans="1:6" x14ac:dyDescent="0.2">
      <c r="C32" s="2"/>
    </row>
    <row r="34" spans="1:6" x14ac:dyDescent="0.2">
      <c r="A34" s="93"/>
      <c r="B34" s="99"/>
    </row>
    <row r="36" spans="1:6" ht="13.5" thickBot="1" x14ac:dyDescent="0.25">
      <c r="F36" s="95">
        <f>SUM(F18:F35)</f>
        <v>56</v>
      </c>
    </row>
    <row r="37" spans="1:6" ht="13.5" thickTop="1" x14ac:dyDescent="0.2"/>
    <row r="38" spans="1:6" ht="20.100000000000001" customHeight="1" x14ac:dyDescent="0.2">
      <c r="A38" s="96" t="s">
        <v>1075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Fifty-Six and NO/100 -----------</v>
      </c>
      <c r="C38" s="97"/>
      <c r="D38" s="222"/>
      <c r="E38" s="222"/>
      <c r="F38" s="222"/>
    </row>
    <row r="39" spans="1:6" ht="20.100000000000001" customHeight="1" x14ac:dyDescent="0.2">
      <c r="A39" s="113"/>
      <c r="B39" s="103"/>
      <c r="C39" s="61"/>
      <c r="D39" s="222"/>
      <c r="E39" s="222"/>
      <c r="F39" s="222"/>
    </row>
    <row r="40" spans="1:6" ht="25.5" x14ac:dyDescent="0.2">
      <c r="A40" s="235" t="s">
        <v>3973</v>
      </c>
      <c r="D40" s="218" t="s">
        <v>3975</v>
      </c>
      <c r="E40" s="219"/>
      <c r="F40" s="220"/>
    </row>
    <row r="41" spans="1:6" x14ac:dyDescent="0.2">
      <c r="A41" s="98"/>
      <c r="D41" s="228"/>
      <c r="E41" s="229"/>
      <c r="F41" s="229"/>
    </row>
    <row r="42" spans="1:6" x14ac:dyDescent="0.2">
      <c r="C42" s="99"/>
    </row>
    <row r="43" spans="1:6" x14ac:dyDescent="0.2">
      <c r="A43" s="98"/>
      <c r="C43" s="99"/>
    </row>
    <row r="44" spans="1:6" x14ac:dyDescent="0.2">
      <c r="A44" s="100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/>
    </row>
    <row r="48" spans="1:6" x14ac:dyDescent="0.2">
      <c r="A48" s="98"/>
    </row>
    <row r="49" spans="1:6" x14ac:dyDescent="0.2">
      <c r="A49" s="98"/>
    </row>
    <row r="50" spans="1:6" x14ac:dyDescent="0.2">
      <c r="A50" s="100"/>
      <c r="B50" s="101"/>
      <c r="D50" s="101"/>
      <c r="E50" s="101"/>
      <c r="F50" s="101"/>
    </row>
    <row r="51" spans="1:6" s="61" customFormat="1" ht="17.100000000000001" customHeight="1" x14ac:dyDescent="0.2">
      <c r="A51" s="98" t="s">
        <v>4047</v>
      </c>
      <c r="B51" s="104"/>
      <c r="D51" s="61" t="s">
        <v>3</v>
      </c>
    </row>
    <row r="52" spans="1:6" x14ac:dyDescent="0.2">
      <c r="A52" s="98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7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2-000000000000}">
  <sheetPr codeName="Sheet600">
    <pageSetUpPr fitToPage="1"/>
  </sheetPr>
  <dimension ref="A1:P54"/>
  <sheetViews>
    <sheetView topLeftCell="A22"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28515625" style="91" customWidth="1"/>
    <col min="4" max="4" width="21" style="91" customWidth="1"/>
    <col min="5" max="5" width="0.855468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A9" s="91" t="s">
        <v>5801</v>
      </c>
      <c r="F9" s="92" t="s">
        <v>1317</v>
      </c>
      <c r="G9" s="155" t="s">
        <v>5799</v>
      </c>
    </row>
    <row r="10" spans="1:16" x14ac:dyDescent="0.2">
      <c r="A10" s="91" t="s">
        <v>5802</v>
      </c>
      <c r="F10" s="92" t="s">
        <v>1329</v>
      </c>
      <c r="G10" s="155" t="s">
        <v>5800</v>
      </c>
    </row>
    <row r="11" spans="1:16" x14ac:dyDescent="0.2">
      <c r="A11" s="91" t="s">
        <v>5803</v>
      </c>
      <c r="F11" s="92" t="s">
        <v>1330</v>
      </c>
      <c r="G11" s="155" t="s">
        <v>1220</v>
      </c>
    </row>
    <row r="12" spans="1:16" x14ac:dyDescent="0.2">
      <c r="A12" s="91" t="s">
        <v>5804</v>
      </c>
      <c r="F12" s="92" t="s">
        <v>1331</v>
      </c>
      <c r="G12" s="91" t="s">
        <v>770</v>
      </c>
    </row>
    <row r="16" spans="1:16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  <c r="M16" s="91"/>
      <c r="N16" s="91"/>
      <c r="O16" s="91"/>
      <c r="P16" s="91"/>
    </row>
    <row r="17" spans="1:16" x14ac:dyDescent="0.2">
      <c r="A17" s="106"/>
      <c r="M17" s="91"/>
      <c r="N17" s="91"/>
      <c r="O17" s="91"/>
      <c r="P17" s="91"/>
    </row>
    <row r="18" spans="1:16" x14ac:dyDescent="0.2">
      <c r="A18" s="93"/>
      <c r="B18" s="93"/>
      <c r="C18" s="93"/>
      <c r="D18" s="2" t="s">
        <v>5805</v>
      </c>
      <c r="E18" s="2"/>
      <c r="M18" s="91"/>
      <c r="N18" s="91"/>
      <c r="O18" s="91"/>
      <c r="P18" s="91"/>
    </row>
    <row r="19" spans="1:16" x14ac:dyDescent="0.2">
      <c r="A19" s="93"/>
      <c r="B19" s="93"/>
      <c r="C19" s="93"/>
      <c r="M19" s="91"/>
      <c r="N19" s="91"/>
      <c r="O19" s="91"/>
      <c r="P19" s="91"/>
    </row>
    <row r="20" spans="1:16" x14ac:dyDescent="0.2">
      <c r="A20" s="93" t="s">
        <v>5806</v>
      </c>
      <c r="B20" s="93" t="s">
        <v>5807</v>
      </c>
      <c r="C20" s="93"/>
      <c r="D20" s="91" t="s">
        <v>5808</v>
      </c>
      <c r="H20" s="91">
        <f>50000.01*3.1838999</f>
        <v>159195.02683899901</v>
      </c>
      <c r="M20" s="91"/>
      <c r="N20" s="91"/>
      <c r="O20" s="91"/>
      <c r="P20" s="91"/>
    </row>
    <row r="21" spans="1:16" x14ac:dyDescent="0.2">
      <c r="A21" s="93"/>
      <c r="B21" s="93"/>
      <c r="C21" s="93"/>
      <c r="D21" s="91" t="s">
        <v>5809</v>
      </c>
      <c r="M21" s="91"/>
      <c r="N21" s="91"/>
      <c r="O21" s="91"/>
      <c r="P21" s="91"/>
    </row>
    <row r="22" spans="1:16" x14ac:dyDescent="0.2">
      <c r="A22" s="93"/>
      <c r="B22" s="93"/>
      <c r="C22" s="93"/>
      <c r="M22" s="91"/>
      <c r="N22" s="91"/>
      <c r="O22" s="91"/>
      <c r="P22" s="91"/>
    </row>
    <row r="23" spans="1:16" x14ac:dyDescent="0.2">
      <c r="A23" s="93"/>
      <c r="B23" s="93"/>
      <c r="C23" s="93"/>
      <c r="D23" s="91" t="s">
        <v>52</v>
      </c>
      <c r="H23" s="91">
        <v>10</v>
      </c>
      <c r="M23" s="91"/>
      <c r="N23" s="91"/>
      <c r="O23" s="91"/>
      <c r="P23" s="91"/>
    </row>
    <row r="24" spans="1:16" x14ac:dyDescent="0.2">
      <c r="M24" s="91"/>
      <c r="N24" s="91"/>
      <c r="O24" s="91"/>
      <c r="P24" s="91"/>
    </row>
    <row r="25" spans="1:16" x14ac:dyDescent="0.2">
      <c r="A25" s="93"/>
      <c r="B25" s="93"/>
      <c r="C25" s="93"/>
      <c r="D25" s="91" t="s">
        <v>2147</v>
      </c>
      <c r="F25" s="1"/>
      <c r="G25" s="1"/>
      <c r="H25" s="91">
        <f>H23*6%</f>
        <v>0.6</v>
      </c>
      <c r="M25" s="91"/>
      <c r="N25" s="91"/>
      <c r="O25" s="91"/>
      <c r="P25" s="91"/>
    </row>
    <row r="26" spans="1:16" x14ac:dyDescent="0.2">
      <c r="A26" s="93"/>
      <c r="B26" s="93"/>
      <c r="C26" s="93"/>
    </row>
    <row r="33" spans="1:8" x14ac:dyDescent="0.2">
      <c r="A33" s="106"/>
      <c r="H33" s="1"/>
    </row>
    <row r="34" spans="1:8" ht="13.5" thickBot="1" x14ac:dyDescent="0.25">
      <c r="A34" s="106"/>
      <c r="H34" s="107">
        <f>SUM(H18:H33)</f>
        <v>159205.62683899901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Fifty-Nine Thousand Two Hundred Five and 63/100 -----------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D38" s="91" t="s">
        <v>8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</row>
    <row r="42" spans="1:8" x14ac:dyDescent="0.2">
      <c r="A42" s="101"/>
      <c r="B42" s="101"/>
      <c r="D42" s="101" t="s">
        <v>120</v>
      </c>
    </row>
    <row r="43" spans="1:8" x14ac:dyDescent="0.2">
      <c r="D43" s="61" t="s">
        <v>50</v>
      </c>
    </row>
    <row r="44" spans="1:8" x14ac:dyDescent="0.2">
      <c r="D44" s="61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 t="s">
        <v>120</v>
      </c>
      <c r="B49" s="101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61" t="s">
        <v>4066</v>
      </c>
      <c r="B50" s="104"/>
      <c r="C50" s="104"/>
      <c r="D50" s="61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02F6-9707-4683-8210-3C240CD32475}">
  <sheetPr codeName="Sheet688">
    <pageSetUpPr fitToPage="1"/>
  </sheetPr>
  <dimension ref="A1:I57"/>
  <sheetViews>
    <sheetView topLeftCell="A7"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1.140625" style="152" customWidth="1"/>
    <col min="4" max="4" width="23" style="152" customWidth="1"/>
    <col min="5" max="5" width="0.85546875" style="152" customWidth="1"/>
    <col min="6" max="6" width="16.4257812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55" t="s">
        <v>7104</v>
      </c>
      <c r="H9" s="153"/>
    </row>
    <row r="10" spans="1:8" x14ac:dyDescent="0.2">
      <c r="A10" s="153" t="s">
        <v>7108</v>
      </c>
      <c r="B10" s="153"/>
      <c r="C10" s="153"/>
      <c r="D10" s="153"/>
      <c r="E10" s="153"/>
      <c r="F10" s="155" t="s">
        <v>1357</v>
      </c>
      <c r="G10" s="155" t="s">
        <v>7107</v>
      </c>
      <c r="H10" s="153"/>
    </row>
    <row r="11" spans="1:8" x14ac:dyDescent="0.2">
      <c r="A11" s="153" t="s">
        <v>7109</v>
      </c>
      <c r="B11" s="153"/>
      <c r="C11" s="153"/>
      <c r="D11" s="153"/>
      <c r="E11" s="153"/>
      <c r="F11" s="155" t="s">
        <v>1330</v>
      </c>
      <c r="G11" s="155" t="s">
        <v>1220</v>
      </c>
      <c r="H11" s="153"/>
    </row>
    <row r="12" spans="1:8" x14ac:dyDescent="0.2">
      <c r="A12" s="153" t="s">
        <v>7110</v>
      </c>
      <c r="B12" s="153"/>
      <c r="C12" s="153"/>
      <c r="D12" s="153"/>
      <c r="E12" s="153"/>
      <c r="F12" s="155" t="s">
        <v>1377</v>
      </c>
      <c r="G12" s="94" t="s">
        <v>7105</v>
      </c>
      <c r="H12" s="153"/>
    </row>
    <row r="13" spans="1:8" x14ac:dyDescent="0.2">
      <c r="A13" s="153" t="s">
        <v>2412</v>
      </c>
      <c r="B13" s="153"/>
      <c r="C13" s="153"/>
      <c r="D13" s="153"/>
      <c r="E13" s="153"/>
      <c r="F13" s="153"/>
      <c r="G13" s="91"/>
      <c r="H13" s="153"/>
    </row>
    <row r="14" spans="1:8" x14ac:dyDescent="0.2">
      <c r="A14" s="153" t="s">
        <v>1314</v>
      </c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9" x14ac:dyDescent="0.2">
      <c r="A17" s="153"/>
      <c r="B17" s="153"/>
      <c r="C17" s="153"/>
      <c r="D17" s="153"/>
      <c r="E17" s="153"/>
      <c r="F17" s="153"/>
      <c r="G17" s="153"/>
      <c r="H17" s="153"/>
    </row>
    <row r="18" spans="1:9" x14ac:dyDescent="0.2">
      <c r="A18" s="153"/>
      <c r="B18" s="153"/>
      <c r="C18" s="153"/>
      <c r="D18" s="163" t="s">
        <v>7111</v>
      </c>
      <c r="E18" s="163"/>
      <c r="F18" s="153"/>
      <c r="G18" s="153"/>
      <c r="H18" s="153"/>
    </row>
    <row r="19" spans="1:9" x14ac:dyDescent="0.2">
      <c r="A19" s="153"/>
      <c r="B19" s="153"/>
      <c r="C19" s="153"/>
      <c r="D19" s="153"/>
      <c r="E19" s="153"/>
      <c r="F19" s="153"/>
      <c r="G19" s="153"/>
      <c r="H19" s="153"/>
      <c r="I19" s="153"/>
    </row>
    <row r="20" spans="1:9" x14ac:dyDescent="0.2">
      <c r="A20" s="166"/>
      <c r="B20" s="168"/>
      <c r="C20" s="168"/>
      <c r="D20" s="153" t="s">
        <v>7112</v>
      </c>
      <c r="E20" s="153"/>
      <c r="F20" s="153"/>
      <c r="G20" s="153"/>
      <c r="H20" s="153">
        <v>1000</v>
      </c>
      <c r="I20" s="153"/>
    </row>
    <row r="21" spans="1:9" x14ac:dyDescent="0.2">
      <c r="A21" s="153"/>
      <c r="B21" s="153"/>
      <c r="C21" s="153"/>
      <c r="D21" s="153"/>
      <c r="E21" s="153"/>
      <c r="F21" s="153"/>
      <c r="G21" s="153"/>
      <c r="H21" s="153"/>
      <c r="I21" s="153"/>
    </row>
    <row r="22" spans="1:9" x14ac:dyDescent="0.2">
      <c r="A22" s="166"/>
      <c r="B22" s="153"/>
      <c r="C22" s="153"/>
      <c r="D22" s="153"/>
      <c r="E22" s="153"/>
      <c r="F22" s="153"/>
      <c r="G22" s="153"/>
      <c r="H22" s="153"/>
      <c r="I22" s="153"/>
    </row>
    <row r="23" spans="1:9" x14ac:dyDescent="0.2">
      <c r="A23" s="165"/>
      <c r="B23" s="153"/>
      <c r="C23" s="153"/>
      <c r="D23" s="153"/>
      <c r="E23" s="153"/>
      <c r="H23" s="153"/>
      <c r="I23" s="153"/>
    </row>
    <row r="24" spans="1:9" x14ac:dyDescent="0.2">
      <c r="A24" s="165"/>
      <c r="B24" s="153"/>
      <c r="C24" s="153"/>
      <c r="D24" s="153"/>
      <c r="E24" s="153"/>
      <c r="F24" s="153"/>
      <c r="G24" s="153"/>
      <c r="H24" s="153"/>
      <c r="I24" s="153"/>
    </row>
    <row r="25" spans="1:9" x14ac:dyDescent="0.2">
      <c r="A25" s="166"/>
      <c r="B25" s="153"/>
      <c r="C25" s="153"/>
      <c r="D25" s="167"/>
      <c r="E25" s="167"/>
      <c r="F25" s="153"/>
      <c r="G25" s="153"/>
      <c r="H25" s="153"/>
      <c r="I25" s="153"/>
    </row>
    <row r="26" spans="1:9" x14ac:dyDescent="0.2">
      <c r="A26" s="164"/>
      <c r="B26" s="153"/>
      <c r="C26" s="153"/>
      <c r="D26" s="153"/>
      <c r="E26" s="153"/>
      <c r="F26" s="153"/>
      <c r="G26" s="153"/>
      <c r="H26" s="153"/>
      <c r="I26" s="153"/>
    </row>
    <row r="27" spans="1:9" x14ac:dyDescent="0.2">
      <c r="A27" s="166"/>
      <c r="B27" s="153"/>
      <c r="C27" s="153"/>
      <c r="D27" s="153"/>
      <c r="E27" s="153"/>
      <c r="F27" s="153"/>
      <c r="G27" s="153"/>
      <c r="H27" s="153"/>
      <c r="I27" s="153"/>
    </row>
    <row r="28" spans="1:9" x14ac:dyDescent="0.2">
      <c r="A28" s="164"/>
      <c r="B28" s="153"/>
      <c r="C28" s="153"/>
      <c r="D28" s="167"/>
      <c r="E28" s="167"/>
      <c r="F28" s="153"/>
      <c r="G28" s="153"/>
      <c r="H28" s="153"/>
      <c r="I28" s="153"/>
    </row>
    <row r="29" spans="1:9" x14ac:dyDescent="0.2">
      <c r="A29" s="164"/>
      <c r="B29" s="153"/>
      <c r="C29" s="153"/>
      <c r="D29" s="153"/>
      <c r="E29" s="153"/>
      <c r="F29" s="153"/>
      <c r="G29" s="153"/>
      <c r="H29" s="153"/>
      <c r="I29" s="153"/>
    </row>
    <row r="30" spans="1:9" x14ac:dyDescent="0.2">
      <c r="A30" s="168"/>
      <c r="B30" s="169"/>
      <c r="C30" s="169"/>
      <c r="I30" s="153"/>
    </row>
    <row r="31" spans="1:9" x14ac:dyDescent="0.2">
      <c r="A31" s="168"/>
      <c r="B31" s="169"/>
      <c r="C31" s="169"/>
      <c r="D31" s="153"/>
      <c r="E31" s="153"/>
      <c r="F31" s="153"/>
      <c r="G31" s="153"/>
      <c r="H31" s="153"/>
      <c r="I31" s="153"/>
    </row>
    <row r="32" spans="1:9" x14ac:dyDescent="0.2">
      <c r="A32" s="168"/>
      <c r="B32" s="169"/>
      <c r="C32" s="169"/>
      <c r="D32" s="153"/>
      <c r="E32" s="153"/>
      <c r="F32" s="153"/>
      <c r="G32" s="153"/>
      <c r="H32" s="153"/>
      <c r="I32" s="153"/>
    </row>
    <row r="33" spans="1:9" x14ac:dyDescent="0.2">
      <c r="A33" s="168"/>
      <c r="B33" s="169"/>
      <c r="C33" s="169"/>
      <c r="D33" s="153"/>
      <c r="E33" s="153"/>
      <c r="F33" s="153"/>
      <c r="G33" s="153"/>
      <c r="H33" s="153"/>
      <c r="I33" s="153"/>
    </row>
    <row r="34" spans="1:9" x14ac:dyDescent="0.2">
      <c r="A34" s="153"/>
      <c r="B34" s="153"/>
      <c r="C34" s="153"/>
      <c r="D34" s="153"/>
      <c r="E34" s="153"/>
      <c r="F34" s="153"/>
      <c r="G34" s="153"/>
      <c r="I34" s="153"/>
    </row>
    <row r="35" spans="1:9" ht="13.5" thickBot="1" x14ac:dyDescent="0.25">
      <c r="A35" s="153"/>
      <c r="B35" s="153"/>
      <c r="C35" s="153"/>
      <c r="D35" s="153"/>
      <c r="E35" s="153"/>
      <c r="F35" s="153"/>
      <c r="G35" s="153"/>
      <c r="H35" s="170">
        <f>SUM(H20:H33)</f>
        <v>1000</v>
      </c>
      <c r="I35" s="153"/>
    </row>
    <row r="36" spans="1:9" ht="13.5" thickTop="1" x14ac:dyDescent="0.2">
      <c r="A36" s="153"/>
      <c r="B36" s="153"/>
      <c r="C36" s="153"/>
      <c r="D36" s="153"/>
      <c r="E36" s="153"/>
      <c r="I36" s="153"/>
    </row>
    <row r="37" spans="1:9" ht="20.100000000000001" customHeight="1" x14ac:dyDescent="0.2">
      <c r="A37" s="171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and NO/100 -----------</v>
      </c>
      <c r="C37" s="185"/>
      <c r="D37" s="172"/>
      <c r="E37" s="172"/>
      <c r="F37" s="172"/>
      <c r="G37" s="172"/>
      <c r="H37" s="172"/>
      <c r="I37" s="153"/>
    </row>
    <row r="38" spans="1:9" ht="20.100000000000001" customHeight="1" x14ac:dyDescent="0.2">
      <c r="A38" s="197"/>
      <c r="B38" s="103"/>
      <c r="C38" s="103"/>
      <c r="D38" s="156"/>
      <c r="E38" s="156"/>
      <c r="F38" s="156"/>
      <c r="G38" s="156"/>
      <c r="H38" s="156"/>
      <c r="I38" s="153"/>
    </row>
    <row r="39" spans="1:9" ht="25.5" x14ac:dyDescent="0.2">
      <c r="A39" s="169" t="s">
        <v>3973</v>
      </c>
      <c r="B39" s="153"/>
      <c r="C39" s="153"/>
      <c r="D39" s="175"/>
      <c r="E39" s="153"/>
      <c r="F39" s="218" t="s">
        <v>3975</v>
      </c>
      <c r="G39" s="219"/>
      <c r="H39" s="220"/>
    </row>
    <row r="40" spans="1:9" x14ac:dyDescent="0.2">
      <c r="A40" s="153"/>
      <c r="B40" s="153"/>
      <c r="C40" s="153"/>
      <c r="D40" s="153"/>
      <c r="E40" s="153"/>
      <c r="F40" s="228"/>
      <c r="G40" s="229"/>
      <c r="H40" s="229"/>
    </row>
    <row r="41" spans="1:9" x14ac:dyDescent="0.2">
      <c r="B41" s="153"/>
      <c r="C41" s="153"/>
      <c r="D41" s="153"/>
      <c r="E41" s="173"/>
      <c r="F41" s="153"/>
      <c r="G41" s="153"/>
      <c r="H41" s="153"/>
    </row>
    <row r="42" spans="1:9" x14ac:dyDescent="0.2">
      <c r="A42" s="153"/>
      <c r="B42" s="153"/>
      <c r="C42" s="153"/>
      <c r="D42" s="153"/>
      <c r="E42" s="173"/>
      <c r="F42" s="153"/>
      <c r="G42" s="153"/>
      <c r="H42" s="153"/>
    </row>
    <row r="43" spans="1:9" x14ac:dyDescent="0.2">
      <c r="A43" s="174"/>
      <c r="B43" s="174"/>
      <c r="C43" s="153"/>
      <c r="D43" s="153"/>
      <c r="E43" s="153"/>
      <c r="F43" s="153"/>
      <c r="G43" s="153"/>
      <c r="H43" s="153"/>
    </row>
    <row r="44" spans="1:9" x14ac:dyDescent="0.2">
      <c r="A44" s="153"/>
      <c r="B44" s="153"/>
      <c r="C44" s="153"/>
      <c r="D44" s="225"/>
      <c r="E44" s="153"/>
      <c r="F44" s="153"/>
      <c r="G44" s="153"/>
      <c r="H44" s="153"/>
    </row>
    <row r="45" spans="1:9" x14ac:dyDescent="0.2">
      <c r="B45" s="153"/>
      <c r="C45" s="153"/>
      <c r="D45" s="153"/>
      <c r="E45" s="153"/>
      <c r="F45" s="153"/>
      <c r="G45" s="153"/>
      <c r="H45" s="153"/>
    </row>
    <row r="46" spans="1:9" x14ac:dyDescent="0.2">
      <c r="A46" s="175" t="s">
        <v>8</v>
      </c>
      <c r="D46" s="175" t="s">
        <v>8</v>
      </c>
      <c r="E46" s="153"/>
      <c r="F46" s="175" t="s">
        <v>7</v>
      </c>
      <c r="G46" s="153"/>
      <c r="H46" s="176"/>
    </row>
    <row r="47" spans="1:9" x14ac:dyDescent="0.2">
      <c r="A47" s="153"/>
      <c r="B47" s="153"/>
      <c r="C47" s="153"/>
      <c r="D47" s="153"/>
      <c r="E47" s="153"/>
      <c r="F47" s="153"/>
      <c r="G47" s="153"/>
      <c r="H47" s="153"/>
    </row>
    <row r="48" spans="1:9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53"/>
      <c r="B49" s="153"/>
      <c r="C49" s="153"/>
      <c r="D49" s="153"/>
      <c r="E49" s="153"/>
      <c r="F49" s="153"/>
      <c r="G49" s="153"/>
      <c r="H49" s="153"/>
    </row>
    <row r="50" spans="1:8" x14ac:dyDescent="0.2">
      <c r="A50" s="174"/>
      <c r="B50" s="174"/>
      <c r="C50" s="153"/>
      <c r="D50" s="174"/>
      <c r="E50" s="153"/>
      <c r="F50" s="174"/>
      <c r="G50" s="174"/>
      <c r="H50" s="174"/>
    </row>
    <row r="51" spans="1:8" s="178" customFormat="1" ht="17.100000000000001" customHeight="1" x14ac:dyDescent="0.2">
      <c r="A51" s="225" t="s">
        <v>4066</v>
      </c>
      <c r="B51" s="177"/>
      <c r="C51" s="177"/>
      <c r="D51" s="225" t="s">
        <v>50</v>
      </c>
      <c r="E51" s="156"/>
      <c r="F51" s="156" t="s">
        <v>3</v>
      </c>
      <c r="G51" s="156"/>
      <c r="H51" s="156"/>
    </row>
    <row r="52" spans="1:8" x14ac:dyDescent="0.2">
      <c r="A52" s="153"/>
      <c r="B52" s="153"/>
      <c r="C52" s="153"/>
      <c r="D52" s="153"/>
      <c r="E52" s="153"/>
      <c r="F52" s="153" t="s">
        <v>2</v>
      </c>
      <c r="G52" s="153"/>
      <c r="H52" s="153"/>
    </row>
    <row r="53" spans="1:8" x14ac:dyDescent="0.2">
      <c r="A53" s="153"/>
      <c r="B53" s="153"/>
      <c r="C53" s="153"/>
      <c r="D53" s="153"/>
      <c r="E53" s="153"/>
      <c r="F53" s="153"/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1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63" t="s">
        <v>0</v>
      </c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  <row r="57" spans="1:8" x14ac:dyDescent="0.2">
      <c r="A57" s="153"/>
      <c r="B57" s="153"/>
      <c r="C57" s="153"/>
      <c r="D57" s="153"/>
      <c r="E57" s="153"/>
      <c r="F57" s="153"/>
      <c r="G57" s="153"/>
      <c r="H57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7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2-000000000000}">
  <sheetPr codeName="Sheet615">
    <pageSetUpPr fitToPage="1"/>
  </sheetPr>
  <dimension ref="A1:F55"/>
  <sheetViews>
    <sheetView topLeftCell="A4"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5921</v>
      </c>
      <c r="D9" s="92" t="s">
        <v>1358</v>
      </c>
      <c r="E9" s="91" t="s">
        <v>5919</v>
      </c>
    </row>
    <row r="10" spans="1:6" x14ac:dyDescent="0.2">
      <c r="A10" s="91" t="s">
        <v>5922</v>
      </c>
      <c r="D10" s="92" t="s">
        <v>1357</v>
      </c>
      <c r="E10" s="91" t="s">
        <v>5912</v>
      </c>
    </row>
    <row r="11" spans="1:6" x14ac:dyDescent="0.2">
      <c r="A11" s="91" t="s">
        <v>5923</v>
      </c>
      <c r="D11" s="92" t="s">
        <v>1330</v>
      </c>
      <c r="E11" s="91" t="s">
        <v>1220</v>
      </c>
    </row>
    <row r="12" spans="1:6" x14ac:dyDescent="0.2">
      <c r="A12" s="91" t="s">
        <v>5871</v>
      </c>
      <c r="D12" s="92" t="s">
        <v>1224</v>
      </c>
      <c r="E12" s="91" t="s">
        <v>5920</v>
      </c>
    </row>
    <row r="13" spans="1:6" x14ac:dyDescent="0.2">
      <c r="A13" s="91" t="s">
        <v>4650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5708</v>
      </c>
    </row>
    <row r="20" spans="1:6" x14ac:dyDescent="0.2">
      <c r="A20" s="93"/>
      <c r="B20" s="93"/>
      <c r="C20" s="91" t="s">
        <v>5924</v>
      </c>
      <c r="F20" s="91">
        <v>5000</v>
      </c>
    </row>
    <row r="21" spans="1:6" x14ac:dyDescent="0.2">
      <c r="C21" s="91" t="s">
        <v>2147</v>
      </c>
      <c r="F21" s="91">
        <f>F20*6%</f>
        <v>300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  <c r="B26" s="93"/>
    </row>
    <row r="28" spans="1:6" x14ac:dyDescent="0.2">
      <c r="A28" s="93"/>
      <c r="B28" s="93"/>
    </row>
    <row r="29" spans="1:6" x14ac:dyDescent="0.2">
      <c r="A29" s="93"/>
      <c r="B29" s="99"/>
    </row>
    <row r="30" spans="1:6" x14ac:dyDescent="0.2">
      <c r="A30" s="93"/>
      <c r="B30" s="93"/>
    </row>
    <row r="31" spans="1:6" x14ac:dyDescent="0.2">
      <c r="A31" s="93"/>
      <c r="B31" s="99"/>
    </row>
    <row r="32" spans="1:6" x14ac:dyDescent="0.2">
      <c r="C32" s="2"/>
    </row>
    <row r="34" spans="1:6" x14ac:dyDescent="0.2">
      <c r="A34" s="93"/>
      <c r="B34" s="99"/>
    </row>
    <row r="36" spans="1:6" ht="13.5" thickBot="1" x14ac:dyDescent="0.25">
      <c r="F36" s="95">
        <f>SUM(F18:F35)</f>
        <v>5300</v>
      </c>
    </row>
    <row r="37" spans="1:6" ht="13.5" thickTop="1" x14ac:dyDescent="0.2"/>
    <row r="38" spans="1:6" ht="20.100000000000001" customHeight="1" x14ac:dyDescent="0.2">
      <c r="A38" s="96" t="s">
        <v>1075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Five Thousand Three Hundred and NO/100 -----------</v>
      </c>
      <c r="C38" s="97"/>
      <c r="D38" s="222"/>
      <c r="E38" s="222"/>
      <c r="F38" s="222"/>
    </row>
    <row r="39" spans="1:6" ht="20.100000000000001" customHeight="1" x14ac:dyDescent="0.2">
      <c r="A39" s="113"/>
      <c r="B39" s="103"/>
      <c r="C39" s="61"/>
      <c r="D39" s="222"/>
      <c r="E39" s="222"/>
      <c r="F39" s="222"/>
    </row>
    <row r="40" spans="1:6" ht="25.5" x14ac:dyDescent="0.2">
      <c r="A40" s="235" t="s">
        <v>3973</v>
      </c>
      <c r="D40" s="218" t="s">
        <v>3975</v>
      </c>
      <c r="E40" s="219"/>
      <c r="F40" s="220"/>
    </row>
    <row r="41" spans="1:6" x14ac:dyDescent="0.2">
      <c r="A41" s="98"/>
      <c r="D41" s="228"/>
      <c r="E41" s="229"/>
      <c r="F41" s="229"/>
    </row>
    <row r="42" spans="1:6" x14ac:dyDescent="0.2">
      <c r="C42" s="99"/>
    </row>
    <row r="43" spans="1:6" x14ac:dyDescent="0.2">
      <c r="A43" s="98"/>
      <c r="C43" s="99"/>
    </row>
    <row r="44" spans="1:6" x14ac:dyDescent="0.2">
      <c r="A44" s="100"/>
      <c r="B44" s="101"/>
    </row>
    <row r="45" spans="1:6" x14ac:dyDescent="0.2">
      <c r="A45" s="98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8"/>
    </row>
    <row r="48" spans="1:6" x14ac:dyDescent="0.2">
      <c r="A48" s="98"/>
    </row>
    <row r="49" spans="1:6" x14ac:dyDescent="0.2">
      <c r="A49" s="98"/>
    </row>
    <row r="50" spans="1:6" x14ac:dyDescent="0.2">
      <c r="A50" s="100"/>
      <c r="B50" s="101"/>
      <c r="D50" s="101"/>
      <c r="E50" s="101"/>
      <c r="F50" s="101"/>
    </row>
    <row r="51" spans="1:6" s="61" customFormat="1" ht="17.100000000000001" customHeight="1" x14ac:dyDescent="0.2">
      <c r="A51" s="98" t="s">
        <v>4047</v>
      </c>
      <c r="B51" s="104"/>
      <c r="D51" s="61" t="s">
        <v>3</v>
      </c>
    </row>
    <row r="52" spans="1:6" x14ac:dyDescent="0.2">
      <c r="A52" s="98"/>
      <c r="D52" s="91" t="s">
        <v>2</v>
      </c>
    </row>
    <row r="53" spans="1:6" x14ac:dyDescent="0.2">
      <c r="A53" s="98"/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7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2-000000000000}">
  <sheetPr codeName="Sheet577"/>
  <dimension ref="A1:H54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3" t="s">
        <v>8661</v>
      </c>
    </row>
    <row r="10" spans="1:8" x14ac:dyDescent="0.2">
      <c r="A10" s="91" t="s">
        <v>3293</v>
      </c>
      <c r="F10" s="92" t="s">
        <v>1329</v>
      </c>
      <c r="G10" s="155" t="s">
        <v>8628</v>
      </c>
    </row>
    <row r="11" spans="1:8" x14ac:dyDescent="0.2">
      <c r="A11" s="91" t="s">
        <v>3297</v>
      </c>
      <c r="F11" s="92" t="s">
        <v>1330</v>
      </c>
      <c r="G11" s="155" t="s">
        <v>2625</v>
      </c>
    </row>
    <row r="12" spans="1:8" x14ac:dyDescent="0.2">
      <c r="A12" s="91" t="s">
        <v>5674</v>
      </c>
      <c r="F12" s="92" t="s">
        <v>1224</v>
      </c>
      <c r="G12" s="155" t="s">
        <v>8662</v>
      </c>
    </row>
    <row r="13" spans="1:8" x14ac:dyDescent="0.2">
      <c r="A13" s="91" t="s">
        <v>4075</v>
      </c>
      <c r="G13" s="153" t="s">
        <v>7762</v>
      </c>
    </row>
    <row r="14" spans="1:8" x14ac:dyDescent="0.2">
      <c r="A14" s="91" t="s">
        <v>1314</v>
      </c>
    </row>
    <row r="16" spans="1:8" s="67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5673</v>
      </c>
      <c r="E18" s="2"/>
    </row>
    <row r="19" spans="1:8" x14ac:dyDescent="0.2">
      <c r="D19" s="2"/>
      <c r="E19" s="2"/>
    </row>
    <row r="20" spans="1:8" x14ac:dyDescent="0.2">
      <c r="A20" s="134"/>
      <c r="B20" s="93"/>
      <c r="C20" s="93"/>
      <c r="D20" s="91" t="s">
        <v>8663</v>
      </c>
      <c r="H20" s="91">
        <v>160</v>
      </c>
    </row>
    <row r="21" spans="1:8" x14ac:dyDescent="0.2">
      <c r="A21" s="93"/>
      <c r="B21" s="93"/>
      <c r="C21" s="93"/>
      <c r="D21" s="91" t="s">
        <v>8664</v>
      </c>
      <c r="H21" s="91">
        <v>160</v>
      </c>
    </row>
    <row r="22" spans="1:8" x14ac:dyDescent="0.2">
      <c r="A22" s="134"/>
      <c r="B22" s="93"/>
      <c r="C22" s="93"/>
    </row>
    <row r="23" spans="1:8" x14ac:dyDescent="0.2">
      <c r="A23" s="94"/>
      <c r="D23" s="2"/>
    </row>
    <row r="24" spans="1:8" x14ac:dyDescent="0.2">
      <c r="A24" s="94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4"/>
    </row>
    <row r="29" spans="1:8" x14ac:dyDescent="0.2">
      <c r="A29" s="93"/>
      <c r="B29" s="99"/>
    </row>
    <row r="30" spans="1:8" x14ac:dyDescent="0.2">
      <c r="D30" s="2"/>
      <c r="E30" s="2"/>
    </row>
    <row r="31" spans="1:8" x14ac:dyDescent="0.2">
      <c r="E31" s="2"/>
    </row>
    <row r="32" spans="1:8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93"/>
      <c r="B33" s="99"/>
      <c r="C33" s="1"/>
      <c r="E33" s="1"/>
      <c r="F33" s="1"/>
      <c r="G33" s="1"/>
    </row>
    <row r="34" spans="1:8" x14ac:dyDescent="0.2">
      <c r="A34" s="112"/>
    </row>
    <row r="35" spans="1:8" ht="13.5" thickBot="1" x14ac:dyDescent="0.25">
      <c r="A35" s="112"/>
      <c r="H35" s="95">
        <f>SUM(H20:H34)</f>
        <v>320</v>
      </c>
    </row>
    <row r="36" spans="1:8" ht="13.5" thickTop="1" x14ac:dyDescent="0.2">
      <c r="A36" s="112"/>
      <c r="H36" s="238"/>
    </row>
    <row r="37" spans="1:8" ht="20.100000000000001" customHeight="1" x14ac:dyDescent="0.2">
      <c r="A37" s="96" t="s">
        <v>1347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Twenty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A42" s="98" t="s">
        <v>121</v>
      </c>
      <c r="D42" s="99"/>
      <c r="E42" s="99"/>
      <c r="F42" s="228"/>
      <c r="G42" s="229"/>
      <c r="H42" s="229"/>
    </row>
    <row r="43" spans="1:8" x14ac:dyDescent="0.2">
      <c r="A43" s="23"/>
      <c r="B43" s="101"/>
    </row>
    <row r="44" spans="1:8" x14ac:dyDescent="0.2">
      <c r="A44" s="98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D49" s="100"/>
      <c r="F49" s="101"/>
      <c r="G49" s="101"/>
      <c r="H49" s="101"/>
    </row>
    <row r="50" spans="1:8" s="3" customFormat="1" ht="17.100000000000001" customHeight="1" x14ac:dyDescent="0.2">
      <c r="A50" s="103" t="s">
        <v>4047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D51" s="103"/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DE96-EFB3-47ED-BB29-D38E460C1E22}">
  <sheetPr codeName="Sheet783"/>
  <dimension ref="A1:H54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" style="91" customWidth="1"/>
    <col min="2" max="2" width="12.42578125" style="91" customWidth="1"/>
    <col min="3" max="3" width="1" style="91" customWidth="1"/>
    <col min="4" max="4" width="21" style="91" customWidth="1"/>
    <col min="5" max="5" width="1.710937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153" t="s">
        <v>8665</v>
      </c>
    </row>
    <row r="10" spans="1:8" x14ac:dyDescent="0.2">
      <c r="A10" s="91" t="s">
        <v>8667</v>
      </c>
      <c r="F10" s="92" t="s">
        <v>1329</v>
      </c>
      <c r="G10" s="155" t="s">
        <v>8628</v>
      </c>
    </row>
    <row r="11" spans="1:8" x14ac:dyDescent="0.2">
      <c r="A11" s="91" t="s">
        <v>8668</v>
      </c>
      <c r="F11" s="92" t="s">
        <v>1330</v>
      </c>
      <c r="G11" s="155" t="s">
        <v>2625</v>
      </c>
    </row>
    <row r="12" spans="1:8" x14ac:dyDescent="0.2">
      <c r="A12" s="91" t="s">
        <v>8669</v>
      </c>
      <c r="F12" s="92" t="s">
        <v>1224</v>
      </c>
      <c r="G12" s="155" t="s">
        <v>8666</v>
      </c>
    </row>
    <row r="13" spans="1:8" x14ac:dyDescent="0.2">
      <c r="A13" s="91" t="s">
        <v>8670</v>
      </c>
      <c r="G13" s="153" t="s">
        <v>7762</v>
      </c>
    </row>
    <row r="16" spans="1:8" s="67" customFormat="1" ht="20.100000000000001" customHeight="1" x14ac:dyDescent="0.2">
      <c r="A16" s="17" t="s">
        <v>1247</v>
      </c>
      <c r="B16" s="504" t="s">
        <v>128</v>
      </c>
      <c r="C16" s="504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12"/>
    </row>
    <row r="18" spans="1:8" x14ac:dyDescent="0.2">
      <c r="D18" s="2" t="s">
        <v>4118</v>
      </c>
      <c r="E18" s="2"/>
    </row>
    <row r="19" spans="1:8" x14ac:dyDescent="0.2">
      <c r="D19" s="2"/>
      <c r="E19" s="2"/>
    </row>
    <row r="20" spans="1:8" x14ac:dyDescent="0.2">
      <c r="A20" s="134" t="s">
        <v>8604</v>
      </c>
      <c r="B20" s="93"/>
      <c r="C20" s="93"/>
      <c r="D20" s="91" t="s">
        <v>8671</v>
      </c>
      <c r="H20" s="91">
        <v>600</v>
      </c>
    </row>
    <row r="21" spans="1:8" x14ac:dyDescent="0.2">
      <c r="A21" s="93"/>
      <c r="B21" s="93"/>
      <c r="C21" s="93"/>
    </row>
    <row r="22" spans="1:8" x14ac:dyDescent="0.2">
      <c r="A22" s="134"/>
      <c r="B22" s="93"/>
      <c r="C22" s="93"/>
    </row>
    <row r="23" spans="1:8" x14ac:dyDescent="0.2">
      <c r="A23" s="94"/>
      <c r="D23" s="2"/>
    </row>
    <row r="24" spans="1:8" x14ac:dyDescent="0.2">
      <c r="A24" s="94"/>
    </row>
    <row r="25" spans="1:8" x14ac:dyDescent="0.2">
      <c r="A25" s="94"/>
    </row>
    <row r="26" spans="1:8" x14ac:dyDescent="0.2">
      <c r="A26" s="94"/>
    </row>
    <row r="27" spans="1:8" x14ac:dyDescent="0.2">
      <c r="A27" s="94"/>
    </row>
    <row r="28" spans="1:8" x14ac:dyDescent="0.2">
      <c r="A28" s="94"/>
    </row>
    <row r="29" spans="1:8" x14ac:dyDescent="0.2">
      <c r="A29" s="93"/>
      <c r="B29" s="505"/>
    </row>
    <row r="30" spans="1:8" x14ac:dyDescent="0.2">
      <c r="D30" s="2"/>
      <c r="E30" s="2"/>
    </row>
    <row r="31" spans="1:8" x14ac:dyDescent="0.2">
      <c r="E31" s="2"/>
    </row>
    <row r="32" spans="1:8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93"/>
      <c r="B33" s="505"/>
      <c r="C33" s="1"/>
      <c r="E33" s="1"/>
      <c r="F33" s="1"/>
      <c r="G33" s="1"/>
    </row>
    <row r="34" spans="1:8" x14ac:dyDescent="0.2">
      <c r="A34" s="112"/>
    </row>
    <row r="35" spans="1:8" ht="13.5" thickBot="1" x14ac:dyDescent="0.25">
      <c r="A35" s="112"/>
      <c r="H35" s="95">
        <f>SUM(H20:H34)</f>
        <v>600</v>
      </c>
    </row>
    <row r="36" spans="1:8" ht="13.5" thickTop="1" x14ac:dyDescent="0.2">
      <c r="A36" s="112"/>
      <c r="H36" s="238"/>
    </row>
    <row r="37" spans="1:8" ht="20.100000000000001" customHeight="1" x14ac:dyDescent="0.2">
      <c r="A37" s="96" t="s">
        <v>1347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A42" s="98" t="s">
        <v>121</v>
      </c>
      <c r="D42" s="505"/>
      <c r="E42" s="505"/>
      <c r="F42" s="228"/>
      <c r="G42" s="229"/>
      <c r="H42" s="229"/>
    </row>
    <row r="43" spans="1:8" x14ac:dyDescent="0.2">
      <c r="A43" s="23"/>
      <c r="B43" s="101"/>
    </row>
    <row r="44" spans="1:8" x14ac:dyDescent="0.2">
      <c r="A44" s="98"/>
    </row>
    <row r="45" spans="1:8" x14ac:dyDescent="0.2">
      <c r="A45" s="98" t="s">
        <v>8</v>
      </c>
      <c r="D45" s="98" t="s">
        <v>8</v>
      </c>
      <c r="F45" s="98" t="s">
        <v>7</v>
      </c>
      <c r="H45" s="102"/>
    </row>
    <row r="46" spans="1:8" x14ac:dyDescent="0.2">
      <c r="A46" s="98"/>
      <c r="D46" s="98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100"/>
      <c r="B49" s="101"/>
      <c r="D49" s="100"/>
      <c r="F49" s="101"/>
      <c r="G49" s="101"/>
      <c r="H49" s="101"/>
    </row>
    <row r="50" spans="1:8" s="3" customFormat="1" ht="17.100000000000001" customHeight="1" x14ac:dyDescent="0.2">
      <c r="A50" s="103" t="s">
        <v>4047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D51" s="103"/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2-000000000000}">
  <sheetPr codeName="Sheet560">
    <pageSetUpPr fitToPage="1"/>
  </sheetPr>
  <dimension ref="A1:I56"/>
  <sheetViews>
    <sheetView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85546875" style="120" customWidth="1"/>
    <col min="3" max="3" width="0.7109375" style="120" customWidth="1"/>
    <col min="4" max="4" width="19.85546875" style="120" customWidth="1"/>
    <col min="5" max="5" width="1.140625" style="120" customWidth="1"/>
    <col min="6" max="6" width="16.42578125" style="120" customWidth="1"/>
    <col min="7" max="7" width="8.140625" style="120" customWidth="1"/>
    <col min="8" max="8" width="13.28515625" style="120" customWidth="1"/>
    <col min="9" max="9" width="16.140625" style="37" customWidth="1"/>
    <col min="10" max="16384" width="9.140625" style="37"/>
  </cols>
  <sheetData>
    <row r="1" spans="1:9" ht="15" customHeight="1" x14ac:dyDescent="0.3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ht="12.75" customHeight="1" x14ac:dyDescent="0.3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ht="12.75" customHeight="1" x14ac:dyDescent="0.3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ht="12.75" customHeight="1" x14ac:dyDescent="0.3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9" ht="12.75" customHeight="1" x14ac:dyDescent="0.3">
      <c r="A5" s="91"/>
      <c r="B5" s="91"/>
      <c r="C5" s="91"/>
      <c r="D5" s="91"/>
      <c r="E5" s="91"/>
      <c r="F5" s="91"/>
      <c r="G5" s="91"/>
      <c r="H5" s="91"/>
    </row>
    <row r="6" spans="1:9" ht="12.75" customHeight="1" x14ac:dyDescent="0.3">
      <c r="A6" s="91"/>
      <c r="B6" s="91"/>
      <c r="C6" s="91"/>
      <c r="D6" s="91"/>
      <c r="E6" s="91"/>
      <c r="F6" s="91"/>
      <c r="G6" s="91"/>
      <c r="H6" s="91"/>
    </row>
    <row r="7" spans="1:9" ht="12.75" customHeight="1" x14ac:dyDescent="0.3">
      <c r="A7" s="91"/>
      <c r="B7" s="91"/>
      <c r="C7" s="91"/>
      <c r="D7" s="91"/>
      <c r="E7" s="91"/>
      <c r="F7" s="91"/>
      <c r="G7" s="91"/>
      <c r="H7" s="91"/>
    </row>
    <row r="8" spans="1:9" s="38" customFormat="1" ht="12.75" customHeight="1" x14ac:dyDescent="0.2">
      <c r="A8" s="61" t="s">
        <v>32</v>
      </c>
      <c r="B8" s="61"/>
      <c r="C8" s="61"/>
      <c r="D8" s="61"/>
      <c r="E8" s="61"/>
      <c r="F8" s="57" t="s">
        <v>31</v>
      </c>
      <c r="G8" s="61"/>
      <c r="H8" s="61"/>
    </row>
    <row r="9" spans="1:9" s="38" customFormat="1" ht="12.75" customHeight="1" x14ac:dyDescent="0.2">
      <c r="A9" s="61"/>
      <c r="B9" s="61"/>
      <c r="C9" s="61"/>
      <c r="D9" s="61"/>
      <c r="E9" s="61"/>
      <c r="F9" s="113" t="s">
        <v>1353</v>
      </c>
      <c r="G9" s="61" t="s">
        <v>6001</v>
      </c>
      <c r="H9" s="91"/>
    </row>
    <row r="10" spans="1:9" s="38" customFormat="1" ht="12.75" customHeight="1" x14ac:dyDescent="0.2">
      <c r="A10" s="61" t="s">
        <v>5499</v>
      </c>
      <c r="B10" s="61"/>
      <c r="C10" s="61"/>
      <c r="D10" s="61"/>
      <c r="E10" s="61"/>
      <c r="F10" s="113" t="s">
        <v>1335</v>
      </c>
      <c r="G10" s="113" t="s">
        <v>5975</v>
      </c>
      <c r="H10" s="91"/>
    </row>
    <row r="11" spans="1:9" s="38" customFormat="1" ht="12.75" customHeight="1" x14ac:dyDescent="0.2">
      <c r="A11" s="61" t="s">
        <v>5500</v>
      </c>
      <c r="B11" s="61"/>
      <c r="C11" s="61"/>
      <c r="D11" s="61"/>
      <c r="E11" s="61"/>
      <c r="F11" s="113" t="s">
        <v>1354</v>
      </c>
      <c r="G11" s="113" t="s">
        <v>1220</v>
      </c>
      <c r="H11" s="91"/>
    </row>
    <row r="12" spans="1:9" s="38" customFormat="1" ht="12.75" customHeight="1" x14ac:dyDescent="0.2">
      <c r="A12" s="61" t="s">
        <v>5501</v>
      </c>
      <c r="B12" s="61"/>
      <c r="C12" s="61"/>
      <c r="D12" s="61"/>
      <c r="E12" s="61"/>
      <c r="F12" s="113" t="s">
        <v>1355</v>
      </c>
      <c r="G12" s="113" t="s">
        <v>6002</v>
      </c>
      <c r="H12" s="91"/>
    </row>
    <row r="13" spans="1:9" s="38" customFormat="1" ht="12.75" customHeight="1" x14ac:dyDescent="0.2">
      <c r="A13" s="61" t="s">
        <v>5502</v>
      </c>
      <c r="B13" s="61"/>
      <c r="C13" s="61"/>
      <c r="D13" s="61"/>
      <c r="E13" s="61"/>
      <c r="F13" s="61"/>
      <c r="G13" s="91"/>
      <c r="H13" s="61"/>
    </row>
    <row r="14" spans="1:9" s="38" customFormat="1" ht="12.75" customHeight="1" x14ac:dyDescent="0.2">
      <c r="A14" s="61" t="s">
        <v>5503</v>
      </c>
      <c r="B14" s="61"/>
      <c r="C14" s="61"/>
      <c r="D14" s="61"/>
      <c r="E14" s="61"/>
      <c r="F14" s="61"/>
      <c r="G14" s="61"/>
      <c r="H14" s="61"/>
    </row>
    <row r="15" spans="1:9" s="46" customFormat="1" ht="12.75" customHeight="1" x14ac:dyDescent="0.2">
      <c r="A15" s="61" t="s">
        <v>5504</v>
      </c>
      <c r="B15" s="61"/>
      <c r="C15" s="61"/>
      <c r="D15" s="61"/>
      <c r="E15" s="61"/>
      <c r="F15" s="61"/>
      <c r="G15" s="61"/>
      <c r="H15" s="61"/>
    </row>
    <row r="16" spans="1:9" s="46" customFormat="1" x14ac:dyDescent="0.2">
      <c r="A16" s="31" t="s">
        <v>129</v>
      </c>
      <c r="B16" s="31" t="s">
        <v>128</v>
      </c>
      <c r="C16" s="31"/>
      <c r="D16" s="18" t="s">
        <v>19</v>
      </c>
      <c r="E16" s="18"/>
      <c r="F16" s="17"/>
      <c r="G16" s="31"/>
      <c r="H16" s="15" t="s">
        <v>18</v>
      </c>
      <c r="I16" s="56"/>
    </row>
    <row r="17" spans="1:9" s="46" customFormat="1" ht="12.75" customHeight="1" x14ac:dyDescent="0.2">
      <c r="A17" s="130"/>
      <c r="B17" s="114"/>
      <c r="C17" s="114"/>
      <c r="D17" s="115"/>
      <c r="E17" s="115"/>
      <c r="F17" s="114"/>
      <c r="G17" s="116"/>
      <c r="H17" s="117"/>
      <c r="I17" s="56"/>
    </row>
    <row r="18" spans="1:9" s="126" customFormat="1" ht="12.75" customHeight="1" x14ac:dyDescent="0.2">
      <c r="A18" s="140"/>
      <c r="B18" s="190"/>
      <c r="C18" s="190"/>
      <c r="D18" s="14" t="s">
        <v>4580</v>
      </c>
      <c r="E18" s="61"/>
      <c r="H18" s="61"/>
    </row>
    <row r="19" spans="1:9" s="126" customFormat="1" ht="12.75" customHeight="1" x14ac:dyDescent="0.2">
      <c r="A19" s="140"/>
      <c r="B19" s="248"/>
      <c r="C19" s="248"/>
      <c r="D19" s="61"/>
      <c r="E19" s="61"/>
      <c r="H19" s="61"/>
    </row>
    <row r="20" spans="1:9" s="120" customFormat="1" ht="12.75" customHeight="1" x14ac:dyDescent="0.2">
      <c r="A20" s="140" t="s">
        <v>5498</v>
      </c>
      <c r="B20" s="142" t="s">
        <v>6003</v>
      </c>
      <c r="C20" s="248"/>
      <c r="D20" s="61" t="s">
        <v>6004</v>
      </c>
      <c r="E20" s="61"/>
      <c r="F20" s="126"/>
      <c r="G20" s="126"/>
      <c r="H20" s="61">
        <v>500</v>
      </c>
    </row>
    <row r="21" spans="1:9" s="120" customFormat="1" ht="12.75" customHeight="1" x14ac:dyDescent="0.2">
      <c r="A21" s="140"/>
      <c r="B21" s="190"/>
      <c r="C21" s="190"/>
      <c r="D21" s="61" t="s">
        <v>2147</v>
      </c>
      <c r="E21" s="61"/>
      <c r="F21" s="126"/>
      <c r="G21" s="126"/>
      <c r="H21" s="61">
        <f>H20*6%</f>
        <v>30</v>
      </c>
    </row>
    <row r="22" spans="1:9" s="120" customFormat="1" ht="12.75" customHeight="1" x14ac:dyDescent="0.2">
      <c r="A22" s="140"/>
      <c r="B22" s="190"/>
      <c r="C22" s="190"/>
      <c r="D22" s="61"/>
      <c r="E22" s="61"/>
      <c r="F22" s="126"/>
      <c r="G22" s="126"/>
      <c r="H22" s="61"/>
    </row>
    <row r="23" spans="1:9" s="120" customFormat="1" ht="12.75" customHeight="1" x14ac:dyDescent="0.2">
      <c r="A23" s="140"/>
      <c r="B23" s="248"/>
      <c r="C23" s="248"/>
      <c r="D23" s="61"/>
      <c r="E23" s="61"/>
      <c r="F23" s="126"/>
      <c r="G23" s="126"/>
      <c r="H23" s="61"/>
    </row>
    <row r="24" spans="1:9" s="120" customFormat="1" ht="12.75" customHeight="1" x14ac:dyDescent="0.2">
      <c r="A24" s="140"/>
      <c r="B24" s="190"/>
      <c r="C24" s="190"/>
      <c r="D24" s="61"/>
      <c r="E24" s="61"/>
      <c r="F24" s="126"/>
      <c r="G24" s="126"/>
      <c r="H24" s="61"/>
    </row>
    <row r="25" spans="1:9" ht="12.75" customHeight="1" x14ac:dyDescent="0.3">
      <c r="A25" s="118"/>
      <c r="B25" s="190"/>
      <c r="C25" s="190"/>
      <c r="D25" s="61"/>
      <c r="E25" s="61"/>
      <c r="F25" s="61"/>
      <c r="G25" s="61"/>
      <c r="H25" s="61"/>
    </row>
    <row r="26" spans="1:9" ht="12.75" customHeight="1" x14ac:dyDescent="0.3">
      <c r="A26" s="118"/>
      <c r="B26" s="190"/>
      <c r="C26" s="190"/>
      <c r="D26" s="61"/>
      <c r="E26" s="61"/>
      <c r="F26" s="61"/>
      <c r="G26" s="61"/>
      <c r="H26" s="61"/>
    </row>
    <row r="27" spans="1:9" ht="12.75" customHeight="1" x14ac:dyDescent="0.3">
      <c r="A27" s="118"/>
      <c r="B27" s="190"/>
      <c r="C27" s="190"/>
      <c r="D27" s="61"/>
      <c r="E27" s="61"/>
      <c r="F27" s="61"/>
      <c r="G27" s="61"/>
      <c r="H27" s="61"/>
    </row>
    <row r="28" spans="1:9" ht="12.75" customHeight="1" x14ac:dyDescent="0.3">
      <c r="A28" s="118"/>
      <c r="B28" s="190"/>
      <c r="C28" s="190"/>
      <c r="D28" s="61"/>
      <c r="E28" s="61"/>
      <c r="F28" s="61"/>
      <c r="G28" s="61"/>
      <c r="H28" s="61"/>
    </row>
    <row r="29" spans="1:9" ht="12.75" customHeight="1" x14ac:dyDescent="0.3">
      <c r="A29" s="118"/>
      <c r="B29" s="190"/>
      <c r="C29" s="190"/>
      <c r="D29" s="61"/>
      <c r="E29" s="61"/>
      <c r="F29" s="61"/>
      <c r="G29" s="61"/>
      <c r="H29" s="61"/>
    </row>
    <row r="30" spans="1:9" ht="12.75" customHeight="1" x14ac:dyDescent="0.3">
      <c r="A30" s="140"/>
      <c r="B30" s="248"/>
      <c r="C30" s="248"/>
      <c r="D30" s="61"/>
      <c r="E30" s="61"/>
      <c r="F30" s="61"/>
      <c r="G30" s="61"/>
      <c r="H30" s="61"/>
    </row>
    <row r="31" spans="1:9" s="38" customFormat="1" ht="12.75" customHeight="1" x14ac:dyDescent="0.2">
      <c r="A31" s="118"/>
      <c r="B31" s="103"/>
      <c r="C31" s="103"/>
      <c r="D31" s="61"/>
      <c r="E31" s="61"/>
      <c r="F31" s="61"/>
      <c r="G31" s="61"/>
      <c r="H31" s="61"/>
      <c r="I31" s="55"/>
    </row>
    <row r="32" spans="1:9" s="38" customFormat="1" ht="15.75" customHeight="1" thickBot="1" x14ac:dyDescent="0.25">
      <c r="A32" s="131"/>
      <c r="B32" s="126"/>
      <c r="C32" s="126"/>
      <c r="D32" s="126"/>
      <c r="E32" s="126"/>
      <c r="F32" s="126"/>
      <c r="G32" s="126"/>
      <c r="H32" s="132">
        <f>SUM(H18:H31)</f>
        <v>530</v>
      </c>
      <c r="I32" s="55"/>
    </row>
    <row r="33" spans="1:9" s="38" customFormat="1" ht="12.75" customHeight="1" thickTop="1" x14ac:dyDescent="0.2">
      <c r="A33" s="131"/>
      <c r="B33" s="126"/>
      <c r="C33" s="126"/>
      <c r="D33" s="126"/>
      <c r="E33" s="126"/>
      <c r="F33" s="126"/>
      <c r="G33" s="126"/>
      <c r="H33" s="126"/>
      <c r="I33" s="55"/>
    </row>
    <row r="34" spans="1:9" ht="20.100000000000001" customHeight="1" x14ac:dyDescent="0.3">
      <c r="A34" s="96" t="s">
        <v>122</v>
      </c>
      <c r="B34" s="185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Five Hundred Thirty and NO/100 -----------</v>
      </c>
      <c r="C34" s="185"/>
      <c r="D34" s="121"/>
      <c r="E34" s="121"/>
      <c r="F34" s="121"/>
      <c r="G34" s="121"/>
      <c r="H34" s="121"/>
    </row>
    <row r="35" spans="1:9" ht="12.75" customHeight="1" x14ac:dyDescent="0.3">
      <c r="A35" s="122"/>
    </row>
    <row r="36" spans="1:9" ht="27" customHeight="1" x14ac:dyDescent="0.3">
      <c r="A36" s="91" t="s">
        <v>10</v>
      </c>
      <c r="B36" s="91"/>
      <c r="C36" s="91"/>
      <c r="D36" s="91"/>
      <c r="E36" s="91"/>
      <c r="F36" s="218" t="s">
        <v>3975</v>
      </c>
      <c r="G36" s="219"/>
      <c r="H36" s="220"/>
    </row>
    <row r="37" spans="1:9" ht="12.75" customHeight="1" x14ac:dyDescent="0.3">
      <c r="A37" s="91"/>
      <c r="B37" s="91"/>
      <c r="C37" s="91"/>
      <c r="D37" s="91"/>
      <c r="E37" s="91"/>
      <c r="F37" s="91"/>
      <c r="G37" s="91"/>
      <c r="H37" s="91"/>
    </row>
    <row r="38" spans="1:9" ht="12.75" customHeight="1" x14ac:dyDescent="0.3">
      <c r="A38" s="91"/>
      <c r="B38" s="91"/>
      <c r="C38" s="91"/>
      <c r="D38" s="91"/>
      <c r="E38" s="91"/>
      <c r="F38" s="91"/>
      <c r="G38" s="91"/>
      <c r="H38" s="91"/>
    </row>
    <row r="39" spans="1:9" x14ac:dyDescent="0.3">
      <c r="A39" s="239"/>
      <c r="B39" s="91"/>
      <c r="C39" s="91"/>
      <c r="D39" s="91"/>
      <c r="E39" s="91"/>
      <c r="F39" s="227"/>
      <c r="G39" s="227"/>
      <c r="H39" s="227"/>
    </row>
    <row r="40" spans="1:9" x14ac:dyDescent="0.3">
      <c r="A40" s="100"/>
      <c r="B40" s="101"/>
      <c r="C40" s="91"/>
      <c r="D40" s="91"/>
      <c r="E40" s="91"/>
      <c r="F40" s="228"/>
      <c r="G40" s="229"/>
      <c r="H40" s="229"/>
    </row>
    <row r="41" spans="1:9" ht="12.75" customHeight="1" x14ac:dyDescent="0.3">
      <c r="A41" s="239"/>
      <c r="B41" s="239"/>
      <c r="C41" s="239"/>
      <c r="D41" s="91"/>
      <c r="E41" s="91"/>
      <c r="F41" s="91"/>
      <c r="G41" s="91"/>
      <c r="H41" s="102"/>
    </row>
    <row r="42" spans="1:9" ht="12.75" customHeight="1" x14ac:dyDescent="0.3">
      <c r="A42" s="98" t="s">
        <v>8</v>
      </c>
      <c r="B42" s="91"/>
      <c r="C42" s="91"/>
      <c r="D42" s="98" t="s">
        <v>8</v>
      </c>
      <c r="E42" s="91"/>
      <c r="F42" s="98" t="s">
        <v>7</v>
      </c>
      <c r="G42" s="91"/>
      <c r="H42" s="91"/>
    </row>
    <row r="43" spans="1:9" ht="12.75" customHeight="1" x14ac:dyDescent="0.3">
      <c r="A43" s="239"/>
      <c r="B43" s="91"/>
      <c r="C43" s="91"/>
      <c r="D43" s="239"/>
      <c r="E43" s="91"/>
      <c r="G43" s="91"/>
      <c r="H43" s="91"/>
    </row>
    <row r="44" spans="1:9" ht="12.75" customHeight="1" x14ac:dyDescent="0.3">
      <c r="A44" s="98"/>
      <c r="B44" s="91"/>
      <c r="C44" s="91"/>
      <c r="D44" s="98"/>
      <c r="E44" s="91"/>
      <c r="F44" s="91"/>
      <c r="G44" s="91"/>
      <c r="H44" s="91"/>
    </row>
    <row r="45" spans="1:9" ht="12.75" customHeight="1" x14ac:dyDescent="0.3">
      <c r="A45" s="98"/>
      <c r="B45" s="91"/>
      <c r="C45" s="91"/>
      <c r="D45" s="98"/>
      <c r="E45" s="91"/>
      <c r="F45" s="91"/>
      <c r="G45" s="91"/>
      <c r="H45" s="91"/>
    </row>
    <row r="46" spans="1:9" s="38" customFormat="1" ht="12.75" customHeight="1" x14ac:dyDescent="0.2">
      <c r="A46" s="98"/>
      <c r="B46" s="91"/>
      <c r="C46" s="91"/>
      <c r="D46" s="98"/>
      <c r="E46" s="91"/>
      <c r="F46" s="91"/>
      <c r="G46" s="61"/>
      <c r="H46" s="61"/>
    </row>
    <row r="47" spans="1:9" ht="12.75" customHeight="1" x14ac:dyDescent="0.3">
      <c r="A47" s="100"/>
      <c r="B47" s="101"/>
      <c r="C47" s="91"/>
      <c r="D47" s="100"/>
      <c r="E47" s="91"/>
      <c r="F47" s="101"/>
      <c r="G47" s="101"/>
      <c r="H47" s="101"/>
    </row>
    <row r="48" spans="1:9" x14ac:dyDescent="0.3">
      <c r="A48" s="98" t="s">
        <v>4066</v>
      </c>
      <c r="B48" s="104"/>
      <c r="C48" s="104"/>
      <c r="D48" s="98" t="s">
        <v>50</v>
      </c>
      <c r="E48" s="61"/>
      <c r="F48" s="61" t="s">
        <v>3</v>
      </c>
      <c r="G48" s="91"/>
      <c r="H48" s="91"/>
    </row>
    <row r="49" spans="1:8" x14ac:dyDescent="0.3">
      <c r="A49" s="98"/>
      <c r="B49" s="91"/>
      <c r="C49" s="91"/>
      <c r="D49" s="98"/>
      <c r="E49" s="91"/>
      <c r="F49" s="91" t="s">
        <v>2</v>
      </c>
      <c r="G49" s="91"/>
      <c r="H49" s="91"/>
    </row>
    <row r="50" spans="1:8" ht="12.75" customHeight="1" x14ac:dyDescent="0.3">
      <c r="A50" s="91"/>
      <c r="B50" s="91"/>
      <c r="C50" s="91"/>
      <c r="D50" s="91"/>
      <c r="E50" s="91"/>
      <c r="F50" s="91"/>
      <c r="G50" s="91"/>
      <c r="H50" s="91"/>
    </row>
    <row r="51" spans="1:8" x14ac:dyDescent="0.3">
      <c r="A51" s="91"/>
      <c r="B51" s="91"/>
      <c r="C51" s="91"/>
      <c r="D51" s="91"/>
      <c r="E51" s="91"/>
      <c r="F51" s="2" t="s">
        <v>1</v>
      </c>
      <c r="G51" s="91"/>
      <c r="H51" s="91"/>
    </row>
    <row r="52" spans="1:8" x14ac:dyDescent="0.3">
      <c r="A52" s="91"/>
      <c r="B52" s="91"/>
      <c r="C52" s="91"/>
      <c r="D52" s="91"/>
      <c r="E52" s="91"/>
      <c r="F52" s="2" t="s">
        <v>0</v>
      </c>
      <c r="G52" s="91"/>
      <c r="H52" s="91"/>
    </row>
    <row r="53" spans="1:8" ht="12.75" customHeight="1" x14ac:dyDescent="0.3">
      <c r="A53" s="91"/>
      <c r="B53" s="91"/>
      <c r="C53" s="91"/>
      <c r="D53" s="91"/>
      <c r="E53" s="91"/>
      <c r="F53" s="91"/>
      <c r="G53" s="91"/>
      <c r="H53" s="91"/>
    </row>
    <row r="54" spans="1:8" ht="12.75" customHeight="1" x14ac:dyDescent="0.3">
      <c r="A54" s="91"/>
      <c r="B54" s="91"/>
      <c r="C54" s="91"/>
      <c r="D54" s="91"/>
      <c r="E54" s="91"/>
      <c r="F54" s="91"/>
      <c r="G54" s="91"/>
      <c r="H54" s="91"/>
    </row>
    <row r="55" spans="1:8" x14ac:dyDescent="0.3">
      <c r="A55" s="91"/>
      <c r="B55" s="91"/>
      <c r="C55" s="91"/>
      <c r="D55" s="91"/>
      <c r="E55" s="91"/>
      <c r="F55" s="91"/>
      <c r="G55" s="91"/>
      <c r="H55" s="91"/>
    </row>
    <row r="56" spans="1:8" x14ac:dyDescent="0.3">
      <c r="A56" s="91"/>
      <c r="B56" s="91"/>
      <c r="C56" s="91"/>
      <c r="D56" s="91"/>
      <c r="E56" s="91"/>
      <c r="F56" s="91"/>
      <c r="G56" s="91"/>
      <c r="H56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F45C-D914-4806-8CDF-58F6826A41F0}">
  <sheetPr codeName="Sheet660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6562</v>
      </c>
      <c r="G9" s="61"/>
    </row>
    <row r="10" spans="1:7" x14ac:dyDescent="0.2">
      <c r="A10" s="91" t="s">
        <v>6554</v>
      </c>
      <c r="D10" s="92" t="s">
        <v>1335</v>
      </c>
      <c r="E10" s="92" t="s">
        <v>6539</v>
      </c>
      <c r="G10" s="113"/>
    </row>
    <row r="11" spans="1:7" x14ac:dyDescent="0.2">
      <c r="A11" s="91" t="s">
        <v>6555</v>
      </c>
      <c r="D11" s="92" t="s">
        <v>1333</v>
      </c>
      <c r="E11" s="92" t="s">
        <v>1220</v>
      </c>
      <c r="G11" s="113"/>
    </row>
    <row r="12" spans="1:7" x14ac:dyDescent="0.2">
      <c r="D12" s="92" t="s">
        <v>1331</v>
      </c>
      <c r="E12" s="94" t="s">
        <v>6563</v>
      </c>
      <c r="G12" s="113"/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/>
      <c r="B18" s="111"/>
      <c r="C18" s="91" t="s">
        <v>6556</v>
      </c>
      <c r="F18" s="91">
        <v>2016.13</v>
      </c>
      <c r="I18" s="91"/>
      <c r="J18" s="91"/>
      <c r="K18" s="91"/>
      <c r="L18" s="91"/>
    </row>
    <row r="19" spans="1:12" x14ac:dyDescent="0.2">
      <c r="A19" s="1"/>
      <c r="B19" s="1"/>
      <c r="I19" s="91"/>
      <c r="J19" s="91"/>
      <c r="K19" s="91"/>
      <c r="L19" s="110"/>
    </row>
    <row r="20" spans="1:12" x14ac:dyDescent="0.2">
      <c r="A20" s="1"/>
      <c r="B20" s="1"/>
      <c r="C20" s="91" t="s">
        <v>6557</v>
      </c>
      <c r="F20" s="110"/>
      <c r="I20" s="91"/>
      <c r="J20" s="91"/>
      <c r="K20" s="91"/>
      <c r="L20" s="91"/>
    </row>
    <row r="21" spans="1:12" x14ac:dyDescent="0.2">
      <c r="C21" s="91" t="s">
        <v>6558</v>
      </c>
      <c r="F21" s="91">
        <v>-223</v>
      </c>
      <c r="I21" s="91"/>
      <c r="J21" s="91"/>
      <c r="K21" s="91"/>
      <c r="L21" s="91"/>
    </row>
    <row r="22" spans="1:12" x14ac:dyDescent="0.2">
      <c r="C22" s="91" t="s">
        <v>6559</v>
      </c>
      <c r="F22" s="91">
        <v>-10.25</v>
      </c>
      <c r="I22" s="91"/>
      <c r="J22" s="91"/>
      <c r="K22" s="91"/>
      <c r="L22" s="110"/>
    </row>
    <row r="23" spans="1:12" x14ac:dyDescent="0.2">
      <c r="A23" s="93"/>
      <c r="B23" s="99"/>
      <c r="C23" s="91" t="s">
        <v>6561</v>
      </c>
      <c r="F23" s="91">
        <v>-4.0999999999999996</v>
      </c>
      <c r="I23" s="91"/>
      <c r="J23" s="91"/>
      <c r="K23" s="91"/>
      <c r="L23" s="91"/>
    </row>
    <row r="24" spans="1:12" x14ac:dyDescent="0.2">
      <c r="A24" s="93"/>
      <c r="B24" s="111"/>
      <c r="C24" s="91" t="s">
        <v>6560</v>
      </c>
      <c r="F24" s="91">
        <v>-2</v>
      </c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27" spans="1:12" x14ac:dyDescent="0.2">
      <c r="A27" s="1"/>
      <c r="B27" s="1"/>
    </row>
    <row r="28" spans="1:12" x14ac:dyDescent="0.2">
      <c r="A28" s="1"/>
      <c r="B28" s="1"/>
    </row>
    <row r="30" spans="1:12" x14ac:dyDescent="0.2">
      <c r="A30" s="1"/>
      <c r="B30" s="1"/>
    </row>
    <row r="31" spans="1:12" x14ac:dyDescent="0.2">
      <c r="A31" s="93"/>
      <c r="B31" s="111"/>
    </row>
    <row r="36" spans="1:6" ht="13.5" thickBot="1" x14ac:dyDescent="0.25">
      <c r="F36" s="95">
        <f>SUM(F18:F35)</f>
        <v>1776.7800000000002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Seven Hundred Seventy-Six and 78/100 -----------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7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2-000000000000}">
  <sheetPr codeName="Sheet553"/>
  <dimension ref="A1:J56"/>
  <sheetViews>
    <sheetView zoomScaleNormal="100" workbookViewId="0">
      <selection activeCell="G9" sqref="G9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.140625" style="91" customWidth="1"/>
    <col min="4" max="4" width="21" style="91" customWidth="1"/>
    <col min="5" max="5" width="0.7109375" style="91" customWidth="1"/>
    <col min="6" max="6" width="16.42578125" style="91" customWidth="1"/>
    <col min="7" max="7" width="11.28515625" style="91" customWidth="1"/>
    <col min="8" max="8" width="13.28515625" style="91" customWidth="1"/>
    <col min="9" max="9" width="9.140625" style="91"/>
    <col min="10" max="10" width="10.140625" style="91" bestFit="1" customWidth="1"/>
    <col min="11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155" t="s">
        <v>8308</v>
      </c>
    </row>
    <row r="10" spans="1:8" x14ac:dyDescent="0.2">
      <c r="A10" s="91" t="s">
        <v>5403</v>
      </c>
      <c r="F10" s="92" t="s">
        <v>1357</v>
      </c>
      <c r="G10" s="155" t="s">
        <v>8265</v>
      </c>
    </row>
    <row r="11" spans="1:8" x14ac:dyDescent="0.2">
      <c r="A11" s="91" t="s">
        <v>5404</v>
      </c>
      <c r="F11" s="92" t="s">
        <v>1330</v>
      </c>
      <c r="G11" s="155" t="s">
        <v>1220</v>
      </c>
    </row>
    <row r="12" spans="1:8" x14ac:dyDescent="0.2">
      <c r="A12" s="91" t="s">
        <v>5405</v>
      </c>
      <c r="F12" s="92" t="s">
        <v>1224</v>
      </c>
      <c r="G12" s="94" t="s">
        <v>8309</v>
      </c>
    </row>
    <row r="13" spans="1:8" x14ac:dyDescent="0.2">
      <c r="A13" s="91" t="s">
        <v>5406</v>
      </c>
      <c r="G13" s="153" t="s">
        <v>7931</v>
      </c>
    </row>
    <row r="14" spans="1:8" x14ac:dyDescent="0.2">
      <c r="A14" s="91" t="s">
        <v>5407</v>
      </c>
    </row>
    <row r="15" spans="1:8" x14ac:dyDescent="0.2">
      <c r="A15" s="91" t="s">
        <v>5408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10" x14ac:dyDescent="0.2">
      <c r="D18" s="2" t="s">
        <v>8310</v>
      </c>
      <c r="E18" s="2"/>
    </row>
    <row r="19" spans="1:10" x14ac:dyDescent="0.2">
      <c r="D19" s="2"/>
      <c r="E19" s="2"/>
    </row>
    <row r="20" spans="1:10" x14ac:dyDescent="0.2">
      <c r="A20" s="93" t="s">
        <v>8144</v>
      </c>
      <c r="B20" s="278" t="s">
        <v>8311</v>
      </c>
      <c r="C20" s="93"/>
      <c r="D20" s="91" t="s">
        <v>8312</v>
      </c>
      <c r="H20" s="91">
        <f>522*3</f>
        <v>1566</v>
      </c>
    </row>
    <row r="21" spans="1:10" x14ac:dyDescent="0.2">
      <c r="A21" s="93"/>
      <c r="B21" s="272"/>
      <c r="C21" s="272"/>
      <c r="D21" s="191"/>
      <c r="E21" s="191"/>
      <c r="J21" s="193"/>
    </row>
    <row r="22" spans="1:10" x14ac:dyDescent="0.2">
      <c r="A22" s="93"/>
      <c r="B22" s="99"/>
      <c r="C22" s="484"/>
    </row>
    <row r="23" spans="1:10" x14ac:dyDescent="0.2">
      <c r="A23" s="93"/>
      <c r="B23" s="272"/>
      <c r="C23" s="272"/>
      <c r="D23" s="191"/>
      <c r="E23" s="191"/>
    </row>
    <row r="24" spans="1:10" x14ac:dyDescent="0.2">
      <c r="A24" s="93"/>
      <c r="B24" s="272"/>
      <c r="C24" s="272"/>
      <c r="D24" s="191"/>
      <c r="E24" s="191"/>
    </row>
    <row r="25" spans="1:10" x14ac:dyDescent="0.2">
      <c r="A25" s="93"/>
      <c r="B25" s="272"/>
      <c r="C25" s="272"/>
      <c r="D25" s="191"/>
      <c r="E25" s="191"/>
    </row>
    <row r="26" spans="1:10" x14ac:dyDescent="0.2">
      <c r="A26" s="93"/>
    </row>
    <row r="27" spans="1:10" x14ac:dyDescent="0.2">
      <c r="A27" s="93"/>
      <c r="B27" s="272"/>
      <c r="C27" s="272"/>
      <c r="D27" s="191"/>
      <c r="E27" s="191"/>
    </row>
    <row r="28" spans="1:10" x14ac:dyDescent="0.2">
      <c r="A28" s="93"/>
      <c r="B28" s="272"/>
      <c r="C28" s="272"/>
      <c r="D28" s="191"/>
      <c r="E28" s="191"/>
    </row>
    <row r="29" spans="1:10" x14ac:dyDescent="0.2">
      <c r="A29" s="93"/>
      <c r="B29" s="93"/>
      <c r="C29" s="93"/>
    </row>
    <row r="30" spans="1:10" x14ac:dyDescent="0.2">
      <c r="A30" s="93"/>
      <c r="B30" s="272"/>
      <c r="C30" s="272"/>
      <c r="D30" s="191"/>
      <c r="E30" s="191"/>
    </row>
    <row r="31" spans="1:10" x14ac:dyDescent="0.2">
      <c r="A31" s="93"/>
      <c r="B31" s="93"/>
      <c r="C31" s="93"/>
    </row>
    <row r="32" spans="1:10" x14ac:dyDescent="0.2">
      <c r="A32" s="93"/>
      <c r="B32" s="93"/>
      <c r="C32" s="93"/>
    </row>
    <row r="33" spans="1:8" x14ac:dyDescent="0.2">
      <c r="A33" s="93"/>
      <c r="B33" s="272"/>
      <c r="C33" s="272"/>
      <c r="D33" s="191"/>
      <c r="E33" s="191"/>
    </row>
    <row r="35" spans="1:8" x14ac:dyDescent="0.2">
      <c r="A35" s="93"/>
      <c r="B35" s="99"/>
      <c r="C35" s="484"/>
    </row>
    <row r="37" spans="1:8" ht="13.5" thickBot="1" x14ac:dyDescent="0.25">
      <c r="H37" s="95">
        <f>SUM(H18:H36)</f>
        <v>1566</v>
      </c>
    </row>
    <row r="38" spans="1:8" ht="13.5" thickTop="1" x14ac:dyDescent="0.2"/>
    <row r="39" spans="1:8" ht="20.100000000000001" customHeight="1" x14ac:dyDescent="0.2">
      <c r="A39" s="96" t="s">
        <v>1075</v>
      </c>
      <c r="B39" s="185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Five Hundred Sixty-Six and NO/100 -----------</v>
      </c>
      <c r="C39" s="185"/>
      <c r="D39" s="97"/>
      <c r="E39" s="222"/>
      <c r="F39" s="222"/>
      <c r="G39" s="222"/>
      <c r="H39" s="222"/>
    </row>
    <row r="40" spans="1:8" ht="20.100000000000001" customHeight="1" x14ac:dyDescent="0.2">
      <c r="A40" s="113"/>
      <c r="B40" s="103"/>
      <c r="C40" s="103"/>
      <c r="D40" s="61"/>
      <c r="E40" s="61"/>
      <c r="F40" s="222"/>
      <c r="G40" s="222"/>
      <c r="H40" s="222"/>
    </row>
    <row r="41" spans="1:8" ht="25.5" x14ac:dyDescent="0.2">
      <c r="A41" s="235" t="s">
        <v>3973</v>
      </c>
      <c r="F41" s="218" t="s">
        <v>3975</v>
      </c>
      <c r="G41" s="219"/>
      <c r="H41" s="220"/>
    </row>
    <row r="42" spans="1:8" x14ac:dyDescent="0.2">
      <c r="A42" s="98"/>
      <c r="F42" s="228"/>
      <c r="G42" s="229"/>
      <c r="H42" s="229"/>
    </row>
    <row r="43" spans="1:8" x14ac:dyDescent="0.2">
      <c r="D43" s="99"/>
      <c r="E43" s="484"/>
    </row>
    <row r="44" spans="1:8" x14ac:dyDescent="0.2">
      <c r="A44" s="98"/>
      <c r="D44" s="99"/>
      <c r="E44" s="484"/>
    </row>
    <row r="45" spans="1:8" x14ac:dyDescent="0.2">
      <c r="A45" s="100"/>
      <c r="B45" s="101"/>
      <c r="C45" s="386"/>
    </row>
    <row r="46" spans="1:8" x14ac:dyDescent="0.2">
      <c r="A46" s="98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100"/>
      <c r="B51" s="101"/>
      <c r="C51" s="386"/>
      <c r="D51" s="100"/>
      <c r="F51" s="101"/>
      <c r="G51" s="101"/>
      <c r="H51" s="101"/>
    </row>
    <row r="52" spans="1:8" s="61" customFormat="1" ht="17.100000000000001" customHeight="1" x14ac:dyDescent="0.2">
      <c r="A52" s="98" t="s">
        <v>4047</v>
      </c>
      <c r="B52" s="104"/>
      <c r="C52" s="104"/>
      <c r="D52" s="98" t="s">
        <v>50</v>
      </c>
      <c r="F52" s="61" t="s">
        <v>3</v>
      </c>
    </row>
    <row r="53" spans="1:8" x14ac:dyDescent="0.2">
      <c r="A53" s="98"/>
      <c r="F53" s="91" t="s">
        <v>2</v>
      </c>
    </row>
    <row r="54" spans="1:8" x14ac:dyDescent="0.2">
      <c r="A54" s="98"/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7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2-000000000000}">
  <sheetPr codeName="Sheet55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5367</v>
      </c>
    </row>
    <row r="10" spans="1:6" x14ac:dyDescent="0.2">
      <c r="A10" s="91" t="s">
        <v>5369</v>
      </c>
      <c r="D10" s="92" t="s">
        <v>1329</v>
      </c>
      <c r="E10" s="98" t="s">
        <v>5366</v>
      </c>
    </row>
    <row r="11" spans="1:6" x14ac:dyDescent="0.2">
      <c r="A11" s="91" t="s">
        <v>5370</v>
      </c>
      <c r="D11" s="92" t="s">
        <v>1330</v>
      </c>
      <c r="E11" s="98" t="s">
        <v>1220</v>
      </c>
    </row>
    <row r="12" spans="1:6" x14ac:dyDescent="0.2">
      <c r="A12" s="91" t="s">
        <v>5371</v>
      </c>
      <c r="D12" s="92" t="s">
        <v>1377</v>
      </c>
      <c r="E12" s="91" t="s">
        <v>5368</v>
      </c>
    </row>
    <row r="13" spans="1:6" x14ac:dyDescent="0.2">
      <c r="A13" s="91" t="s">
        <v>5372</v>
      </c>
    </row>
    <row r="14" spans="1:6" x14ac:dyDescent="0.2">
      <c r="A14" s="91" t="s">
        <v>1314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4118</v>
      </c>
    </row>
    <row r="19" spans="1:6" x14ac:dyDescent="0.2">
      <c r="A19" s="106"/>
    </row>
    <row r="20" spans="1:6" x14ac:dyDescent="0.2">
      <c r="A20" s="93" t="s">
        <v>5373</v>
      </c>
      <c r="B20" s="93" t="s">
        <v>5374</v>
      </c>
      <c r="C20" s="94" t="s">
        <v>5375</v>
      </c>
      <c r="F20" s="91">
        <v>3480</v>
      </c>
    </row>
    <row r="21" spans="1:6" x14ac:dyDescent="0.2">
      <c r="A21" s="92"/>
      <c r="B21" s="93"/>
      <c r="C21" s="94"/>
    </row>
    <row r="22" spans="1:6" x14ac:dyDescent="0.2">
      <c r="A22" s="92"/>
      <c r="B22" s="93"/>
      <c r="C22" s="94"/>
    </row>
    <row r="23" spans="1:6" x14ac:dyDescent="0.2">
      <c r="A23" s="92"/>
      <c r="B23" s="93"/>
      <c r="C23" s="94"/>
    </row>
    <row r="24" spans="1:6" x14ac:dyDescent="0.2">
      <c r="A24" s="106"/>
      <c r="C24" s="94"/>
    </row>
    <row r="25" spans="1:6" x14ac:dyDescent="0.2">
      <c r="A25" s="106"/>
    </row>
    <row r="26" spans="1:6" x14ac:dyDescent="0.2">
      <c r="A26" s="106"/>
    </row>
    <row r="28" spans="1:6" x14ac:dyDescent="0.2">
      <c r="A28" s="93"/>
      <c r="B28" s="93"/>
    </row>
    <row r="29" spans="1:6" x14ac:dyDescent="0.2">
      <c r="A29" s="1"/>
      <c r="B29" s="1"/>
      <c r="C29" s="94"/>
    </row>
    <row r="30" spans="1:6" x14ac:dyDescent="0.2">
      <c r="A30" s="1"/>
      <c r="B30" s="1"/>
      <c r="C30" s="94"/>
    </row>
    <row r="31" spans="1:6" x14ac:dyDescent="0.2">
      <c r="A31" s="1"/>
      <c r="B31" s="1"/>
    </row>
    <row r="32" spans="1:6" x14ac:dyDescent="0.2">
      <c r="A32" s="106"/>
    </row>
    <row r="33" spans="1:6" ht="13.5" thickBot="1" x14ac:dyDescent="0.25">
      <c r="A33" s="106"/>
      <c r="F33" s="107">
        <f>SUM(F19:F31)</f>
        <v>3480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Four Hundred Eighty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B37" s="91" t="s">
        <v>658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7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2-000000000000}">
  <sheetPr codeName="Sheet539">
    <pageSetUpPr fitToPage="1"/>
  </sheetPr>
  <dimension ref="A1:T55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42578125" style="91" customWidth="1"/>
    <col min="2" max="2" width="14" style="91" customWidth="1"/>
    <col min="3" max="3" width="1" style="91" customWidth="1"/>
    <col min="4" max="4" width="21" style="91" customWidth="1"/>
    <col min="5" max="5" width="1.140625" style="91" customWidth="1"/>
    <col min="6" max="6" width="16.42578125" style="91" customWidth="1"/>
    <col min="7" max="7" width="11.28515625" style="91" customWidth="1"/>
    <col min="8" max="8" width="14.85546875" style="91" customWidth="1"/>
    <col min="9" max="11" width="9.140625" style="91"/>
    <col min="12" max="12" width="14.42578125" style="110" bestFit="1" customWidth="1"/>
    <col min="13" max="13" width="15.7109375" style="110" customWidth="1"/>
    <col min="14" max="16384" width="9.140625" style="91"/>
  </cols>
  <sheetData>
    <row r="1" spans="1:2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2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2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2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20" x14ac:dyDescent="0.2">
      <c r="A8" s="91" t="s">
        <v>32</v>
      </c>
      <c r="F8" s="22" t="s">
        <v>31</v>
      </c>
    </row>
    <row r="9" spans="1:20" x14ac:dyDescent="0.2">
      <c r="F9" s="92" t="s">
        <v>1358</v>
      </c>
      <c r="G9" s="153" t="s">
        <v>8750</v>
      </c>
    </row>
    <row r="10" spans="1:20" x14ac:dyDescent="0.2">
      <c r="A10" s="91" t="s">
        <v>5253</v>
      </c>
      <c r="F10" s="92" t="s">
        <v>1357</v>
      </c>
      <c r="G10" s="155" t="s">
        <v>8732</v>
      </c>
      <c r="L10" s="91"/>
      <c r="M10" s="91"/>
      <c r="N10" s="2" t="s">
        <v>6907</v>
      </c>
      <c r="O10" s="2"/>
    </row>
    <row r="11" spans="1:20" x14ac:dyDescent="0.2">
      <c r="A11" s="91" t="s">
        <v>5254</v>
      </c>
      <c r="F11" s="92" t="s">
        <v>1330</v>
      </c>
      <c r="G11" s="155" t="s">
        <v>1220</v>
      </c>
      <c r="K11" s="93"/>
      <c r="L11" s="93"/>
      <c r="M11" s="93"/>
    </row>
    <row r="12" spans="1:20" x14ac:dyDescent="0.2">
      <c r="A12" s="91" t="s">
        <v>5255</v>
      </c>
      <c r="F12" s="92" t="s">
        <v>1224</v>
      </c>
      <c r="G12" s="155" t="s">
        <v>8751</v>
      </c>
      <c r="K12" s="93" t="s">
        <v>8039</v>
      </c>
      <c r="L12" s="481" t="s">
        <v>8040</v>
      </c>
      <c r="M12" s="481"/>
      <c r="N12" s="91" t="s">
        <v>8041</v>
      </c>
      <c r="R12" s="110">
        <f>12937*0.137565</f>
        <v>1779.6784049999999</v>
      </c>
    </row>
    <row r="13" spans="1:20" x14ac:dyDescent="0.2">
      <c r="A13" s="91" t="s">
        <v>1314</v>
      </c>
      <c r="G13" s="153" t="s">
        <v>7762</v>
      </c>
      <c r="L13" s="91"/>
      <c r="M13" s="91"/>
      <c r="N13" s="91" t="s">
        <v>8042</v>
      </c>
      <c r="R13" s="110"/>
    </row>
    <row r="14" spans="1:20" x14ac:dyDescent="0.2">
      <c r="A14" s="91" t="s">
        <v>5256</v>
      </c>
      <c r="K14" s="93"/>
      <c r="L14" s="481"/>
      <c r="M14" s="481"/>
      <c r="R14" s="110"/>
    </row>
    <row r="15" spans="1:20" x14ac:dyDescent="0.2">
      <c r="A15" s="91" t="s">
        <v>5257</v>
      </c>
      <c r="K15" s="93"/>
      <c r="L15" s="481"/>
      <c r="M15" s="481"/>
      <c r="N15" s="91" t="s">
        <v>8043</v>
      </c>
      <c r="R15" s="110"/>
    </row>
    <row r="16" spans="1:20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  <c r="K16" s="93"/>
      <c r="L16" s="481"/>
      <c r="M16" s="481"/>
      <c r="N16" s="379" t="s">
        <v>8044</v>
      </c>
      <c r="O16" s="91"/>
      <c r="P16" s="91"/>
      <c r="Q16" s="91"/>
      <c r="R16" s="110"/>
      <c r="S16" s="91"/>
      <c r="T16" s="91"/>
    </row>
    <row r="17" spans="1:18" x14ac:dyDescent="0.2">
      <c r="K17" s="93"/>
      <c r="L17" s="93"/>
      <c r="M17" s="93"/>
      <c r="R17" s="110"/>
    </row>
    <row r="18" spans="1:18" x14ac:dyDescent="0.2">
      <c r="D18" s="2" t="s">
        <v>8752</v>
      </c>
      <c r="E18" s="2"/>
    </row>
    <row r="19" spans="1:18" x14ac:dyDescent="0.2">
      <c r="A19" s="93"/>
      <c r="B19" s="93"/>
      <c r="C19" s="93"/>
    </row>
    <row r="20" spans="1:18" x14ac:dyDescent="0.2">
      <c r="A20" s="93" t="s">
        <v>8696</v>
      </c>
      <c r="B20" s="272" t="s">
        <v>8753</v>
      </c>
      <c r="C20" s="99"/>
      <c r="D20" s="91" t="s">
        <v>8754</v>
      </c>
      <c r="H20" s="110">
        <f>16784.46/7.279</f>
        <v>2305.8744333012773</v>
      </c>
      <c r="L20" s="380"/>
    </row>
    <row r="21" spans="1:18" x14ac:dyDescent="0.2">
      <c r="D21" s="91" t="s">
        <v>8042</v>
      </c>
      <c r="H21" s="110"/>
      <c r="L21" s="380"/>
    </row>
    <row r="22" spans="1:18" x14ac:dyDescent="0.2">
      <c r="A22" s="93"/>
      <c r="B22" s="99"/>
      <c r="C22" s="99"/>
      <c r="D22" s="91" t="s">
        <v>8755</v>
      </c>
      <c r="H22" s="110"/>
      <c r="L22" s="380"/>
    </row>
    <row r="23" spans="1:18" x14ac:dyDescent="0.2">
      <c r="A23" s="93"/>
      <c r="B23" s="99"/>
      <c r="C23" s="99"/>
      <c r="H23" s="110"/>
      <c r="L23" s="380"/>
    </row>
    <row r="24" spans="1:18" x14ac:dyDescent="0.2">
      <c r="A24" s="93"/>
      <c r="B24" s="99"/>
      <c r="C24" s="99"/>
      <c r="D24" s="379"/>
      <c r="H24" s="110"/>
      <c r="L24" s="380"/>
    </row>
    <row r="25" spans="1:18" x14ac:dyDescent="0.2">
      <c r="A25" s="93"/>
      <c r="B25" s="93"/>
      <c r="C25" s="93"/>
      <c r="H25" s="110"/>
      <c r="L25" s="380"/>
    </row>
    <row r="26" spans="1:18" x14ac:dyDescent="0.2">
      <c r="A26" s="93"/>
      <c r="H26" s="110"/>
      <c r="L26" s="380"/>
    </row>
    <row r="27" spans="1:18" x14ac:dyDescent="0.2">
      <c r="H27" s="110"/>
      <c r="L27" s="380"/>
    </row>
    <row r="28" spans="1:18" x14ac:dyDescent="0.2">
      <c r="D28" s="2"/>
      <c r="E28" s="2"/>
      <c r="H28" s="110"/>
      <c r="L28" s="380"/>
    </row>
    <row r="29" spans="1:18" x14ac:dyDescent="0.2">
      <c r="A29" s="93"/>
      <c r="B29" s="99"/>
      <c r="C29" s="99"/>
      <c r="E29" s="2"/>
      <c r="H29" s="382"/>
      <c r="L29" s="380"/>
    </row>
    <row r="30" spans="1:18" x14ac:dyDescent="0.2">
      <c r="A30" s="93"/>
      <c r="B30" s="99"/>
      <c r="C30" s="99"/>
    </row>
    <row r="31" spans="1:18" x14ac:dyDescent="0.2">
      <c r="A31" s="93"/>
      <c r="B31" s="99"/>
      <c r="C31" s="99"/>
    </row>
    <row r="32" spans="1:18" x14ac:dyDescent="0.2">
      <c r="D32" s="2"/>
      <c r="E32" s="2"/>
    </row>
    <row r="34" spans="1:8" x14ac:dyDescent="0.2">
      <c r="A34" s="93"/>
      <c r="B34" s="99"/>
      <c r="C34" s="99"/>
    </row>
    <row r="36" spans="1:8" ht="13.5" thickBot="1" x14ac:dyDescent="0.25">
      <c r="H36" s="95">
        <f>SUM(H18:H35)</f>
        <v>2305.8744333012773</v>
      </c>
    </row>
    <row r="37" spans="1:8" ht="13.5" thickTop="1" x14ac:dyDescent="0.2"/>
    <row r="38" spans="1:8" ht="20.100000000000001" customHeight="1" x14ac:dyDescent="0.2">
      <c r="A38" s="96" t="s">
        <v>1075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Thousand Three Hundred Five and 87/100 -----------</v>
      </c>
      <c r="C38" s="185"/>
      <c r="D38" s="97"/>
      <c r="E38" s="97"/>
      <c r="F38" s="97"/>
      <c r="G38" s="97"/>
      <c r="H38" s="97"/>
    </row>
    <row r="39" spans="1:8" ht="20.100000000000001" customHeight="1" x14ac:dyDescent="0.2">
      <c r="A39" s="113"/>
      <c r="B39" s="103"/>
      <c r="C39" s="103"/>
      <c r="D39" s="61"/>
      <c r="E39" s="61"/>
      <c r="F39" s="61"/>
      <c r="G39" s="61"/>
      <c r="H39" s="61"/>
    </row>
    <row r="40" spans="1:8" ht="25.5" x14ac:dyDescent="0.2">
      <c r="A40" s="235" t="s">
        <v>3973</v>
      </c>
      <c r="F40" s="218" t="s">
        <v>3975</v>
      </c>
      <c r="G40" s="219"/>
      <c r="H40" s="220"/>
    </row>
    <row r="41" spans="1:8" x14ac:dyDescent="0.2">
      <c r="A41" s="98"/>
      <c r="F41" s="228"/>
      <c r="G41" s="229"/>
      <c r="H41" s="229"/>
    </row>
    <row r="42" spans="1:8" x14ac:dyDescent="0.2">
      <c r="D42" s="99"/>
      <c r="E42" s="99"/>
    </row>
    <row r="43" spans="1:8" x14ac:dyDescent="0.2">
      <c r="A43" s="98"/>
      <c r="D43" s="99"/>
      <c r="E43" s="99"/>
    </row>
    <row r="44" spans="1:8" x14ac:dyDescent="0.2">
      <c r="A44" s="100"/>
      <c r="B44" s="101"/>
    </row>
    <row r="45" spans="1:8" x14ac:dyDescent="0.2">
      <c r="A45" s="98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47" spans="1:8" x14ac:dyDescent="0.2">
      <c r="A47" s="98"/>
      <c r="D47" s="98"/>
    </row>
    <row r="48" spans="1:8" x14ac:dyDescent="0.2">
      <c r="A48" s="98"/>
      <c r="D48" s="98"/>
    </row>
    <row r="49" spans="1:13" x14ac:dyDescent="0.2">
      <c r="A49" s="98"/>
      <c r="D49" s="98"/>
    </row>
    <row r="50" spans="1:13" x14ac:dyDescent="0.2">
      <c r="A50" s="100"/>
      <c r="B50" s="101"/>
      <c r="D50" s="100"/>
      <c r="F50" s="101"/>
      <c r="G50" s="101"/>
      <c r="H50" s="101"/>
    </row>
    <row r="51" spans="1:13" s="61" customFormat="1" ht="17.100000000000001" customHeight="1" x14ac:dyDescent="0.2">
      <c r="A51" s="98" t="s">
        <v>4047</v>
      </c>
      <c r="B51" s="104"/>
      <c r="C51" s="104"/>
      <c r="D51" s="98" t="s">
        <v>50</v>
      </c>
      <c r="F51" s="61" t="s">
        <v>3</v>
      </c>
      <c r="L51" s="381"/>
      <c r="M51" s="381"/>
    </row>
    <row r="52" spans="1:13" x14ac:dyDescent="0.2">
      <c r="A52" s="98"/>
      <c r="F52" s="91" t="s">
        <v>2</v>
      </c>
    </row>
    <row r="53" spans="1:13" x14ac:dyDescent="0.2">
      <c r="A53" s="98"/>
    </row>
    <row r="54" spans="1:13" x14ac:dyDescent="0.2">
      <c r="F54" s="2" t="s">
        <v>1</v>
      </c>
    </row>
    <row r="55" spans="1:13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7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2-000000000000}">
  <sheetPr codeName="Sheet352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16.28515625" style="1" customWidth="1"/>
    <col min="2" max="2" width="16.85546875" style="1" customWidth="1"/>
    <col min="3" max="3" width="18.7109375" style="1" customWidth="1"/>
    <col min="4" max="4" width="16.42578125" style="1" customWidth="1"/>
    <col min="5" max="5" width="10.855468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7" spans="1:6" s="91" customFormat="1" x14ac:dyDescent="0.2"/>
    <row r="8" spans="1:6" s="91" customFormat="1" x14ac:dyDescent="0.2">
      <c r="A8" s="91" t="s">
        <v>32</v>
      </c>
      <c r="D8" s="22" t="s">
        <v>31</v>
      </c>
    </row>
    <row r="9" spans="1:6" s="91" customFormat="1" x14ac:dyDescent="0.2">
      <c r="D9" s="92" t="s">
        <v>1705</v>
      </c>
      <c r="E9" s="91" t="s">
        <v>3533</v>
      </c>
    </row>
    <row r="10" spans="1:6" s="91" customFormat="1" x14ac:dyDescent="0.2">
      <c r="A10" s="91" t="s">
        <v>3535</v>
      </c>
      <c r="D10" s="92" t="s">
        <v>1706</v>
      </c>
      <c r="E10" s="98" t="s">
        <v>3514</v>
      </c>
    </row>
    <row r="11" spans="1:6" s="91" customFormat="1" x14ac:dyDescent="0.2">
      <c r="A11" s="91" t="s">
        <v>3537</v>
      </c>
      <c r="D11" s="92" t="s">
        <v>1707</v>
      </c>
      <c r="E11" s="92" t="s">
        <v>1220</v>
      </c>
    </row>
    <row r="12" spans="1:6" s="91" customFormat="1" x14ac:dyDescent="0.2">
      <c r="A12" s="91" t="s">
        <v>3536</v>
      </c>
      <c r="D12" s="92" t="s">
        <v>1355</v>
      </c>
      <c r="E12" s="94" t="s">
        <v>3534</v>
      </c>
    </row>
    <row r="13" spans="1:6" s="91" customFormat="1" x14ac:dyDescent="0.2"/>
    <row r="14" spans="1:6" s="91" customFormat="1" x14ac:dyDescent="0.2"/>
    <row r="15" spans="1:6" s="91" customFormat="1" x14ac:dyDescent="0.2"/>
    <row r="16" spans="1:6" s="14" customFormat="1" ht="20.100000000000001" customHeight="1" x14ac:dyDescent="0.2">
      <c r="A16" s="17" t="s">
        <v>129</v>
      </c>
      <c r="B16" s="31" t="s">
        <v>1379</v>
      </c>
      <c r="C16" s="18" t="s">
        <v>19</v>
      </c>
      <c r="D16" s="17"/>
      <c r="E16" s="16"/>
      <c r="F16" s="15" t="s">
        <v>18</v>
      </c>
    </row>
    <row r="17" spans="1:6" s="91" customFormat="1" x14ac:dyDescent="0.2"/>
    <row r="18" spans="1:6" s="91" customFormat="1" x14ac:dyDescent="0.2">
      <c r="A18" s="93"/>
      <c r="B18" s="99"/>
      <c r="C18" s="2" t="s">
        <v>3540</v>
      </c>
    </row>
    <row r="19" spans="1:6" s="91" customFormat="1" x14ac:dyDescent="0.2"/>
    <row r="20" spans="1:6" s="91" customFormat="1" x14ac:dyDescent="0.2">
      <c r="A20" s="93"/>
      <c r="B20" s="93"/>
      <c r="C20" s="91" t="s">
        <v>3539</v>
      </c>
      <c r="F20" s="91">
        <f>103.23</f>
        <v>103.23</v>
      </c>
    </row>
    <row r="21" spans="1:6" s="91" customFormat="1" x14ac:dyDescent="0.2">
      <c r="C21" s="91" t="s">
        <v>3538</v>
      </c>
      <c r="F21" s="91">
        <v>61.55</v>
      </c>
    </row>
    <row r="22" spans="1:6" s="91" customFormat="1" x14ac:dyDescent="0.2">
      <c r="A22" s="93"/>
      <c r="B22" s="93"/>
    </row>
    <row r="23" spans="1:6" s="91" customFormat="1" x14ac:dyDescent="0.2">
      <c r="C23" s="143" t="s">
        <v>3542</v>
      </c>
      <c r="D23" s="143"/>
      <c r="E23" s="143"/>
      <c r="F23" s="143"/>
    </row>
    <row r="24" spans="1:6" s="91" customFormat="1" x14ac:dyDescent="0.2">
      <c r="A24" s="93"/>
      <c r="B24" s="93"/>
      <c r="C24" s="143"/>
      <c r="D24" s="143"/>
      <c r="E24" s="143"/>
      <c r="F24" s="143"/>
    </row>
    <row r="25" spans="1:6" s="91" customFormat="1" x14ac:dyDescent="0.2">
      <c r="C25" s="143" t="s">
        <v>3541</v>
      </c>
      <c r="D25" s="143"/>
      <c r="E25" s="143"/>
      <c r="F25" s="143">
        <v>-20</v>
      </c>
    </row>
    <row r="26" spans="1:6" s="91" customFormat="1" x14ac:dyDescent="0.2">
      <c r="C26" s="143" t="s">
        <v>3543</v>
      </c>
      <c r="D26" s="143"/>
      <c r="E26" s="143"/>
      <c r="F26" s="143">
        <v>-0.6</v>
      </c>
    </row>
    <row r="27" spans="1:6" s="91" customFormat="1" x14ac:dyDescent="0.2">
      <c r="B27" s="94"/>
      <c r="C27" s="143"/>
      <c r="D27" s="143"/>
      <c r="E27" s="143"/>
      <c r="F27" s="143"/>
    </row>
    <row r="28" spans="1:6" s="91" customFormat="1" x14ac:dyDescent="0.2">
      <c r="B28" s="94"/>
    </row>
    <row r="29" spans="1:6" s="91" customFormat="1" x14ac:dyDescent="0.2">
      <c r="B29" s="94"/>
    </row>
    <row r="30" spans="1:6" s="91" customFormat="1" x14ac:dyDescent="0.2"/>
    <row r="31" spans="1:6" s="91" customFormat="1" x14ac:dyDescent="0.2"/>
    <row r="32" spans="1:6" s="91" customFormat="1" ht="13.5" thickBot="1" x14ac:dyDescent="0.25">
      <c r="F32" s="95">
        <f>SUM(F18:F31)</f>
        <v>144.18</v>
      </c>
    </row>
    <row r="33" spans="1:6" s="91" customFormat="1" ht="13.5" thickTop="1" x14ac:dyDescent="0.2"/>
    <row r="34" spans="1:6" s="91" customFormat="1" ht="13.5" thickBot="1" x14ac:dyDescent="0.25">
      <c r="F34" s="107"/>
    </row>
    <row r="35" spans="1:6" s="91" customFormat="1" ht="20.100000000000001" customHeight="1" thickTop="1" x14ac:dyDescent="0.2">
      <c r="A35" s="96" t="s">
        <v>336</v>
      </c>
      <c r="B35" s="96" t="s">
        <v>3544</v>
      </c>
      <c r="C35" s="97"/>
      <c r="D35" s="97"/>
      <c r="E35" s="97"/>
      <c r="F35" s="97"/>
    </row>
    <row r="36" spans="1:6" s="91" customFormat="1" ht="25.5" x14ac:dyDescent="0.2">
      <c r="A36" s="94" t="s">
        <v>11</v>
      </c>
      <c r="D36" s="218" t="s">
        <v>3975</v>
      </c>
      <c r="E36" s="219"/>
      <c r="F36" s="220"/>
    </row>
    <row r="37" spans="1:6" s="91" customFormat="1" x14ac:dyDescent="0.2">
      <c r="A37" s="91" t="s">
        <v>10</v>
      </c>
    </row>
    <row r="38" spans="1:6" s="91" customFormat="1" x14ac:dyDescent="0.2"/>
    <row r="39" spans="1:6" s="91" customFormat="1" x14ac:dyDescent="0.2">
      <c r="D39" s="227"/>
      <c r="E39" s="227"/>
      <c r="F39" s="227"/>
    </row>
    <row r="40" spans="1:6" s="91" customFormat="1" x14ac:dyDescent="0.2">
      <c r="D40" s="228"/>
      <c r="E40" s="229"/>
      <c r="F40" s="229"/>
    </row>
    <row r="41" spans="1:6" s="91" customFormat="1" x14ac:dyDescent="0.2">
      <c r="B41" s="101"/>
    </row>
    <row r="42" spans="1:6" s="91" customFormat="1" x14ac:dyDescent="0.2">
      <c r="A42" s="101"/>
    </row>
    <row r="43" spans="1:6" s="91" customFormat="1" x14ac:dyDescent="0.2">
      <c r="A43" s="98" t="s">
        <v>8</v>
      </c>
      <c r="D43" s="98" t="s">
        <v>7</v>
      </c>
      <c r="F43" s="102"/>
    </row>
    <row r="44" spans="1:6" s="91" customFormat="1" x14ac:dyDescent="0.2"/>
    <row r="45" spans="1:6" s="91" customFormat="1" x14ac:dyDescent="0.2"/>
    <row r="46" spans="1:6" s="91" customFormat="1" x14ac:dyDescent="0.2"/>
    <row r="47" spans="1:6" s="91" customFormat="1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s="91" customFormat="1" x14ac:dyDescent="0.2">
      <c r="A49" s="91" t="s">
        <v>4066</v>
      </c>
      <c r="D49" s="91" t="s">
        <v>2</v>
      </c>
    </row>
    <row r="50" spans="1:4" s="91" customFormat="1" x14ac:dyDescent="0.2"/>
    <row r="51" spans="1:4" s="91" customFormat="1" x14ac:dyDescent="0.2">
      <c r="D51" s="2" t="s">
        <v>1</v>
      </c>
    </row>
    <row r="52" spans="1:4" s="91" customFormat="1" x14ac:dyDescent="0.2">
      <c r="D52" s="2" t="s">
        <v>0</v>
      </c>
    </row>
    <row r="53" spans="1:4" s="91" customFormat="1" x14ac:dyDescent="0.2"/>
    <row r="54" spans="1:4" s="91" customFormat="1" x14ac:dyDescent="0.2"/>
    <row r="55" spans="1:4" s="91" customFormat="1" x14ac:dyDescent="0.2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2-000000000000}">
  <sheetPr codeName="Sheet469">
    <pageSetUpPr fitToPage="1"/>
  </sheetPr>
  <dimension ref="A1:F52"/>
  <sheetViews>
    <sheetView topLeftCell="A4"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1720</v>
      </c>
      <c r="D9" s="92" t="s">
        <v>1317</v>
      </c>
      <c r="E9" s="91" t="s">
        <v>4377</v>
      </c>
    </row>
    <row r="10" spans="1:6" x14ac:dyDescent="0.2">
      <c r="A10" s="91" t="s">
        <v>1721</v>
      </c>
      <c r="D10" s="92" t="s">
        <v>1329</v>
      </c>
      <c r="E10" s="92" t="s">
        <v>4362</v>
      </c>
    </row>
    <row r="11" spans="1:6" x14ac:dyDescent="0.2">
      <c r="A11" s="91" t="s">
        <v>1722</v>
      </c>
      <c r="D11" s="92" t="s">
        <v>1330</v>
      </c>
      <c r="E11" s="92" t="s">
        <v>1220</v>
      </c>
    </row>
    <row r="12" spans="1:6" x14ac:dyDescent="0.2">
      <c r="D12" s="92" t="s">
        <v>1331</v>
      </c>
      <c r="E12" s="92" t="s">
        <v>4378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3652</v>
      </c>
    </row>
    <row r="19" spans="1:6" x14ac:dyDescent="0.2">
      <c r="A19" s="106"/>
      <c r="C19" s="2" t="s">
        <v>4380</v>
      </c>
    </row>
    <row r="20" spans="1:6" x14ac:dyDescent="0.2">
      <c r="A20" s="93"/>
      <c r="B20" s="93"/>
      <c r="C20" s="2" t="s">
        <v>4381</v>
      </c>
    </row>
    <row r="21" spans="1:6" x14ac:dyDescent="0.2">
      <c r="A21" s="92" t="s">
        <v>4249</v>
      </c>
      <c r="B21" s="94"/>
    </row>
    <row r="22" spans="1:6" x14ac:dyDescent="0.2">
      <c r="A22" s="93" t="s">
        <v>4379</v>
      </c>
      <c r="C22" s="91" t="s">
        <v>4382</v>
      </c>
      <c r="F22" s="91">
        <v>350</v>
      </c>
    </row>
    <row r="23" spans="1:6" x14ac:dyDescent="0.2">
      <c r="C23" s="2"/>
    </row>
    <row r="24" spans="1:6" x14ac:dyDescent="0.2">
      <c r="C24" s="2"/>
    </row>
    <row r="26" spans="1:6" x14ac:dyDescent="0.2">
      <c r="A26" s="92"/>
      <c r="B26" s="93"/>
      <c r="C26" s="94"/>
    </row>
    <row r="27" spans="1:6" x14ac:dyDescent="0.2">
      <c r="A27" s="93"/>
      <c r="C27" s="2"/>
    </row>
    <row r="29" spans="1:6" x14ac:dyDescent="0.2">
      <c r="A29" s="93"/>
    </row>
    <row r="30" spans="1:6" x14ac:dyDescent="0.2">
      <c r="A30" s="93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SUM(F19:F31)</f>
        <v>350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Hundred Fifty and NO/100 -----------</v>
      </c>
      <c r="C35" s="97"/>
      <c r="D35" s="97"/>
      <c r="E35" s="97"/>
      <c r="F35" s="97"/>
    </row>
    <row r="36" spans="1:6" x14ac:dyDescent="0.2">
      <c r="A36" s="94"/>
    </row>
    <row r="37" spans="1:6" x14ac:dyDescent="0.2">
      <c r="A37" s="91" t="s">
        <v>10</v>
      </c>
    </row>
    <row r="38" spans="1:6" ht="25.5" x14ac:dyDescent="0.2"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69BD-5A21-447F-83BE-BC7B8FE62570}">
  <sheetPr codeName="Sheet722"/>
  <dimension ref="A1:M56"/>
  <sheetViews>
    <sheetView topLeftCell="A4" zoomScaleNormal="100" workbookViewId="0">
      <selection activeCell="E9" sqref="E9:E12"/>
    </sheetView>
  </sheetViews>
  <sheetFormatPr defaultRowHeight="12.75" x14ac:dyDescent="0.2"/>
  <cols>
    <col min="1" max="1" width="15.42578125" style="91" customWidth="1"/>
    <col min="2" max="2" width="13.140625" style="91" customWidth="1"/>
    <col min="3" max="3" width="21" style="91" customWidth="1"/>
    <col min="4" max="4" width="18.42578125" style="91" customWidth="1"/>
    <col min="5" max="5" width="12.855468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7475</v>
      </c>
      <c r="D9" s="92" t="s">
        <v>1317</v>
      </c>
      <c r="E9" s="155" t="s">
        <v>7473</v>
      </c>
    </row>
    <row r="10" spans="1:6" x14ac:dyDescent="0.2">
      <c r="A10" s="91" t="s">
        <v>7476</v>
      </c>
      <c r="D10" s="92" t="s">
        <v>1329</v>
      </c>
      <c r="E10" s="155" t="s">
        <v>7472</v>
      </c>
    </row>
    <row r="11" spans="1:6" x14ac:dyDescent="0.2">
      <c r="A11" s="91" t="s">
        <v>7477</v>
      </c>
      <c r="D11" s="92" t="s">
        <v>1330</v>
      </c>
      <c r="E11" s="155" t="s">
        <v>1220</v>
      </c>
    </row>
    <row r="12" spans="1:6" x14ac:dyDescent="0.2">
      <c r="A12" s="91" t="s">
        <v>3969</v>
      </c>
      <c r="D12" s="92" t="s">
        <v>1331</v>
      </c>
      <c r="E12" s="91" t="s">
        <v>7474</v>
      </c>
    </row>
    <row r="13" spans="1:6" x14ac:dyDescent="0.2">
      <c r="A13" s="91" t="s">
        <v>7478</v>
      </c>
    </row>
    <row r="16" spans="1:6" s="14" customFormat="1" ht="20.100000000000001" customHeight="1" x14ac:dyDescent="0.2">
      <c r="A16" s="393" t="s">
        <v>1226</v>
      </c>
      <c r="B16" s="393" t="s">
        <v>128</v>
      </c>
      <c r="C16" s="18" t="s">
        <v>19</v>
      </c>
      <c r="D16" s="17"/>
      <c r="E16" s="16"/>
      <c r="F16" s="15" t="s">
        <v>18</v>
      </c>
    </row>
    <row r="17" spans="1:13" x14ac:dyDescent="0.2">
      <c r="A17" s="106"/>
    </row>
    <row r="18" spans="1:13" x14ac:dyDescent="0.2">
      <c r="C18" s="2" t="s">
        <v>7479</v>
      </c>
    </row>
    <row r="19" spans="1:13" x14ac:dyDescent="0.2">
      <c r="A19" s="106"/>
      <c r="C19" s="2"/>
      <c r="K19" s="91"/>
      <c r="L19" s="91"/>
      <c r="M19" s="91"/>
    </row>
    <row r="20" spans="1:13" x14ac:dyDescent="0.2">
      <c r="A20" s="93" t="s">
        <v>7456</v>
      </c>
      <c r="B20" s="93" t="s">
        <v>7480</v>
      </c>
      <c r="C20" s="91" t="s">
        <v>7481</v>
      </c>
      <c r="F20" s="91">
        <v>8000</v>
      </c>
      <c r="K20" s="91"/>
      <c r="L20" s="91"/>
      <c r="M20" s="91"/>
    </row>
    <row r="21" spans="1:13" x14ac:dyDescent="0.2">
      <c r="A21" s="93"/>
      <c r="B21" s="94"/>
      <c r="C21" s="91" t="s">
        <v>7482</v>
      </c>
      <c r="J21" s="91"/>
      <c r="K21" s="91"/>
      <c r="L21" s="91"/>
      <c r="M21" s="91"/>
    </row>
    <row r="22" spans="1:13" x14ac:dyDescent="0.2">
      <c r="J22" s="91"/>
      <c r="K22" s="91"/>
      <c r="L22" s="91"/>
      <c r="M22" s="91"/>
    </row>
    <row r="23" spans="1:13" x14ac:dyDescent="0.2">
      <c r="J23" s="91"/>
      <c r="K23" s="91"/>
      <c r="L23" s="91"/>
      <c r="M23" s="91"/>
    </row>
    <row r="24" spans="1:13" x14ac:dyDescent="0.2">
      <c r="A24" s="137"/>
      <c r="B24" s="394"/>
      <c r="J24" s="91"/>
      <c r="K24" s="91"/>
      <c r="L24" s="91"/>
      <c r="M24" s="91"/>
    </row>
    <row r="25" spans="1:13" x14ac:dyDescent="0.2">
      <c r="A25" s="137"/>
      <c r="B25" s="394"/>
      <c r="J25" s="91"/>
      <c r="K25" s="91"/>
      <c r="L25" s="91"/>
      <c r="M25" s="91"/>
    </row>
    <row r="26" spans="1:13" x14ac:dyDescent="0.2">
      <c r="A26" s="137"/>
      <c r="B26" s="394"/>
      <c r="C26" s="2"/>
      <c r="D26" s="1"/>
      <c r="J26" s="91"/>
      <c r="K26" s="91"/>
      <c r="L26" s="91"/>
      <c r="M26" s="91"/>
    </row>
    <row r="27" spans="1:13" x14ac:dyDescent="0.2">
      <c r="C27" s="1"/>
    </row>
    <row r="30" spans="1:13" x14ac:dyDescent="0.2">
      <c r="A30" s="93"/>
      <c r="B30" s="93"/>
    </row>
    <row r="32" spans="1:13" x14ac:dyDescent="0.2">
      <c r="A32" s="93"/>
      <c r="B32" s="394"/>
    </row>
    <row r="33" spans="1:6" x14ac:dyDescent="0.2">
      <c r="A33" s="93"/>
      <c r="B33" s="394"/>
    </row>
    <row r="34" spans="1:6" x14ac:dyDescent="0.2">
      <c r="A34" s="93"/>
      <c r="B34" s="394"/>
    </row>
    <row r="35" spans="1:6" x14ac:dyDescent="0.2">
      <c r="A35" s="93"/>
      <c r="B35" s="394"/>
    </row>
    <row r="36" spans="1:6" x14ac:dyDescent="0.2">
      <c r="A36" s="7"/>
      <c r="B36" s="1"/>
      <c r="D36" s="1"/>
      <c r="E36" s="1"/>
      <c r="F36" s="1"/>
    </row>
    <row r="37" spans="1:6" ht="13.5" thickBot="1" x14ac:dyDescent="0.25">
      <c r="A37" s="106"/>
      <c r="F37" s="107">
        <f>SUM(F19:F33)</f>
        <v>8000</v>
      </c>
    </row>
    <row r="38" spans="1:6" ht="13.5" thickTop="1" x14ac:dyDescent="0.2">
      <c r="A38" s="106"/>
    </row>
    <row r="39" spans="1:6" ht="20.100000000000001" customHeight="1" x14ac:dyDescent="0.2">
      <c r="A39" s="96" t="s">
        <v>1248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Eight Thousand and NO/100 -----------</v>
      </c>
      <c r="C39" s="97"/>
      <c r="D39" s="206"/>
      <c r="E39" s="206"/>
      <c r="F39" s="206"/>
    </row>
    <row r="40" spans="1:6" x14ac:dyDescent="0.2">
      <c r="A40" s="94"/>
    </row>
    <row r="41" spans="1:6" ht="25.5" x14ac:dyDescent="0.2">
      <c r="A41" s="91" t="s">
        <v>10</v>
      </c>
      <c r="D41" s="218" t="s">
        <v>3975</v>
      </c>
      <c r="E41" s="219"/>
      <c r="F41" s="220"/>
    </row>
    <row r="42" spans="1:6" x14ac:dyDescent="0.2">
      <c r="A42" s="1"/>
      <c r="D42" s="227"/>
      <c r="E42" s="227"/>
      <c r="F42" s="227"/>
    </row>
    <row r="43" spans="1:6" x14ac:dyDescent="0.2">
      <c r="D43" s="228"/>
      <c r="E43" s="229"/>
      <c r="F43" s="229"/>
    </row>
    <row r="44" spans="1:6" x14ac:dyDescent="0.2">
      <c r="A44" s="1"/>
      <c r="B44" s="1"/>
    </row>
    <row r="45" spans="1:6" x14ac:dyDescent="0.2">
      <c r="A45" s="101"/>
      <c r="B45" s="101"/>
    </row>
    <row r="47" spans="1:6" x14ac:dyDescent="0.2">
      <c r="A47" s="91" t="s">
        <v>8</v>
      </c>
      <c r="D47" s="98" t="s">
        <v>7</v>
      </c>
      <c r="F47" s="102"/>
    </row>
    <row r="50" spans="1:6" x14ac:dyDescent="0.2">
      <c r="A50" s="1"/>
    </row>
    <row r="51" spans="1:6" x14ac:dyDescent="0.2">
      <c r="A51" s="101" t="s">
        <v>120</v>
      </c>
      <c r="B51" s="101"/>
      <c r="D51" s="101"/>
      <c r="E51" s="101"/>
      <c r="F51" s="101"/>
    </row>
    <row r="52" spans="1:6" s="3" customFormat="1" ht="17.100000000000001" customHeight="1" x14ac:dyDescent="0.2">
      <c r="A52" s="91" t="s">
        <v>4066</v>
      </c>
      <c r="B52" s="104"/>
      <c r="C52" s="61"/>
      <c r="D52" s="61" t="s">
        <v>3</v>
      </c>
      <c r="E52" s="61"/>
      <c r="F52" s="61"/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2-000000000000}">
  <sheetPr codeName="Sheet508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8.42578125" style="91" customWidth="1"/>
    <col min="3" max="3" width="20" style="91" customWidth="1"/>
    <col min="4" max="4" width="17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4880</v>
      </c>
    </row>
    <row r="10" spans="1:6" x14ac:dyDescent="0.2">
      <c r="A10" s="91" t="s">
        <v>4881</v>
      </c>
      <c r="D10" s="92" t="s">
        <v>1357</v>
      </c>
      <c r="E10" s="98" t="s">
        <v>4882</v>
      </c>
    </row>
    <row r="11" spans="1:6" x14ac:dyDescent="0.2">
      <c r="A11" s="91" t="s">
        <v>4883</v>
      </c>
      <c r="D11" s="92" t="s">
        <v>1330</v>
      </c>
      <c r="E11" s="98" t="s">
        <v>1220</v>
      </c>
    </row>
    <row r="12" spans="1:6" x14ac:dyDescent="0.2">
      <c r="A12" s="91" t="s">
        <v>4884</v>
      </c>
      <c r="D12" s="92" t="s">
        <v>1224</v>
      </c>
      <c r="E12" s="92" t="s">
        <v>770</v>
      </c>
    </row>
    <row r="13" spans="1:6" x14ac:dyDescent="0.2">
      <c r="A13" s="91" t="s">
        <v>4885</v>
      </c>
    </row>
    <row r="14" spans="1:6" x14ac:dyDescent="0.2">
      <c r="A14" s="91" t="s">
        <v>4886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ht="12.75" customHeight="1" x14ac:dyDescent="0.2">
      <c r="A18" s="93"/>
      <c r="B18" s="240"/>
      <c r="C18" s="2" t="s">
        <v>4887</v>
      </c>
    </row>
    <row r="19" spans="1:6" x14ac:dyDescent="0.2">
      <c r="A19" s="94"/>
      <c r="B19" s="240"/>
    </row>
    <row r="20" spans="1:6" x14ac:dyDescent="0.2">
      <c r="A20" s="93" t="s">
        <v>4739</v>
      </c>
      <c r="B20" s="93" t="s">
        <v>4888</v>
      </c>
      <c r="C20" s="153" t="s">
        <v>4889</v>
      </c>
      <c r="F20" s="91">
        <f>324000*12.8998/100</f>
        <v>41795.351999999999</v>
      </c>
    </row>
    <row r="21" spans="1:6" x14ac:dyDescent="0.2">
      <c r="A21" s="93"/>
      <c r="B21" s="195"/>
      <c r="C21" s="153" t="s">
        <v>4890</v>
      </c>
    </row>
    <row r="22" spans="1:6" x14ac:dyDescent="0.2">
      <c r="A22" s="93"/>
      <c r="B22" s="195"/>
      <c r="C22" s="153"/>
    </row>
    <row r="23" spans="1:6" x14ac:dyDescent="0.2">
      <c r="A23" s="93"/>
      <c r="B23" s="195"/>
      <c r="C23" s="153" t="s">
        <v>4891</v>
      </c>
      <c r="F23" s="91">
        <f>19350*12.8998/100</f>
        <v>2496.1113</v>
      </c>
    </row>
    <row r="24" spans="1:6" x14ac:dyDescent="0.2">
      <c r="A24" s="93"/>
      <c r="B24" s="195"/>
      <c r="C24" s="153"/>
    </row>
    <row r="25" spans="1:6" x14ac:dyDescent="0.2">
      <c r="B25" s="191"/>
      <c r="C25" s="91" t="s">
        <v>4892</v>
      </c>
      <c r="F25" s="91">
        <f>24034.5*12.8998/100</f>
        <v>3100.4024310000004</v>
      </c>
    </row>
    <row r="26" spans="1:6" x14ac:dyDescent="0.2">
      <c r="A26" s="93"/>
      <c r="B26" s="240"/>
      <c r="C26" s="153"/>
    </row>
    <row r="27" spans="1:6" x14ac:dyDescent="0.2">
      <c r="A27" s="94"/>
      <c r="B27" s="240"/>
      <c r="C27" s="91" t="s">
        <v>52</v>
      </c>
      <c r="F27" s="91">
        <v>30</v>
      </c>
    </row>
    <row r="28" spans="1:6" x14ac:dyDescent="0.2">
      <c r="A28" s="93"/>
      <c r="B28" s="195"/>
    </row>
    <row r="29" spans="1:6" x14ac:dyDescent="0.2">
      <c r="C29" s="91" t="s">
        <v>2147</v>
      </c>
      <c r="F29" s="91">
        <f>F27*6%</f>
        <v>1.7999999999999998</v>
      </c>
    </row>
    <row r="31" spans="1:6" x14ac:dyDescent="0.2">
      <c r="F31" s="2"/>
    </row>
    <row r="32" spans="1:6" x14ac:dyDescent="0.2">
      <c r="B32" s="94"/>
    </row>
    <row r="33" spans="1:6" x14ac:dyDescent="0.2">
      <c r="B33" s="94"/>
    </row>
    <row r="35" spans="1:6" ht="13.5" thickBot="1" x14ac:dyDescent="0.25">
      <c r="F35" s="95">
        <f>SUM(F18:F34)</f>
        <v>47423.665731000001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Forty-Seven Thousand Four Hundred Twenty-Three and 67/100 -----------</v>
      </c>
      <c r="C37" s="97"/>
      <c r="D37" s="97"/>
      <c r="E37" s="97"/>
      <c r="F37" s="97"/>
    </row>
    <row r="38" spans="1:6" x14ac:dyDescent="0.2">
      <c r="A38" s="94"/>
    </row>
    <row r="39" spans="1:6" ht="25.5" x14ac:dyDescent="0.2">
      <c r="A39" s="98" t="s">
        <v>10</v>
      </c>
      <c r="D39" s="218" t="s">
        <v>3975</v>
      </c>
      <c r="E39" s="219"/>
      <c r="F39" s="220"/>
    </row>
    <row r="40" spans="1:6" x14ac:dyDescent="0.2">
      <c r="A40" s="98"/>
    </row>
    <row r="41" spans="1:6" x14ac:dyDescent="0.2">
      <c r="A41" s="98"/>
      <c r="D41" s="227"/>
      <c r="E41" s="227"/>
      <c r="F41" s="227"/>
    </row>
    <row r="42" spans="1:6" x14ac:dyDescent="0.2">
      <c r="A42" s="98"/>
      <c r="C42" s="99"/>
      <c r="D42" s="228"/>
      <c r="E42" s="229"/>
      <c r="F42" s="229"/>
    </row>
    <row r="43" spans="1:6" x14ac:dyDescent="0.2">
      <c r="A43" s="101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4066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2-000000000000}">
  <sheetPr codeName="Sheet540">
    <pageSetUpPr fitToPage="1"/>
  </sheetPr>
  <dimension ref="A1:P65"/>
  <sheetViews>
    <sheetView workbookViewId="0">
      <selection activeCell="G29" sqref="G29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/>
      <c r="B9" s="91"/>
      <c r="C9" s="91"/>
      <c r="D9" s="91"/>
      <c r="E9" s="91"/>
      <c r="F9" s="92" t="s">
        <v>30</v>
      </c>
      <c r="G9" s="91" t="s">
        <v>7959</v>
      </c>
      <c r="H9" s="91"/>
    </row>
    <row r="10" spans="1:10" x14ac:dyDescent="0.2">
      <c r="A10" s="91" t="s">
        <v>3016</v>
      </c>
      <c r="B10" s="91"/>
      <c r="C10" s="91"/>
      <c r="D10" s="91"/>
      <c r="E10" s="91"/>
      <c r="F10" s="92" t="s">
        <v>27</v>
      </c>
      <c r="G10" s="92" t="s">
        <v>7899</v>
      </c>
      <c r="H10" s="91"/>
      <c r="J10" s="20"/>
    </row>
    <row r="11" spans="1:10" x14ac:dyDescent="0.2">
      <c r="A11" s="91" t="s">
        <v>5199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81"/>
    </row>
    <row r="12" spans="1:10" x14ac:dyDescent="0.2">
      <c r="A12" s="91" t="s">
        <v>5200</v>
      </c>
      <c r="B12" s="91"/>
      <c r="C12" s="91"/>
      <c r="D12" s="91"/>
      <c r="E12" s="91"/>
      <c r="F12" s="92" t="s">
        <v>22</v>
      </c>
      <c r="G12" s="92" t="s">
        <v>770</v>
      </c>
      <c r="H12" s="91"/>
    </row>
    <row r="13" spans="1:10" x14ac:dyDescent="0.2">
      <c r="A13" s="91" t="s">
        <v>3019</v>
      </c>
      <c r="B13" s="91"/>
      <c r="C13" s="91"/>
      <c r="D13" s="91"/>
      <c r="E13" s="91"/>
      <c r="F13" s="91"/>
      <c r="G13" s="91"/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6" x14ac:dyDescent="0.2">
      <c r="A17" s="91"/>
      <c r="B17" s="91"/>
      <c r="C17" s="91"/>
      <c r="D17" s="91"/>
      <c r="E17" s="91"/>
      <c r="F17" s="91"/>
      <c r="G17" s="91"/>
      <c r="H17" s="91"/>
    </row>
    <row r="18" spans="1:16" x14ac:dyDescent="0.2">
      <c r="A18" s="91"/>
      <c r="B18" s="91"/>
      <c r="C18" s="91"/>
      <c r="D18" s="2" t="s">
        <v>5198</v>
      </c>
      <c r="E18" s="2"/>
      <c r="F18" s="91"/>
      <c r="G18" s="91"/>
      <c r="H18" s="91"/>
      <c r="K18" s="247"/>
      <c r="L18" s="91"/>
      <c r="M18" s="91"/>
      <c r="N18" s="91"/>
      <c r="O18" s="91"/>
      <c r="P18" s="91"/>
    </row>
    <row r="19" spans="1:16" x14ac:dyDescent="0.2">
      <c r="A19" s="91"/>
      <c r="B19" s="91"/>
      <c r="C19" s="91"/>
      <c r="D19" s="2"/>
      <c r="E19" s="2"/>
      <c r="F19" s="91"/>
      <c r="G19" s="91"/>
      <c r="H19" s="91"/>
      <c r="L19" s="91"/>
      <c r="M19" s="91"/>
      <c r="N19" s="91"/>
      <c r="O19" s="91"/>
      <c r="P19" s="91"/>
    </row>
    <row r="20" spans="1:16" x14ac:dyDescent="0.2">
      <c r="A20" s="93" t="s">
        <v>7892</v>
      </c>
      <c r="B20" s="278" t="s">
        <v>7960</v>
      </c>
      <c r="C20" s="93"/>
      <c r="D20" s="91" t="s">
        <v>7961</v>
      </c>
      <c r="E20" s="91"/>
      <c r="F20" s="91"/>
      <c r="G20" s="91"/>
      <c r="H20" s="91">
        <f>56596.1*4.2387</f>
        <v>239893.88906999998</v>
      </c>
      <c r="L20" s="91"/>
      <c r="P20" s="91"/>
    </row>
    <row r="21" spans="1:16" x14ac:dyDescent="0.2">
      <c r="A21" s="91"/>
      <c r="B21" s="94"/>
      <c r="C21" s="94"/>
      <c r="D21" s="91" t="s">
        <v>7962</v>
      </c>
      <c r="E21" s="91"/>
      <c r="F21" s="91"/>
      <c r="G21" s="91"/>
      <c r="H21" s="91"/>
      <c r="L21" s="91"/>
      <c r="N21" s="91"/>
      <c r="O21" s="91"/>
      <c r="P21" s="91"/>
    </row>
    <row r="22" spans="1:16" x14ac:dyDescent="0.2">
      <c r="A22" s="93"/>
      <c r="B22" s="278"/>
      <c r="C22" s="93"/>
      <c r="D22" s="91"/>
      <c r="H22" s="91"/>
      <c r="L22" s="91"/>
      <c r="M22" s="91"/>
      <c r="N22" s="91"/>
      <c r="O22" s="91"/>
      <c r="P22" s="91"/>
    </row>
    <row r="23" spans="1:16" x14ac:dyDescent="0.2">
      <c r="A23" s="91"/>
      <c r="B23" s="94"/>
      <c r="C23" s="94"/>
      <c r="D23" s="91" t="s">
        <v>7964</v>
      </c>
      <c r="F23" s="91"/>
      <c r="G23" s="91"/>
      <c r="H23" s="91"/>
      <c r="L23" s="91"/>
      <c r="M23" s="91"/>
      <c r="N23" s="91"/>
      <c r="O23" s="91"/>
      <c r="P23" s="91"/>
    </row>
    <row r="24" spans="1:16" x14ac:dyDescent="0.2">
      <c r="A24" s="93"/>
      <c r="B24" s="278"/>
      <c r="C24" s="93"/>
      <c r="D24" s="91"/>
      <c r="E24" s="91"/>
      <c r="F24" s="91"/>
      <c r="G24" s="91"/>
      <c r="H24" s="91"/>
      <c r="L24" s="91"/>
      <c r="M24" s="91"/>
      <c r="P24" s="91"/>
    </row>
    <row r="25" spans="1:16" x14ac:dyDescent="0.2">
      <c r="A25" s="93" t="s">
        <v>7892</v>
      </c>
      <c r="B25" s="261" t="s">
        <v>7963</v>
      </c>
      <c r="C25" s="91"/>
      <c r="D25" s="91" t="s">
        <v>7965</v>
      </c>
      <c r="E25" s="91"/>
      <c r="F25" s="91"/>
      <c r="G25" s="91"/>
      <c r="H25" s="91">
        <f>10000*4.2387</f>
        <v>42387</v>
      </c>
    </row>
    <row r="26" spans="1:16" x14ac:dyDescent="0.2">
      <c r="A26" s="91"/>
      <c r="B26" s="94"/>
      <c r="C26" s="94"/>
      <c r="D26" s="91"/>
      <c r="E26" s="91"/>
      <c r="H26" s="91"/>
      <c r="L26" s="91"/>
      <c r="M26" s="91"/>
      <c r="N26" s="91"/>
      <c r="O26" s="91"/>
      <c r="P26" s="91"/>
    </row>
    <row r="27" spans="1:16" x14ac:dyDescent="0.2">
      <c r="A27" s="91"/>
      <c r="B27" s="91"/>
      <c r="C27" s="91"/>
      <c r="D27" s="91" t="s">
        <v>7966</v>
      </c>
    </row>
    <row r="28" spans="1:16" x14ac:dyDescent="0.2">
      <c r="A28" s="91"/>
      <c r="B28" s="91"/>
      <c r="C28" s="91"/>
      <c r="D28" s="91"/>
      <c r="E28" s="91"/>
      <c r="F28" s="91"/>
      <c r="G28" s="91"/>
      <c r="H28" s="91"/>
    </row>
    <row r="29" spans="1:16" x14ac:dyDescent="0.2">
      <c r="A29" s="91"/>
      <c r="B29" s="91"/>
      <c r="C29" s="91"/>
      <c r="D29" s="91" t="s">
        <v>52</v>
      </c>
      <c r="F29" s="91"/>
      <c r="G29" s="91"/>
      <c r="H29" s="91">
        <v>30</v>
      </c>
    </row>
    <row r="30" spans="1:16" x14ac:dyDescent="0.2">
      <c r="A30" s="91"/>
      <c r="B30" s="94"/>
      <c r="C30" s="94"/>
      <c r="D30" s="91"/>
      <c r="E30" s="143"/>
      <c r="F30" s="91"/>
      <c r="G30" s="91"/>
      <c r="H30" s="91"/>
    </row>
    <row r="31" spans="1:16" x14ac:dyDescent="0.2">
      <c r="A31" s="91"/>
      <c r="B31" s="91"/>
      <c r="C31" s="91"/>
    </row>
    <row r="32" spans="1:16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282310.88906999998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Two Hundred Eighty-Two Thousand Three Hundred Ten and 89/100 -----------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8" t="s">
        <v>8</v>
      </c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101"/>
      <c r="E43" s="91"/>
      <c r="F43" s="91"/>
      <c r="G43" s="91"/>
      <c r="H43" s="91"/>
    </row>
    <row r="44" spans="1:8" x14ac:dyDescent="0.2">
      <c r="A44" s="91"/>
      <c r="B44" s="91"/>
      <c r="C44" s="91"/>
      <c r="D44" s="103" t="s">
        <v>50</v>
      </c>
      <c r="E44" s="91"/>
      <c r="F44" s="91"/>
      <c r="G44" s="91"/>
      <c r="H44" s="91"/>
    </row>
    <row r="45" spans="1:8" x14ac:dyDescent="0.2">
      <c r="A45" s="91"/>
      <c r="B45" s="91"/>
      <c r="C45" s="91"/>
      <c r="D45" s="103"/>
      <c r="E45" s="91"/>
      <c r="F45" s="91"/>
      <c r="G45" s="91"/>
      <c r="H45" s="91"/>
    </row>
    <row r="46" spans="1:8" x14ac:dyDescent="0.2">
      <c r="A46" s="98" t="s">
        <v>8</v>
      </c>
      <c r="B46" s="91"/>
      <c r="C46" s="91"/>
      <c r="D46" s="98" t="s">
        <v>8</v>
      </c>
      <c r="E46" s="91"/>
      <c r="F46" s="98" t="s">
        <v>7</v>
      </c>
      <c r="G46" s="91"/>
      <c r="H46" s="102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101"/>
      <c r="B50" s="101"/>
      <c r="C50" s="91"/>
      <c r="D50" s="101"/>
      <c r="E50" s="91"/>
      <c r="F50" s="101"/>
      <c r="G50" s="101"/>
      <c r="H50" s="101"/>
    </row>
    <row r="51" spans="1:8" s="3" customFormat="1" ht="17.100000000000001" customHeight="1" x14ac:dyDescent="0.2">
      <c r="A51" s="103" t="s">
        <v>4066</v>
      </c>
      <c r="B51" s="104"/>
      <c r="C51" s="104"/>
      <c r="D51" s="103" t="s">
        <v>50</v>
      </c>
      <c r="E51" s="61"/>
      <c r="F51" s="61" t="s">
        <v>3</v>
      </c>
      <c r="G51" s="61"/>
      <c r="H51" s="61"/>
    </row>
    <row r="52" spans="1:8" x14ac:dyDescent="0.2">
      <c r="A52" s="91"/>
      <c r="B52" s="91"/>
      <c r="C52" s="91"/>
      <c r="D52" s="91"/>
      <c r="E52" s="91"/>
      <c r="F52" s="91" t="s">
        <v>2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2-000000000000}">
  <sheetPr codeName="Sheet541">
    <pageSetUpPr fitToPage="1"/>
  </sheetPr>
  <dimension ref="A1:K64"/>
  <sheetViews>
    <sheetView topLeftCell="A4" workbookViewId="0">
      <selection activeCell="F34" sqref="F3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/>
      <c r="B9" s="91"/>
      <c r="C9" s="91"/>
      <c r="D9" s="91"/>
      <c r="E9" s="91"/>
      <c r="F9" s="92" t="s">
        <v>30</v>
      </c>
      <c r="G9" s="91" t="s">
        <v>6936</v>
      </c>
      <c r="H9" s="91"/>
    </row>
    <row r="10" spans="1:10" x14ac:dyDescent="0.2">
      <c r="A10" s="91" t="s">
        <v>5195</v>
      </c>
      <c r="B10" s="91"/>
      <c r="C10" s="91"/>
      <c r="D10" s="91"/>
      <c r="E10" s="91"/>
      <c r="F10" s="92" t="s">
        <v>27</v>
      </c>
      <c r="G10" s="92" t="s">
        <v>6937</v>
      </c>
      <c r="H10" s="91"/>
      <c r="J10" s="20"/>
    </row>
    <row r="11" spans="1:10" x14ac:dyDescent="0.2">
      <c r="A11" s="91" t="s">
        <v>5196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19"/>
    </row>
    <row r="12" spans="1:10" x14ac:dyDescent="0.2">
      <c r="A12" s="91" t="s">
        <v>5197</v>
      </c>
      <c r="B12" s="91"/>
      <c r="C12" s="91"/>
      <c r="D12" s="91"/>
      <c r="E12" s="91"/>
      <c r="F12" s="92" t="s">
        <v>22</v>
      </c>
      <c r="G12" s="92" t="s">
        <v>770</v>
      </c>
      <c r="H12" s="91"/>
    </row>
    <row r="13" spans="1:10" x14ac:dyDescent="0.2">
      <c r="A13" s="91"/>
      <c r="B13" s="91"/>
      <c r="C13" s="91"/>
      <c r="D13" s="91"/>
      <c r="E13" s="91"/>
      <c r="F13" s="91"/>
      <c r="G13" s="91"/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1" x14ac:dyDescent="0.2">
      <c r="A17" s="91"/>
      <c r="B17" s="91"/>
      <c r="C17" s="91"/>
      <c r="D17" s="91"/>
      <c r="E17" s="91"/>
      <c r="F17" s="91"/>
      <c r="G17" s="91"/>
      <c r="H17" s="91"/>
    </row>
    <row r="18" spans="1:11" x14ac:dyDescent="0.2">
      <c r="A18" s="91"/>
      <c r="B18" s="91"/>
      <c r="C18" s="91"/>
      <c r="D18" s="2" t="s">
        <v>6938</v>
      </c>
      <c r="E18" s="2"/>
      <c r="F18" s="91"/>
      <c r="G18" s="91"/>
      <c r="H18" s="91"/>
      <c r="K18" s="247"/>
    </row>
    <row r="19" spans="1:11" x14ac:dyDescent="0.2">
      <c r="A19" s="91"/>
      <c r="B19" s="91"/>
      <c r="C19" s="91"/>
      <c r="D19" s="2"/>
      <c r="E19" s="2"/>
      <c r="F19" s="91"/>
      <c r="G19" s="91"/>
      <c r="H19" s="91"/>
    </row>
    <row r="20" spans="1:11" x14ac:dyDescent="0.2">
      <c r="A20" s="93" t="s">
        <v>6939</v>
      </c>
      <c r="B20" s="93" t="s">
        <v>6046</v>
      </c>
      <c r="C20" s="93"/>
      <c r="D20" s="91" t="s">
        <v>6940</v>
      </c>
      <c r="E20" s="91"/>
      <c r="F20" s="91"/>
      <c r="G20" s="91"/>
      <c r="H20" s="91">
        <f>3523.08*3.0619</f>
        <v>10787.318652</v>
      </c>
    </row>
    <row r="21" spans="1:11" x14ac:dyDescent="0.2">
      <c r="A21" s="91"/>
      <c r="B21" s="94"/>
      <c r="C21" s="94"/>
      <c r="D21" s="91"/>
      <c r="E21" s="91"/>
      <c r="F21" s="91"/>
      <c r="G21" s="91"/>
      <c r="H21" s="91"/>
    </row>
    <row r="22" spans="1:11" x14ac:dyDescent="0.2">
      <c r="A22" s="93"/>
      <c r="B22" s="93"/>
      <c r="C22" s="93"/>
      <c r="D22" s="91" t="s">
        <v>52</v>
      </c>
      <c r="E22" s="91"/>
      <c r="F22" s="91"/>
      <c r="G22" s="91"/>
      <c r="H22" s="91">
        <v>10</v>
      </c>
    </row>
    <row r="23" spans="1:11" x14ac:dyDescent="0.2">
      <c r="A23" s="91"/>
      <c r="B23" s="94"/>
      <c r="C23" s="94"/>
      <c r="D23" s="91"/>
      <c r="E23" s="91"/>
      <c r="F23" s="91"/>
      <c r="G23" s="91"/>
      <c r="H23" s="91"/>
    </row>
    <row r="24" spans="1:11" x14ac:dyDescent="0.2">
      <c r="A24" s="93"/>
      <c r="B24" s="93"/>
      <c r="C24" s="93"/>
      <c r="D24" s="91"/>
      <c r="E24" s="91"/>
      <c r="H24" s="91"/>
    </row>
    <row r="25" spans="1:11" x14ac:dyDescent="0.2">
      <c r="A25" s="91"/>
      <c r="B25" s="91"/>
      <c r="C25" s="91"/>
    </row>
    <row r="26" spans="1:11" x14ac:dyDescent="0.2">
      <c r="A26" s="91"/>
      <c r="B26" s="94"/>
      <c r="C26" s="94"/>
      <c r="D26" s="91"/>
      <c r="E26" s="91"/>
    </row>
    <row r="27" spans="1:11" x14ac:dyDescent="0.2">
      <c r="A27" s="91"/>
      <c r="B27" s="91"/>
      <c r="C27" s="91"/>
    </row>
    <row r="28" spans="1:11" x14ac:dyDescent="0.2">
      <c r="A28" s="91"/>
      <c r="B28" s="91"/>
      <c r="C28" s="91"/>
      <c r="D28" s="91"/>
      <c r="E28" s="91"/>
      <c r="F28" s="91"/>
      <c r="G28" s="91"/>
      <c r="H28" s="91"/>
    </row>
    <row r="29" spans="1:11" x14ac:dyDescent="0.2">
      <c r="A29" s="91"/>
      <c r="B29" s="91"/>
      <c r="C29" s="91"/>
      <c r="F29" s="91"/>
      <c r="G29" s="91"/>
      <c r="H29" s="91"/>
    </row>
    <row r="30" spans="1:11" x14ac:dyDescent="0.2">
      <c r="A30" s="91"/>
      <c r="B30" s="94"/>
      <c r="C30" s="94"/>
      <c r="D30" s="143"/>
      <c r="E30" s="143"/>
      <c r="F30" s="91"/>
      <c r="G30" s="91"/>
      <c r="H30" s="91"/>
    </row>
    <row r="31" spans="1:11" x14ac:dyDescent="0.2">
      <c r="A31" s="91"/>
      <c r="B31" s="91"/>
      <c r="C31" s="91"/>
    </row>
    <row r="32" spans="1:11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10797.318652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Ten Thousand Seven Hundred Ninety-Seven and 32/100 -----------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91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2-000000000000}">
  <sheetPr codeName="Sheet509">
    <pageSetUpPr fitToPage="1"/>
  </sheetPr>
  <dimension ref="A1:G60"/>
  <sheetViews>
    <sheetView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85546875" style="120" customWidth="1"/>
    <col min="3" max="3" width="19.85546875" style="120" customWidth="1"/>
    <col min="4" max="4" width="16.42578125" style="120" customWidth="1"/>
    <col min="5" max="5" width="8.140625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/>
      <c r="B9" s="61"/>
      <c r="C9" s="61"/>
      <c r="D9" s="113" t="s">
        <v>1353</v>
      </c>
      <c r="E9" s="91" t="s">
        <v>4994</v>
      </c>
      <c r="F9" s="91"/>
    </row>
    <row r="10" spans="1:7" s="38" customFormat="1" ht="12.75" customHeight="1" x14ac:dyDescent="0.2">
      <c r="A10" s="61" t="s">
        <v>4996</v>
      </c>
      <c r="B10" s="61"/>
      <c r="C10" s="61"/>
      <c r="D10" s="113" t="s">
        <v>1335</v>
      </c>
      <c r="E10" s="92" t="s">
        <v>4963</v>
      </c>
      <c r="F10" s="91"/>
    </row>
    <row r="11" spans="1:7" s="38" customFormat="1" ht="12.75" customHeight="1" x14ac:dyDescent="0.2">
      <c r="A11" s="61" t="s">
        <v>4997</v>
      </c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 t="s">
        <v>4998</v>
      </c>
      <c r="B12" s="61"/>
      <c r="C12" s="61"/>
      <c r="D12" s="113" t="s">
        <v>1355</v>
      </c>
      <c r="E12" s="92" t="s">
        <v>4995</v>
      </c>
      <c r="F12" s="91"/>
    </row>
    <row r="13" spans="1:7" s="38" customFormat="1" ht="12.75" customHeight="1" x14ac:dyDescent="0.2">
      <c r="A13" s="61" t="s">
        <v>1284</v>
      </c>
      <c r="B13" s="61"/>
      <c r="C13" s="61"/>
      <c r="D13" s="61"/>
      <c r="E13" s="91"/>
      <c r="F13" s="61"/>
    </row>
    <row r="14" spans="1:7" s="38" customFormat="1" ht="12.75" customHeight="1" x14ac:dyDescent="0.2">
      <c r="A14" s="61" t="s">
        <v>4999</v>
      </c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 t="s">
        <v>5000</v>
      </c>
      <c r="D18" s="61"/>
      <c r="E18" s="61"/>
      <c r="F18" s="61"/>
      <c r="G18" s="55"/>
    </row>
    <row r="19" spans="1:7" s="38" customFormat="1" ht="12.75" customHeight="1" x14ac:dyDescent="0.2">
      <c r="A19" s="129"/>
      <c r="B19" s="103"/>
      <c r="D19" s="61"/>
      <c r="E19" s="61"/>
      <c r="F19" s="61"/>
      <c r="G19" s="55"/>
    </row>
    <row r="20" spans="1:7" s="126" customFormat="1" ht="12.75" customHeight="1" x14ac:dyDescent="0.2">
      <c r="A20" s="140" t="s">
        <v>4897</v>
      </c>
      <c r="B20" s="248" t="s">
        <v>5001</v>
      </c>
      <c r="C20" s="61" t="s">
        <v>5002</v>
      </c>
      <c r="F20" s="61">
        <v>28</v>
      </c>
    </row>
    <row r="21" spans="1:7" s="126" customFormat="1" ht="12.75" customHeight="1" x14ac:dyDescent="0.2"/>
    <row r="22" spans="1:7" s="38" customFormat="1" ht="12.75" customHeight="1" x14ac:dyDescent="0.2">
      <c r="C22" s="14"/>
      <c r="G22" s="55"/>
    </row>
    <row r="23" spans="1:7" s="38" customFormat="1" ht="12.75" customHeight="1" x14ac:dyDescent="0.2">
      <c r="A23" s="140"/>
      <c r="B23" s="248"/>
      <c r="C23" s="61"/>
      <c r="D23" s="126"/>
      <c r="E23" s="126"/>
      <c r="F23" s="61"/>
      <c r="G23" s="55"/>
    </row>
    <row r="24" spans="1:7" s="126" customFormat="1" ht="12.75" customHeight="1" x14ac:dyDescent="0.2">
      <c r="A24" s="140"/>
      <c r="B24" s="248"/>
      <c r="C24" s="61"/>
      <c r="F24" s="61"/>
    </row>
    <row r="25" spans="1:7" s="126" customFormat="1" ht="12.75" customHeight="1" x14ac:dyDescent="0.2">
      <c r="A25" s="140"/>
      <c r="B25" s="190"/>
      <c r="C25" s="61"/>
      <c r="F25" s="61"/>
    </row>
    <row r="26" spans="1:7" s="126" customFormat="1" ht="12.75" customHeight="1" x14ac:dyDescent="0.2">
      <c r="A26" s="140"/>
      <c r="B26" s="190"/>
      <c r="C26" s="61"/>
      <c r="F26" s="61"/>
    </row>
    <row r="27" spans="1:7" s="126" customFormat="1" ht="12.75" customHeight="1" x14ac:dyDescent="0.2">
      <c r="A27" s="140"/>
      <c r="B27" s="190"/>
      <c r="F27" s="61"/>
    </row>
    <row r="28" spans="1:7" s="126" customFormat="1" ht="12.75" customHeight="1" x14ac:dyDescent="0.2">
      <c r="A28" s="140"/>
      <c r="B28" s="248"/>
      <c r="C28" s="61"/>
      <c r="F28" s="61"/>
    </row>
    <row r="29" spans="1:7" s="126" customFormat="1" ht="12.75" customHeight="1" x14ac:dyDescent="0.2">
      <c r="A29" s="140"/>
      <c r="B29" s="190"/>
      <c r="C29" s="61"/>
      <c r="F29" s="61"/>
    </row>
    <row r="30" spans="1:7" s="120" customFormat="1" ht="12.75" customHeight="1" x14ac:dyDescent="0.2">
      <c r="A30" s="118"/>
      <c r="B30" s="190"/>
      <c r="C30" s="61"/>
      <c r="D30" s="61"/>
      <c r="E30" s="61"/>
      <c r="F30" s="61"/>
    </row>
    <row r="31" spans="1:7" s="120" customFormat="1" ht="12.75" customHeight="1" x14ac:dyDescent="0.2">
      <c r="A31" s="140"/>
      <c r="B31" s="190"/>
      <c r="C31" s="61"/>
      <c r="D31" s="126"/>
      <c r="E31" s="126"/>
      <c r="F31" s="61"/>
    </row>
    <row r="32" spans="1:7" ht="12.75" customHeight="1" x14ac:dyDescent="0.3">
      <c r="A32" s="140"/>
      <c r="B32" s="103"/>
      <c r="C32" s="61"/>
      <c r="D32" s="91"/>
      <c r="E32" s="91"/>
      <c r="F32" s="91"/>
    </row>
    <row r="33" spans="1:7" s="38" customFormat="1" ht="12.75" customHeight="1" x14ac:dyDescent="0.2">
      <c r="A33" s="52"/>
      <c r="B33" s="52"/>
      <c r="C33" s="61"/>
      <c r="D33" s="91"/>
      <c r="E33" s="91"/>
      <c r="F33" s="91"/>
      <c r="G33" s="55"/>
    </row>
    <row r="34" spans="1:7" s="38" customFormat="1" ht="12.75" customHeight="1" x14ac:dyDescent="0.2">
      <c r="A34" s="140"/>
      <c r="B34" s="103"/>
      <c r="C34" s="61"/>
      <c r="D34" s="61"/>
      <c r="E34" s="61"/>
      <c r="F34" s="61"/>
      <c r="G34" s="55"/>
    </row>
    <row r="35" spans="1:7" s="38" customFormat="1" ht="12.75" customHeight="1" x14ac:dyDescent="0.2">
      <c r="A35" s="118"/>
      <c r="B35" s="103"/>
      <c r="C35" s="61"/>
      <c r="D35" s="61"/>
      <c r="E35" s="61"/>
      <c r="F35" s="61"/>
      <c r="G35" s="55"/>
    </row>
    <row r="36" spans="1:7" s="38" customFormat="1" ht="15.75" customHeight="1" thickBot="1" x14ac:dyDescent="0.25">
      <c r="A36" s="131"/>
      <c r="B36" s="126"/>
      <c r="C36" s="126"/>
      <c r="D36" s="126"/>
      <c r="E36" s="126"/>
      <c r="F36" s="132">
        <f>SUM(F18:F35)</f>
        <v>28</v>
      </c>
      <c r="G36" s="55"/>
    </row>
    <row r="37" spans="1:7" s="38" customFormat="1" ht="12.75" customHeight="1" thickTop="1" x14ac:dyDescent="0.2">
      <c r="A37" s="131"/>
      <c r="B37" s="126"/>
      <c r="C37" s="126"/>
      <c r="D37" s="126"/>
      <c r="E37" s="126"/>
      <c r="F37" s="126"/>
      <c r="G37" s="55"/>
    </row>
    <row r="38" spans="1:7" ht="20.100000000000001" customHeight="1" x14ac:dyDescent="0.3">
      <c r="A38" s="96" t="s">
        <v>122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Twenty-Eight and NO/100 -----------</v>
      </c>
      <c r="C38" s="121"/>
      <c r="D38" s="121"/>
      <c r="E38" s="121"/>
      <c r="F38" s="121"/>
    </row>
    <row r="39" spans="1:7" ht="12.75" customHeight="1" x14ac:dyDescent="0.3">
      <c r="A39" s="122"/>
    </row>
    <row r="40" spans="1:7" ht="27" customHeight="1" x14ac:dyDescent="0.3">
      <c r="A40" s="91" t="s">
        <v>10</v>
      </c>
      <c r="B40" s="91"/>
      <c r="C40" s="91"/>
      <c r="D40" s="218" t="s">
        <v>3975</v>
      </c>
      <c r="E40" s="219"/>
      <c r="F40" s="220"/>
    </row>
    <row r="41" spans="1:7" ht="12.75" customHeight="1" x14ac:dyDescent="0.3">
      <c r="A41" s="91"/>
      <c r="B41" s="91"/>
      <c r="C41" s="91"/>
      <c r="D41" s="91"/>
      <c r="E41" s="91"/>
      <c r="F41" s="91"/>
    </row>
    <row r="42" spans="1:7" ht="12.75" customHeight="1" x14ac:dyDescent="0.3">
      <c r="A42" s="91"/>
      <c r="B42" s="91"/>
      <c r="C42" s="91"/>
      <c r="D42" s="91"/>
      <c r="E42" s="91"/>
      <c r="F42" s="91"/>
    </row>
    <row r="43" spans="1:7" x14ac:dyDescent="0.3">
      <c r="A43" s="239"/>
      <c r="B43" s="91"/>
      <c r="C43" s="91"/>
      <c r="D43" s="227"/>
      <c r="E43" s="227"/>
      <c r="F43" s="227"/>
    </row>
    <row r="44" spans="1:7" x14ac:dyDescent="0.3">
      <c r="A44" s="100"/>
      <c r="B44" s="101"/>
      <c r="C44" s="91"/>
      <c r="D44" s="228"/>
      <c r="E44" s="229"/>
      <c r="F44" s="229"/>
    </row>
    <row r="45" spans="1:7" ht="12.75" customHeight="1" x14ac:dyDescent="0.3">
      <c r="A45" s="239"/>
      <c r="B45" s="239"/>
      <c r="C45" s="91"/>
      <c r="D45" s="91"/>
      <c r="E45" s="91"/>
      <c r="F45" s="102"/>
    </row>
    <row r="46" spans="1:7" ht="12.75" customHeight="1" x14ac:dyDescent="0.3">
      <c r="A46" s="98" t="s">
        <v>8</v>
      </c>
      <c r="B46" s="91"/>
      <c r="C46" s="91"/>
      <c r="D46" s="98" t="s">
        <v>7</v>
      </c>
      <c r="E46" s="91"/>
      <c r="F46" s="91"/>
    </row>
    <row r="47" spans="1:7" ht="12.75" customHeight="1" x14ac:dyDescent="0.3">
      <c r="A47" s="239"/>
      <c r="B47" s="91"/>
      <c r="C47" s="91"/>
      <c r="E47" s="91"/>
      <c r="F47" s="91"/>
    </row>
    <row r="48" spans="1:7" ht="12.75" customHeight="1" x14ac:dyDescent="0.3">
      <c r="A48" s="98"/>
      <c r="B48" s="91"/>
      <c r="C48" s="91"/>
      <c r="D48" s="91"/>
      <c r="E48" s="91"/>
      <c r="F48" s="91"/>
    </row>
    <row r="49" spans="1:6" ht="12.75" customHeight="1" x14ac:dyDescent="0.3">
      <c r="A49" s="98"/>
      <c r="B49" s="91"/>
      <c r="C49" s="91"/>
      <c r="D49" s="91"/>
      <c r="E49" s="91"/>
      <c r="F49" s="91"/>
    </row>
    <row r="50" spans="1:6" s="38" customFormat="1" ht="12.75" customHeight="1" x14ac:dyDescent="0.2">
      <c r="A50" s="98"/>
      <c r="B50" s="91"/>
      <c r="C50" s="91"/>
      <c r="D50" s="91"/>
      <c r="E50" s="61"/>
      <c r="F50" s="61"/>
    </row>
    <row r="51" spans="1:6" ht="12.75" customHeight="1" x14ac:dyDescent="0.3">
      <c r="A51" s="100"/>
      <c r="B51" s="101"/>
      <c r="C51" s="91"/>
      <c r="D51" s="101"/>
      <c r="E51" s="101"/>
      <c r="F51" s="101"/>
    </row>
    <row r="52" spans="1:6" x14ac:dyDescent="0.3">
      <c r="A52" s="98" t="s">
        <v>4066</v>
      </c>
      <c r="B52" s="104"/>
      <c r="C52" s="61"/>
      <c r="D52" s="61" t="s">
        <v>3</v>
      </c>
      <c r="E52" s="91"/>
      <c r="F52" s="91"/>
    </row>
    <row r="53" spans="1:6" x14ac:dyDescent="0.3">
      <c r="A53" s="98"/>
      <c r="B53" s="91"/>
      <c r="C53" s="91"/>
      <c r="D53" s="91" t="s">
        <v>2</v>
      </c>
      <c r="E53" s="91"/>
      <c r="F53" s="91"/>
    </row>
    <row r="54" spans="1:6" ht="12.75" customHeight="1" x14ac:dyDescent="0.3">
      <c r="A54" s="91"/>
      <c r="B54" s="91"/>
      <c r="C54" s="91"/>
      <c r="D54" s="91"/>
      <c r="E54" s="91"/>
      <c r="F54" s="91"/>
    </row>
    <row r="55" spans="1:6" x14ac:dyDescent="0.3">
      <c r="A55" s="91"/>
      <c r="B55" s="91"/>
      <c r="C55" s="91"/>
      <c r="D55" s="2" t="s">
        <v>1</v>
      </c>
      <c r="E55" s="91"/>
      <c r="F55" s="91"/>
    </row>
    <row r="56" spans="1:6" x14ac:dyDescent="0.3">
      <c r="A56" s="91"/>
      <c r="B56" s="91"/>
      <c r="C56" s="91"/>
      <c r="D56" s="2" t="s">
        <v>0</v>
      </c>
      <c r="E56" s="91"/>
      <c r="F56" s="91"/>
    </row>
    <row r="57" spans="1:6" ht="12.75" customHeight="1" x14ac:dyDescent="0.3">
      <c r="A57" s="91"/>
      <c r="B57" s="91"/>
      <c r="C57" s="91"/>
      <c r="D57" s="91"/>
      <c r="E57" s="91"/>
      <c r="F57" s="91"/>
    </row>
    <row r="58" spans="1:6" ht="12.75" customHeight="1" x14ac:dyDescent="0.3">
      <c r="A58" s="91"/>
      <c r="B58" s="91"/>
      <c r="C58" s="91"/>
      <c r="D58" s="91"/>
      <c r="E58" s="91"/>
      <c r="F58" s="91"/>
    </row>
    <row r="59" spans="1:6" x14ac:dyDescent="0.3">
      <c r="A59" s="91"/>
      <c r="B59" s="91"/>
      <c r="C59" s="91"/>
      <c r="D59" s="91"/>
      <c r="E59" s="91"/>
      <c r="F59" s="91"/>
    </row>
    <row r="60" spans="1:6" x14ac:dyDescent="0.3">
      <c r="A60" s="91"/>
      <c r="B60" s="91"/>
      <c r="C60" s="91"/>
      <c r="D60" s="91"/>
      <c r="E60" s="91"/>
      <c r="F60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4" orientation="portrait" r:id="rId2"/>
  <headerFooter alignWithMargins="0"/>
</worksheet>
</file>

<file path=xl/worksheets/sheet7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2-000000000000}">
  <sheetPr codeName="Sheet486"/>
  <dimension ref="A1:N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7109375" style="91" customWidth="1"/>
    <col min="4" max="4" width="21" style="91" customWidth="1"/>
    <col min="5" max="5" width="1.1406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14" x14ac:dyDescent="0.2">
      <c r="N5" s="1" t="s">
        <v>770</v>
      </c>
    </row>
    <row r="8" spans="1:14" x14ac:dyDescent="0.2">
      <c r="A8" s="91" t="s">
        <v>32</v>
      </c>
      <c r="F8" s="22" t="s">
        <v>31</v>
      </c>
    </row>
    <row r="9" spans="1:14" x14ac:dyDescent="0.2">
      <c r="A9" s="91" t="s">
        <v>5409</v>
      </c>
      <c r="F9" s="92" t="s">
        <v>1317</v>
      </c>
      <c r="G9" s="91" t="s">
        <v>6355</v>
      </c>
    </row>
    <row r="10" spans="1:14" x14ac:dyDescent="0.2">
      <c r="A10" s="91" t="s">
        <v>5410</v>
      </c>
      <c r="F10" s="92" t="s">
        <v>1329</v>
      </c>
      <c r="G10" s="91" t="s">
        <v>6356</v>
      </c>
    </row>
    <row r="11" spans="1:14" x14ac:dyDescent="0.2">
      <c r="A11" s="91" t="s">
        <v>5411</v>
      </c>
      <c r="F11" s="92" t="s">
        <v>1330</v>
      </c>
      <c r="G11" s="91" t="s">
        <v>1220</v>
      </c>
    </row>
    <row r="12" spans="1:14" x14ac:dyDescent="0.2">
      <c r="F12" s="92" t="s">
        <v>1331</v>
      </c>
      <c r="G12" s="94" t="s">
        <v>770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6357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6230</v>
      </c>
      <c r="B20" s="93" t="s">
        <v>6358</v>
      </c>
      <c r="C20" s="93"/>
      <c r="D20" s="91" t="s">
        <v>6359</v>
      </c>
      <c r="H20" s="91">
        <f>22000*3.124</f>
        <v>68728</v>
      </c>
    </row>
    <row r="21" spans="1:8" x14ac:dyDescent="0.2">
      <c r="A21" s="93"/>
      <c r="B21" s="94"/>
      <c r="C21" s="94"/>
      <c r="D21" s="91" t="s">
        <v>6360</v>
      </c>
    </row>
    <row r="22" spans="1:8" x14ac:dyDescent="0.2">
      <c r="A22" s="93"/>
      <c r="B22" s="99"/>
      <c r="C22" s="99"/>
    </row>
    <row r="23" spans="1:8" x14ac:dyDescent="0.2">
      <c r="D23" s="91" t="s">
        <v>52</v>
      </c>
      <c r="H23" s="91">
        <v>30</v>
      </c>
    </row>
    <row r="25" spans="1:8" x14ac:dyDescent="0.2">
      <c r="A25" s="137"/>
      <c r="B25" s="99"/>
      <c r="C25" s="99"/>
      <c r="D25" s="91" t="s">
        <v>2147</v>
      </c>
      <c r="H25" s="91">
        <v>1.8</v>
      </c>
    </row>
    <row r="28" spans="1:8" x14ac:dyDescent="0.2">
      <c r="D28" s="2"/>
      <c r="E28" s="2"/>
    </row>
    <row r="29" spans="1:8" x14ac:dyDescent="0.2">
      <c r="A29" s="93"/>
      <c r="B29" s="99"/>
      <c r="C29" s="99"/>
    </row>
    <row r="30" spans="1:8" x14ac:dyDescent="0.2">
      <c r="A30" s="93"/>
      <c r="B30" s="99"/>
      <c r="C30" s="99"/>
    </row>
    <row r="31" spans="1:8" x14ac:dyDescent="0.2">
      <c r="A31" s="99"/>
    </row>
    <row r="32" spans="1:8" x14ac:dyDescent="0.2">
      <c r="A32" s="137"/>
      <c r="B32" s="94"/>
      <c r="C32" s="94"/>
    </row>
    <row r="33" spans="1:8" x14ac:dyDescent="0.2">
      <c r="A33" s="7"/>
      <c r="B33" s="1"/>
      <c r="C33" s="1"/>
      <c r="D33" s="1"/>
      <c r="E33" s="1"/>
      <c r="F33" s="1"/>
      <c r="G33" s="1"/>
      <c r="H33" s="1"/>
    </row>
    <row r="34" spans="1:8" ht="13.5" thickBot="1" x14ac:dyDescent="0.25">
      <c r="A34" s="106"/>
      <c r="H34" s="107">
        <f>SUM(H19:H33)</f>
        <v>68759.8</v>
      </c>
    </row>
    <row r="35" spans="1:8" ht="13.5" thickTop="1" x14ac:dyDescent="0.2">
      <c r="A35" s="106"/>
    </row>
    <row r="36" spans="1:8" ht="20.100000000000001" customHeight="1" x14ac:dyDescent="0.2">
      <c r="A36" s="96" t="s">
        <v>1248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Sixty-Eight Thousand Seven Hundred Fifty-Nine and 80/100 -----------</v>
      </c>
      <c r="C36" s="185"/>
      <c r="D36" s="97"/>
      <c r="E36" s="97"/>
      <c r="F36" s="206"/>
      <c r="G36" s="206"/>
      <c r="H36" s="206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A39" s="1"/>
      <c r="F39" s="227"/>
      <c r="G39" s="227"/>
      <c r="H39" s="227"/>
    </row>
    <row r="40" spans="1:8" x14ac:dyDescent="0.2">
      <c r="F40" s="228"/>
      <c r="G40" s="229"/>
      <c r="H40" s="229"/>
    </row>
    <row r="41" spans="1:8" x14ac:dyDescent="0.2">
      <c r="A41" s="1"/>
      <c r="B41" s="1"/>
      <c r="C41" s="1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7" spans="1:8" x14ac:dyDescent="0.2">
      <c r="A47" s="1"/>
      <c r="D47" s="1"/>
    </row>
    <row r="48" spans="1:8" x14ac:dyDescent="0.2">
      <c r="A48" s="101" t="s">
        <v>120</v>
      </c>
      <c r="B48" s="101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91" t="s">
        <v>4066</v>
      </c>
      <c r="B49" s="104"/>
      <c r="C49" s="104"/>
      <c r="D49" s="91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2-000000000000}">
  <sheetPr codeName="Sheet483"/>
  <dimension ref="A1:G54"/>
  <sheetViews>
    <sheetView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6.71093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8" t="s">
        <v>4707</v>
      </c>
    </row>
    <row r="10" spans="1:6" x14ac:dyDescent="0.2">
      <c r="A10" s="91" t="s">
        <v>4709</v>
      </c>
      <c r="D10" s="92" t="s">
        <v>1356</v>
      </c>
      <c r="E10" s="92" t="s">
        <v>4704</v>
      </c>
    </row>
    <row r="11" spans="1:6" x14ac:dyDescent="0.2">
      <c r="A11" s="91" t="s">
        <v>4710</v>
      </c>
      <c r="D11" s="92" t="s">
        <v>1364</v>
      </c>
      <c r="E11" s="94" t="s">
        <v>1220</v>
      </c>
    </row>
    <row r="12" spans="1:6" x14ac:dyDescent="0.2">
      <c r="A12" s="91" t="s">
        <v>1611</v>
      </c>
      <c r="D12" s="92" t="s">
        <v>1224</v>
      </c>
      <c r="E12" s="94" t="s">
        <v>4708</v>
      </c>
    </row>
    <row r="13" spans="1:6" x14ac:dyDescent="0.2">
      <c r="A13" s="91" t="s">
        <v>4711</v>
      </c>
    </row>
    <row r="14" spans="1:6" x14ac:dyDescent="0.2">
      <c r="A14" s="91" t="s">
        <v>4712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C18" s="2" t="s">
        <v>4713</v>
      </c>
      <c r="G18" s="193"/>
    </row>
    <row r="19" spans="1:7" x14ac:dyDescent="0.2">
      <c r="C19" s="2" t="s">
        <v>4714</v>
      </c>
    </row>
    <row r="20" spans="1:7" x14ac:dyDescent="0.2">
      <c r="A20" s="93"/>
      <c r="B20" s="93"/>
    </row>
    <row r="21" spans="1:7" x14ac:dyDescent="0.2">
      <c r="A21" s="93" t="s">
        <v>4715</v>
      </c>
      <c r="B21" s="93" t="s">
        <v>4716</v>
      </c>
      <c r="C21" s="91" t="s">
        <v>4717</v>
      </c>
      <c r="F21" s="91">
        <f>157.54716*26</f>
        <v>4096.2261600000002</v>
      </c>
    </row>
    <row r="22" spans="1:7" x14ac:dyDescent="0.2">
      <c r="A22" s="93"/>
      <c r="B22" s="99"/>
      <c r="C22" s="91" t="s">
        <v>4718</v>
      </c>
    </row>
    <row r="23" spans="1:7" x14ac:dyDescent="0.2">
      <c r="A23" s="142"/>
      <c r="B23" s="104"/>
      <c r="C23" s="91" t="s">
        <v>2147</v>
      </c>
      <c r="F23" s="91">
        <f>F21*6%</f>
        <v>245.7735696</v>
      </c>
    </row>
    <row r="24" spans="1:7" x14ac:dyDescent="0.2">
      <c r="A24" s="142"/>
      <c r="B24" s="142"/>
    </row>
    <row r="25" spans="1:7" x14ac:dyDescent="0.2">
      <c r="A25" s="93"/>
      <c r="B25" s="94"/>
      <c r="C25" s="91" t="s">
        <v>4719</v>
      </c>
      <c r="F25" s="91">
        <f>3*26</f>
        <v>78</v>
      </c>
    </row>
    <row r="26" spans="1:7" x14ac:dyDescent="0.2">
      <c r="A26" s="142"/>
      <c r="B26" s="142"/>
    </row>
    <row r="27" spans="1:7" x14ac:dyDescent="0.2">
      <c r="A27" s="142"/>
      <c r="B27" s="142"/>
      <c r="C27" s="91" t="s">
        <v>4720</v>
      </c>
      <c r="F27" s="91">
        <f>40.68129*23</f>
        <v>935.66966999999988</v>
      </c>
    </row>
    <row r="28" spans="1:7" x14ac:dyDescent="0.2">
      <c r="A28" s="99"/>
      <c r="C28" s="91" t="s">
        <v>2147</v>
      </c>
      <c r="F28" s="91">
        <f>F27*6%</f>
        <v>56.140180199999989</v>
      </c>
    </row>
    <row r="29" spans="1:7" x14ac:dyDescent="0.2">
      <c r="A29" s="93"/>
      <c r="B29" s="94"/>
    </row>
    <row r="30" spans="1:7" x14ac:dyDescent="0.2">
      <c r="A30" s="99"/>
    </row>
    <row r="31" spans="1:7" x14ac:dyDescent="0.2">
      <c r="A31" s="93"/>
      <c r="B31" s="93"/>
    </row>
    <row r="32" spans="1:7" x14ac:dyDescent="0.2">
      <c r="A32" s="99"/>
    </row>
    <row r="35" spans="1:6" ht="13.5" thickBot="1" x14ac:dyDescent="0.25">
      <c r="F35" s="107">
        <f>SUM(F18:F33)</f>
        <v>5411.8095798000004</v>
      </c>
    </row>
    <row r="36" spans="1:6" ht="13.5" thickTop="1" x14ac:dyDescent="0.2"/>
    <row r="37" spans="1:6" ht="20.100000000000001" customHeight="1" x14ac:dyDescent="0.2">
      <c r="A37" s="96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Thousand Four Hundred Eleven and 81/100 -----------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113" t="s">
        <v>3973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2-000000000000}">
  <sheetPr codeName="Sheet470">
    <pageSetUpPr fitToPage="1"/>
  </sheetPr>
  <dimension ref="A1:G58"/>
  <sheetViews>
    <sheetView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28515625" style="120" customWidth="1"/>
    <col min="3" max="3" width="21" style="120" customWidth="1"/>
    <col min="4" max="4" width="16.42578125" style="120" customWidth="1"/>
    <col min="5" max="5" width="8.7109375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52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52" customFormat="1" ht="12.75" customHeight="1" x14ac:dyDescent="0.2">
      <c r="A9" s="61"/>
      <c r="B9" s="61"/>
      <c r="C9" s="61"/>
      <c r="D9" s="113" t="s">
        <v>1353</v>
      </c>
      <c r="E9" s="91" t="s">
        <v>4431</v>
      </c>
      <c r="F9" s="61"/>
    </row>
    <row r="10" spans="1:7" s="52" customFormat="1" ht="12.75" customHeight="1" x14ac:dyDescent="0.2">
      <c r="A10" s="61" t="s">
        <v>4433</v>
      </c>
      <c r="B10" s="61"/>
      <c r="C10" s="61"/>
      <c r="D10" s="113" t="s">
        <v>1335</v>
      </c>
      <c r="E10" s="98" t="s">
        <v>4432</v>
      </c>
      <c r="F10" s="61"/>
    </row>
    <row r="11" spans="1:7" s="52" customFormat="1" ht="12.75" customHeight="1" x14ac:dyDescent="0.2">
      <c r="A11" s="61" t="s">
        <v>4434</v>
      </c>
      <c r="B11" s="61"/>
      <c r="C11" s="61"/>
      <c r="D11" s="113" t="s">
        <v>1354</v>
      </c>
      <c r="E11" s="92" t="s">
        <v>1220</v>
      </c>
      <c r="F11" s="61"/>
    </row>
    <row r="12" spans="1:7" s="52" customFormat="1" ht="12.75" customHeight="1" x14ac:dyDescent="0.2">
      <c r="A12" s="61" t="s">
        <v>4435</v>
      </c>
      <c r="B12" s="61"/>
      <c r="C12" s="61"/>
      <c r="D12" s="113" t="s">
        <v>1377</v>
      </c>
      <c r="E12" s="92" t="s">
        <v>4430</v>
      </c>
      <c r="F12" s="61"/>
    </row>
    <row r="13" spans="1:7" s="52" customFormat="1" ht="12.75" customHeight="1" x14ac:dyDescent="0.2">
      <c r="A13" s="61" t="s">
        <v>4436</v>
      </c>
      <c r="B13" s="61"/>
      <c r="C13" s="61"/>
      <c r="D13" s="61"/>
      <c r="E13" s="61"/>
      <c r="F13" s="61"/>
    </row>
    <row r="14" spans="1:7" s="52" customFormat="1" ht="12.75" customHeight="1" x14ac:dyDescent="0.2">
      <c r="A14" s="61" t="s">
        <v>1314</v>
      </c>
      <c r="B14" s="61"/>
      <c r="C14" s="61"/>
      <c r="D14" s="61"/>
      <c r="E14" s="61"/>
      <c r="F14" s="61"/>
    </row>
    <row r="15" spans="1:7" s="252" customFormat="1" ht="12.75" customHeight="1" x14ac:dyDescent="0.2">
      <c r="A15" s="61"/>
      <c r="B15" s="61"/>
      <c r="C15" s="61"/>
      <c r="D15" s="61"/>
      <c r="E15" s="61"/>
      <c r="F15" s="61"/>
    </row>
    <row r="16" spans="1:7" s="252" customFormat="1" ht="23.25" customHeigh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253"/>
    </row>
    <row r="17" spans="1:7" s="252" customFormat="1" ht="12.75" customHeight="1" x14ac:dyDescent="0.2">
      <c r="A17" s="254"/>
      <c r="B17" s="34"/>
      <c r="C17" s="35"/>
      <c r="D17" s="34"/>
      <c r="E17" s="255"/>
      <c r="F17" s="32"/>
      <c r="G17" s="253"/>
    </row>
    <row r="18" spans="1:7" s="52" customFormat="1" ht="12.75" customHeight="1" x14ac:dyDescent="0.2">
      <c r="A18" s="129"/>
      <c r="B18" s="103"/>
      <c r="C18" s="14" t="s">
        <v>4118</v>
      </c>
      <c r="D18" s="61"/>
      <c r="E18" s="61"/>
      <c r="F18" s="61"/>
      <c r="G18" s="256"/>
    </row>
    <row r="19" spans="1:7" s="52" customFormat="1" ht="12.75" customHeight="1" x14ac:dyDescent="0.2">
      <c r="C19" s="14"/>
      <c r="E19" s="61"/>
      <c r="F19" s="61"/>
      <c r="G19" s="256"/>
    </row>
    <row r="20" spans="1:7" s="52" customFormat="1" ht="12.75" customHeight="1" x14ac:dyDescent="0.2">
      <c r="A20" s="140" t="s">
        <v>4437</v>
      </c>
      <c r="B20" s="104" t="s">
        <v>4438</v>
      </c>
      <c r="C20" s="61" t="s">
        <v>4439</v>
      </c>
      <c r="D20" s="61"/>
      <c r="E20" s="61"/>
      <c r="F20" s="61">
        <v>350</v>
      </c>
      <c r="G20" s="256"/>
    </row>
    <row r="21" spans="1:7" s="52" customFormat="1" ht="12.75" customHeight="1" x14ac:dyDescent="0.2">
      <c r="A21" s="118"/>
      <c r="B21" s="103"/>
      <c r="C21" s="61" t="s">
        <v>4440</v>
      </c>
      <c r="D21" s="61"/>
      <c r="E21" s="61"/>
      <c r="F21" s="61">
        <v>840</v>
      </c>
      <c r="G21" s="256"/>
    </row>
    <row r="22" spans="1:7" s="52" customFormat="1" ht="12.75" customHeight="1" x14ac:dyDescent="0.2">
      <c r="A22" s="129"/>
      <c r="C22" s="61" t="s">
        <v>4441</v>
      </c>
      <c r="F22" s="61">
        <v>840</v>
      </c>
      <c r="G22" s="256"/>
    </row>
    <row r="23" spans="1:7" s="52" customFormat="1" ht="12.75" customHeight="1" x14ac:dyDescent="0.2">
      <c r="G23" s="256"/>
    </row>
    <row r="24" spans="1:7" s="52" customFormat="1" ht="12.75" customHeight="1" x14ac:dyDescent="0.2">
      <c r="G24" s="256"/>
    </row>
    <row r="25" spans="1:7" s="52" customFormat="1" ht="12.75" customHeight="1" x14ac:dyDescent="0.2">
      <c r="G25" s="256"/>
    </row>
    <row r="26" spans="1:7" s="52" customFormat="1" ht="12.75" customHeight="1" x14ac:dyDescent="0.2">
      <c r="A26" s="118"/>
      <c r="B26" s="103"/>
      <c r="C26" s="61"/>
      <c r="D26" s="61"/>
      <c r="E26" s="61"/>
      <c r="F26" s="61"/>
      <c r="G26" s="256"/>
    </row>
    <row r="27" spans="1:7" s="52" customFormat="1" ht="12.75" customHeight="1" x14ac:dyDescent="0.2">
      <c r="A27" s="118"/>
      <c r="B27" s="103"/>
      <c r="C27" s="61"/>
      <c r="D27" s="61"/>
      <c r="E27" s="61"/>
      <c r="F27" s="61"/>
      <c r="G27" s="256"/>
    </row>
    <row r="28" spans="1:7" s="52" customFormat="1" ht="12.75" customHeight="1" x14ac:dyDescent="0.2">
      <c r="A28" s="118"/>
      <c r="B28" s="103"/>
      <c r="D28" s="61"/>
      <c r="E28" s="61"/>
      <c r="F28" s="61"/>
      <c r="G28" s="256"/>
    </row>
    <row r="29" spans="1:7" s="239" customFormat="1" ht="12.75" customHeight="1" x14ac:dyDescent="0.2">
      <c r="A29" s="118"/>
      <c r="B29" s="103"/>
      <c r="C29" s="61"/>
      <c r="D29" s="91"/>
      <c r="E29" s="91"/>
      <c r="F29" s="91"/>
    </row>
    <row r="30" spans="1:7" s="239" customFormat="1" ht="12.75" customHeight="1" x14ac:dyDescent="0.2">
      <c r="A30" s="91"/>
      <c r="B30" s="91"/>
      <c r="C30" s="61"/>
      <c r="D30" s="91"/>
      <c r="E30" s="91"/>
      <c r="F30" s="91"/>
    </row>
    <row r="31" spans="1:7" s="239" customFormat="1" ht="12.75" customHeight="1" x14ac:dyDescent="0.2">
      <c r="A31" s="91"/>
      <c r="B31" s="91"/>
      <c r="C31" s="61"/>
      <c r="D31" s="91"/>
      <c r="E31" s="91"/>
      <c r="F31" s="91"/>
    </row>
    <row r="32" spans="1:7" s="52" customFormat="1" ht="12.75" customHeight="1" x14ac:dyDescent="0.2">
      <c r="G32" s="256"/>
    </row>
    <row r="33" spans="1:7" s="52" customFormat="1" ht="12.75" customHeight="1" x14ac:dyDescent="0.2">
      <c r="A33" s="118"/>
      <c r="B33" s="103"/>
      <c r="C33" s="61"/>
      <c r="D33" s="61"/>
      <c r="E33" s="61"/>
      <c r="F33" s="61"/>
      <c r="G33" s="256"/>
    </row>
    <row r="34" spans="1:7" s="52" customFormat="1" ht="12.75" customHeight="1" x14ac:dyDescent="0.2">
      <c r="A34" s="118"/>
      <c r="B34" s="103"/>
      <c r="C34" s="61"/>
      <c r="D34" s="61"/>
      <c r="E34" s="61"/>
      <c r="F34" s="61"/>
      <c r="G34" s="256"/>
    </row>
    <row r="35" spans="1:7" s="52" customFormat="1" ht="15.75" customHeight="1" thickBot="1" x14ac:dyDescent="0.25">
      <c r="A35" s="257"/>
      <c r="B35" s="61"/>
      <c r="C35" s="61"/>
      <c r="D35" s="61"/>
      <c r="E35" s="61"/>
      <c r="F35" s="141">
        <f>SUM(F18:F34)</f>
        <v>2030</v>
      </c>
      <c r="G35" s="256"/>
    </row>
    <row r="36" spans="1:7" s="52" customFormat="1" ht="12.75" customHeight="1" thickTop="1" x14ac:dyDescent="0.2">
      <c r="A36" s="257"/>
      <c r="B36" s="61"/>
      <c r="C36" s="61"/>
      <c r="D36" s="61"/>
      <c r="E36" s="61"/>
      <c r="F36" s="61"/>
      <c r="G36" s="256"/>
    </row>
    <row r="37" spans="1:7" s="239" customFormat="1" ht="20.100000000000001" customHeight="1" x14ac:dyDescent="0.2">
      <c r="A37" s="96" t="s">
        <v>122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Thirty and NO/100 -----------</v>
      </c>
      <c r="C37" s="97"/>
      <c r="D37" s="97"/>
      <c r="E37" s="97"/>
      <c r="F37" s="97"/>
    </row>
    <row r="38" spans="1:7" s="239" customFormat="1" ht="12.75" customHeight="1" x14ac:dyDescent="0.2">
      <c r="A38" s="94"/>
      <c r="B38" s="91"/>
      <c r="C38" s="91"/>
      <c r="D38" s="91"/>
      <c r="E38" s="91"/>
      <c r="F38" s="91"/>
    </row>
    <row r="39" spans="1:7" s="239" customFormat="1" ht="23.25" customHeight="1" x14ac:dyDescent="0.2">
      <c r="A39" s="91" t="s">
        <v>10</v>
      </c>
      <c r="B39" s="91"/>
      <c r="C39" s="91"/>
      <c r="D39" s="218" t="s">
        <v>3975</v>
      </c>
      <c r="E39" s="219"/>
      <c r="F39" s="220"/>
    </row>
    <row r="40" spans="1:7" s="239" customFormat="1" ht="12.75" customHeight="1" x14ac:dyDescent="0.2">
      <c r="A40" s="91"/>
      <c r="B40" s="91"/>
      <c r="C40" s="91"/>
      <c r="D40" s="91"/>
      <c r="E40" s="91"/>
      <c r="F40" s="91"/>
    </row>
    <row r="41" spans="1:7" s="239" customFormat="1" ht="12.75" customHeight="1" x14ac:dyDescent="0.2">
      <c r="A41" s="91"/>
      <c r="B41" s="91"/>
      <c r="C41" s="91"/>
      <c r="D41" s="91"/>
      <c r="E41" s="91"/>
      <c r="F41" s="91"/>
    </row>
    <row r="42" spans="1:7" s="239" customFormat="1" ht="12.75" x14ac:dyDescent="0.2">
      <c r="B42" s="91"/>
      <c r="C42" s="91"/>
      <c r="D42" s="227"/>
      <c r="E42" s="227"/>
      <c r="F42" s="227"/>
    </row>
    <row r="43" spans="1:7" s="239" customFormat="1" ht="12.75" x14ac:dyDescent="0.2">
      <c r="A43" s="98"/>
      <c r="B43" s="91"/>
      <c r="C43" s="91"/>
      <c r="D43" s="228"/>
      <c r="E43" s="229"/>
      <c r="F43" s="229"/>
    </row>
    <row r="44" spans="1:7" s="239" customFormat="1" ht="12.75" customHeight="1" x14ac:dyDescent="0.2">
      <c r="A44" s="100"/>
      <c r="B44" s="101"/>
      <c r="C44" s="91"/>
      <c r="D44" s="91"/>
      <c r="E44" s="91"/>
      <c r="F44" s="102"/>
    </row>
    <row r="45" spans="1:7" s="239" customFormat="1" ht="12.75" customHeight="1" x14ac:dyDescent="0.2">
      <c r="C45" s="91"/>
      <c r="D45" s="91"/>
      <c r="E45" s="91"/>
      <c r="F45" s="102"/>
    </row>
    <row r="46" spans="1:7" s="239" customFormat="1" ht="12.75" customHeight="1" x14ac:dyDescent="0.2">
      <c r="A46" s="98" t="s">
        <v>8</v>
      </c>
      <c r="B46" s="91"/>
      <c r="C46" s="91"/>
      <c r="D46" s="98" t="s">
        <v>7</v>
      </c>
      <c r="E46" s="91"/>
      <c r="F46" s="91"/>
    </row>
    <row r="47" spans="1:7" s="239" customFormat="1" ht="12.75" customHeight="1" x14ac:dyDescent="0.2">
      <c r="A47" s="98"/>
      <c r="B47" s="91"/>
      <c r="C47" s="91"/>
      <c r="D47" s="91"/>
      <c r="E47" s="91"/>
      <c r="F47" s="91"/>
    </row>
    <row r="48" spans="1:7" s="239" customFormat="1" ht="12.75" customHeight="1" x14ac:dyDescent="0.2">
      <c r="A48" s="98"/>
      <c r="B48" s="91"/>
      <c r="C48" s="91"/>
      <c r="D48" s="91"/>
      <c r="E48" s="91"/>
      <c r="F48" s="91"/>
    </row>
    <row r="49" spans="1:6" s="52" customFormat="1" ht="12.75" customHeight="1" x14ac:dyDescent="0.2">
      <c r="A49" s="98"/>
      <c r="B49" s="91"/>
      <c r="C49" s="91"/>
      <c r="D49" s="91"/>
      <c r="E49" s="61"/>
      <c r="F49" s="61"/>
    </row>
    <row r="50" spans="1:6" s="239" customFormat="1" ht="12.75" customHeight="1" x14ac:dyDescent="0.2">
      <c r="A50" s="100"/>
      <c r="B50" s="101"/>
      <c r="C50" s="91"/>
      <c r="D50" s="101"/>
      <c r="E50" s="101"/>
      <c r="F50" s="101"/>
    </row>
    <row r="51" spans="1:6" s="239" customFormat="1" ht="12.75" customHeight="1" x14ac:dyDescent="0.2">
      <c r="A51" s="103" t="s">
        <v>4066</v>
      </c>
      <c r="B51" s="104"/>
      <c r="C51" s="61"/>
      <c r="D51" s="61" t="s">
        <v>3</v>
      </c>
      <c r="E51" s="91"/>
      <c r="F51" s="91"/>
    </row>
    <row r="52" spans="1:6" s="239" customFormat="1" ht="12.75" customHeight="1" x14ac:dyDescent="0.2">
      <c r="A52" s="98"/>
      <c r="B52" s="91"/>
      <c r="C52" s="91"/>
      <c r="D52" s="91" t="s">
        <v>2</v>
      </c>
      <c r="E52" s="91"/>
      <c r="F52" s="91"/>
    </row>
    <row r="53" spans="1:6" s="239" customFormat="1" ht="12.75" customHeight="1" x14ac:dyDescent="0.2">
      <c r="A53" s="91"/>
      <c r="B53" s="91"/>
      <c r="C53" s="91"/>
      <c r="D53" s="91"/>
      <c r="E53" s="91"/>
      <c r="F53" s="91"/>
    </row>
    <row r="54" spans="1:6" s="239" customFormat="1" ht="12.75" customHeight="1" x14ac:dyDescent="0.2">
      <c r="A54" s="91"/>
      <c r="B54" s="91"/>
      <c r="C54" s="91"/>
      <c r="D54" s="2" t="s">
        <v>1</v>
      </c>
      <c r="E54" s="91"/>
      <c r="F54" s="91"/>
    </row>
    <row r="55" spans="1:6" s="239" customFormat="1" ht="12.75" customHeight="1" x14ac:dyDescent="0.2">
      <c r="A55" s="91"/>
      <c r="B55" s="91"/>
      <c r="C55" s="91"/>
      <c r="D55" s="2" t="s">
        <v>0</v>
      </c>
      <c r="E55" s="91"/>
      <c r="F55" s="91"/>
    </row>
    <row r="56" spans="1:6" s="239" customFormat="1" ht="12.75" customHeight="1" x14ac:dyDescent="0.2">
      <c r="A56" s="91"/>
      <c r="B56" s="91"/>
      <c r="C56" s="91"/>
      <c r="D56" s="91"/>
      <c r="E56" s="91"/>
      <c r="F56" s="91"/>
    </row>
    <row r="57" spans="1:6" s="239" customFormat="1" ht="12.75" customHeight="1" x14ac:dyDescent="0.2">
      <c r="A57" s="91"/>
      <c r="B57" s="91"/>
      <c r="C57" s="91"/>
      <c r="D57" s="91"/>
      <c r="E57" s="91"/>
      <c r="F57" s="91"/>
    </row>
    <row r="58" spans="1:6" s="239" customFormat="1" ht="12.75" x14ac:dyDescent="0.2">
      <c r="A58" s="91"/>
      <c r="B58" s="91"/>
      <c r="C58" s="91"/>
      <c r="D58" s="91"/>
      <c r="E58" s="91"/>
      <c r="F58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2-000000000000}">
  <sheetPr codeName="Sheet472">
    <pageSetUpPr fitToPage="1"/>
  </sheetPr>
  <dimension ref="A1:F54"/>
  <sheetViews>
    <sheetView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1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4676</v>
      </c>
    </row>
    <row r="10" spans="1:6" x14ac:dyDescent="0.2">
      <c r="A10" s="91" t="s">
        <v>4678</v>
      </c>
      <c r="D10" s="92" t="s">
        <v>1357</v>
      </c>
      <c r="E10" s="92" t="s">
        <v>4675</v>
      </c>
    </row>
    <row r="11" spans="1:6" x14ac:dyDescent="0.2">
      <c r="A11" s="91" t="s">
        <v>4679</v>
      </c>
      <c r="D11" s="92" t="s">
        <v>1330</v>
      </c>
      <c r="E11" s="92" t="s">
        <v>1220</v>
      </c>
    </row>
    <row r="12" spans="1:6" x14ac:dyDescent="0.2">
      <c r="A12" s="91" t="s">
        <v>2337</v>
      </c>
      <c r="D12" s="92" t="s">
        <v>1224</v>
      </c>
      <c r="E12" s="92" t="s">
        <v>4677</v>
      </c>
    </row>
    <row r="13" spans="1:6" x14ac:dyDescent="0.2">
      <c r="A13" s="91" t="s">
        <v>1314</v>
      </c>
    </row>
    <row r="14" spans="1:6" x14ac:dyDescent="0.2">
      <c r="A14" s="91" t="s">
        <v>4680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4681</v>
      </c>
    </row>
    <row r="20" spans="1:6" x14ac:dyDescent="0.2">
      <c r="A20" s="93" t="s">
        <v>4662</v>
      </c>
      <c r="B20" s="93" t="s">
        <v>4682</v>
      </c>
      <c r="C20" s="91" t="s">
        <v>4683</v>
      </c>
      <c r="F20" s="91">
        <v>746.9</v>
      </c>
    </row>
    <row r="21" spans="1:6" x14ac:dyDescent="0.2">
      <c r="A21" s="93"/>
      <c r="B21" s="99"/>
    </row>
    <row r="22" spans="1:6" x14ac:dyDescent="0.2">
      <c r="A22" s="93"/>
      <c r="B22" s="99"/>
    </row>
    <row r="23" spans="1:6" x14ac:dyDescent="0.2">
      <c r="A23" s="93"/>
      <c r="B23" s="99"/>
    </row>
    <row r="24" spans="1:6" x14ac:dyDescent="0.2">
      <c r="C24" s="2"/>
    </row>
    <row r="26" spans="1:6" x14ac:dyDescent="0.2">
      <c r="A26" s="93"/>
      <c r="B26" s="99"/>
    </row>
    <row r="27" spans="1:6" x14ac:dyDescent="0.2">
      <c r="A27" s="93"/>
      <c r="B27" s="99"/>
    </row>
    <row r="33" spans="1:6" x14ac:dyDescent="0.2">
      <c r="A33" s="93"/>
      <c r="B33" s="99"/>
    </row>
    <row r="35" spans="1:6" ht="13.5" thickBot="1" x14ac:dyDescent="0.25">
      <c r="F35" s="95">
        <f>SUM(F18:F34)</f>
        <v>746.9</v>
      </c>
    </row>
    <row r="36" spans="1:6" ht="13.5" thickTop="1" x14ac:dyDescent="0.2"/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 Hundred Forty-Six and 90/100 -----------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ht="25.5" x14ac:dyDescent="0.2">
      <c r="A39" s="235" t="s">
        <v>3973</v>
      </c>
      <c r="D39" s="218" t="s">
        <v>3975</v>
      </c>
      <c r="E39" s="219"/>
      <c r="F39" s="220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/>
    </row>
    <row r="48" spans="1:6" x14ac:dyDescent="0.2">
      <c r="A48" s="98"/>
    </row>
    <row r="49" spans="1:6" x14ac:dyDescent="0.2">
      <c r="A49" s="100"/>
      <c r="B49" s="101"/>
      <c r="D49" s="101"/>
      <c r="E49" s="101"/>
      <c r="F49" s="101"/>
    </row>
    <row r="50" spans="1:6" s="61" customFormat="1" ht="17.100000000000001" customHeight="1" x14ac:dyDescent="0.2">
      <c r="A50" s="98" t="s">
        <v>4047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2-000000000000}">
  <sheetPr codeName="Sheet473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1.8554687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8" width="9.140625" style="91"/>
    <col min="9" max="9" width="9.7109375" style="91" bestFit="1" customWidth="1"/>
    <col min="10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4550</v>
      </c>
    </row>
    <row r="10" spans="1:6" x14ac:dyDescent="0.2">
      <c r="A10" s="91" t="s">
        <v>4551</v>
      </c>
      <c r="D10" s="92" t="s">
        <v>1357</v>
      </c>
      <c r="E10" s="92" t="s">
        <v>4552</v>
      </c>
    </row>
    <row r="11" spans="1:6" x14ac:dyDescent="0.2">
      <c r="A11" s="91" t="s">
        <v>4553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769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B18" s="99"/>
      <c r="C18" s="2" t="s">
        <v>4554</v>
      </c>
    </row>
    <row r="19" spans="1:6" x14ac:dyDescent="0.2">
      <c r="B19" s="93"/>
    </row>
    <row r="20" spans="1:6" x14ac:dyDescent="0.2">
      <c r="A20" s="93" t="s">
        <v>4555</v>
      </c>
      <c r="B20" s="93" t="s">
        <v>2032</v>
      </c>
      <c r="C20" s="91" t="s">
        <v>4556</v>
      </c>
      <c r="F20" s="91">
        <f>11250*2.8993996</f>
        <v>32618.245500000001</v>
      </c>
    </row>
    <row r="21" spans="1:6" x14ac:dyDescent="0.2">
      <c r="C21" s="191" t="s">
        <v>4557</v>
      </c>
    </row>
    <row r="22" spans="1:6" x14ac:dyDescent="0.2">
      <c r="B22" s="93"/>
    </row>
    <row r="23" spans="1:6" x14ac:dyDescent="0.2">
      <c r="A23" s="93" t="s">
        <v>4558</v>
      </c>
      <c r="B23" s="93" t="s">
        <v>2032</v>
      </c>
      <c r="C23" s="91" t="s">
        <v>4559</v>
      </c>
      <c r="F23" s="91">
        <f>1892*2.8993996</f>
        <v>5485.6640432000004</v>
      </c>
    </row>
    <row r="24" spans="1:6" x14ac:dyDescent="0.2">
      <c r="B24" s="99"/>
      <c r="C24" s="191" t="s">
        <v>4560</v>
      </c>
    </row>
    <row r="25" spans="1:6" x14ac:dyDescent="0.2">
      <c r="B25" s="93"/>
    </row>
    <row r="26" spans="1:6" x14ac:dyDescent="0.2">
      <c r="B26" s="99"/>
      <c r="C26" s="91" t="s">
        <v>52</v>
      </c>
      <c r="F26" s="91">
        <v>30</v>
      </c>
    </row>
    <row r="27" spans="1:6" x14ac:dyDescent="0.2">
      <c r="B27" s="99"/>
    </row>
    <row r="28" spans="1:6" x14ac:dyDescent="0.2">
      <c r="B28" s="99"/>
      <c r="C28" s="91" t="s">
        <v>2147</v>
      </c>
      <c r="F28" s="91">
        <f>F26*6%</f>
        <v>1.7999999999999998</v>
      </c>
    </row>
    <row r="29" spans="1:6" x14ac:dyDescent="0.2">
      <c r="B29" s="99"/>
    </row>
    <row r="30" spans="1:6" x14ac:dyDescent="0.2">
      <c r="B30" s="99"/>
    </row>
    <row r="31" spans="1:6" x14ac:dyDescent="0.2">
      <c r="B31" s="93"/>
    </row>
    <row r="32" spans="1:6" x14ac:dyDescent="0.2">
      <c r="B32" s="94"/>
    </row>
    <row r="34" spans="1:6" ht="13.5" thickBot="1" x14ac:dyDescent="0.25">
      <c r="F34" s="95">
        <f>SUM(F18:F33)</f>
        <v>38135.709543200006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Thirty-Eight Thousand One Hundred Thirty-Five and 71/100 -----------</v>
      </c>
      <c r="C36" s="97"/>
      <c r="D36" s="97"/>
      <c r="E36" s="97"/>
      <c r="F36" s="97"/>
    </row>
    <row r="37" spans="1:6" x14ac:dyDescent="0.2">
      <c r="A37" s="94"/>
      <c r="F37" s="209"/>
    </row>
    <row r="38" spans="1:6" ht="25.5" x14ac:dyDescent="0.2">
      <c r="A38" s="98" t="s">
        <v>10</v>
      </c>
      <c r="D38" s="218" t="s">
        <v>3975</v>
      </c>
      <c r="E38" s="219"/>
      <c r="F38" s="220"/>
    </row>
    <row r="39" spans="1:6" x14ac:dyDescent="0.2">
      <c r="A39" s="98"/>
    </row>
    <row r="40" spans="1:6" x14ac:dyDescent="0.2">
      <c r="A40" s="98"/>
    </row>
    <row r="41" spans="1:6" x14ac:dyDescent="0.2">
      <c r="A41" s="98"/>
    </row>
    <row r="42" spans="1:6" x14ac:dyDescent="0.2">
      <c r="A42" s="100"/>
      <c r="B42" s="101"/>
      <c r="C42" s="99"/>
      <c r="D42" s="227"/>
      <c r="E42" s="227"/>
      <c r="F42" s="227"/>
    </row>
    <row r="43" spans="1:6" x14ac:dyDescent="0.2">
      <c r="A43" s="98"/>
      <c r="D43" s="228"/>
      <c r="E43" s="229"/>
      <c r="F43" s="229"/>
    </row>
    <row r="44" spans="1:6" x14ac:dyDescent="0.2">
      <c r="A44" s="91" t="s">
        <v>8</v>
      </c>
      <c r="D44" s="91" t="s">
        <v>7</v>
      </c>
    </row>
    <row r="45" spans="1:6" x14ac:dyDescent="0.2">
      <c r="A45" s="98"/>
    </row>
    <row r="46" spans="1:6" x14ac:dyDescent="0.2">
      <c r="A46" s="98"/>
    </row>
    <row r="47" spans="1:6" x14ac:dyDescent="0.2">
      <c r="A47" s="98"/>
    </row>
    <row r="48" spans="1:6" x14ac:dyDescent="0.2">
      <c r="A48" s="100"/>
      <c r="B48" s="101"/>
      <c r="D48" s="101"/>
      <c r="E48" s="101"/>
      <c r="F48" s="101"/>
    </row>
    <row r="49" spans="1:4" s="61" customFormat="1" ht="17.100000000000001" customHeight="1" x14ac:dyDescent="0.2">
      <c r="A49" s="103" t="s">
        <v>4066</v>
      </c>
      <c r="B49" s="104"/>
      <c r="D49" s="61" t="s">
        <v>3</v>
      </c>
    </row>
    <row r="50" spans="1:4" x14ac:dyDescent="0.2">
      <c r="A50" s="98"/>
      <c r="D50" s="91" t="s">
        <v>2</v>
      </c>
    </row>
    <row r="51" spans="1:4" x14ac:dyDescent="0.2">
      <c r="A51" s="98"/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2-000000000000}">
  <sheetPr codeName="Sheet474">
    <pageSetUpPr fitToPage="1"/>
  </sheetPr>
  <dimension ref="A1:O52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4" width="9.140625" style="1"/>
    <col min="15" max="15" width="10.42578125" style="1" bestFit="1" customWidth="1"/>
    <col min="16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5145</v>
      </c>
    </row>
    <row r="10" spans="1:6" x14ac:dyDescent="0.2">
      <c r="A10" s="91" t="s">
        <v>4394</v>
      </c>
      <c r="D10" s="92" t="s">
        <v>1329</v>
      </c>
      <c r="E10" s="92" t="s">
        <v>5131</v>
      </c>
    </row>
    <row r="11" spans="1:6" x14ac:dyDescent="0.2">
      <c r="A11" s="91" t="s">
        <v>4395</v>
      </c>
      <c r="D11" s="92" t="s">
        <v>1330</v>
      </c>
      <c r="E11" s="92" t="s">
        <v>1220</v>
      </c>
    </row>
    <row r="12" spans="1:6" x14ac:dyDescent="0.2">
      <c r="A12" s="91" t="s">
        <v>4396</v>
      </c>
      <c r="D12" s="92" t="s">
        <v>1331</v>
      </c>
      <c r="E12" s="94" t="s">
        <v>5146</v>
      </c>
    </row>
    <row r="13" spans="1:6" x14ac:dyDescent="0.2">
      <c r="A13" s="91" t="s">
        <v>4397</v>
      </c>
    </row>
    <row r="14" spans="1:6" x14ac:dyDescent="0.2">
      <c r="A14" s="91" t="s">
        <v>4398</v>
      </c>
    </row>
    <row r="15" spans="1:6" x14ac:dyDescent="0.2">
      <c r="A15" s="91" t="s">
        <v>2926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15" x14ac:dyDescent="0.2">
      <c r="A17" s="106"/>
    </row>
    <row r="18" spans="1:15" x14ac:dyDescent="0.2">
      <c r="C18" s="2" t="s">
        <v>5147</v>
      </c>
    </row>
    <row r="19" spans="1:15" x14ac:dyDescent="0.2">
      <c r="A19" s="106"/>
      <c r="C19" s="2"/>
      <c r="L19" s="91" t="s">
        <v>4582</v>
      </c>
      <c r="M19" s="91"/>
      <c r="N19" s="91"/>
      <c r="O19" s="91">
        <v>10025.1</v>
      </c>
    </row>
    <row r="20" spans="1:15" x14ac:dyDescent="0.2">
      <c r="A20" s="137" t="s">
        <v>5148</v>
      </c>
      <c r="B20" s="93" t="s">
        <v>5149</v>
      </c>
      <c r="C20" s="91" t="s">
        <v>5150</v>
      </c>
      <c r="F20" s="91">
        <v>1350</v>
      </c>
      <c r="L20" s="91" t="s">
        <v>4583</v>
      </c>
      <c r="M20" s="91"/>
      <c r="N20" s="91"/>
      <c r="O20" s="91"/>
    </row>
    <row r="21" spans="1:15" x14ac:dyDescent="0.2">
      <c r="A21" s="106"/>
      <c r="C21" s="91" t="s">
        <v>2147</v>
      </c>
      <c r="F21" s="91">
        <f>F20*6%</f>
        <v>81</v>
      </c>
      <c r="L21" s="91" t="s">
        <v>2147</v>
      </c>
      <c r="M21" s="91"/>
      <c r="N21" s="91"/>
      <c r="O21" s="91">
        <f>O19*6%</f>
        <v>601.50599999999997</v>
      </c>
    </row>
    <row r="22" spans="1:15" x14ac:dyDescent="0.2">
      <c r="A22" s="106"/>
      <c r="L22" s="2"/>
      <c r="M22" s="91"/>
      <c r="N22" s="91"/>
      <c r="O22" s="91"/>
    </row>
    <row r="23" spans="1:15" x14ac:dyDescent="0.2">
      <c r="A23" s="93"/>
      <c r="B23" s="99"/>
      <c r="C23" s="2" t="s">
        <v>4706</v>
      </c>
    </row>
    <row r="25" spans="1:15" x14ac:dyDescent="0.2">
      <c r="A25" s="93" t="s">
        <v>5151</v>
      </c>
      <c r="B25" s="99" t="s">
        <v>5152</v>
      </c>
      <c r="C25" s="91" t="s">
        <v>5153</v>
      </c>
      <c r="F25" s="91">
        <v>450</v>
      </c>
    </row>
    <row r="26" spans="1:15" x14ac:dyDescent="0.2">
      <c r="A26" s="93"/>
      <c r="B26" s="93"/>
      <c r="C26" s="91" t="s">
        <v>2147</v>
      </c>
      <c r="F26" s="91">
        <f>F25*6%</f>
        <v>27</v>
      </c>
    </row>
    <row r="27" spans="1:15" x14ac:dyDescent="0.2">
      <c r="A27" s="93"/>
      <c r="B27" s="99"/>
    </row>
    <row r="29" spans="1:15" x14ac:dyDescent="0.2">
      <c r="A29" s="93"/>
    </row>
    <row r="30" spans="1:15" x14ac:dyDescent="0.2">
      <c r="A30" s="93"/>
      <c r="B30" s="1"/>
    </row>
    <row r="31" spans="1:15" x14ac:dyDescent="0.2">
      <c r="A31" s="1"/>
      <c r="B31" s="1"/>
      <c r="C31" s="1"/>
      <c r="D31" s="1"/>
      <c r="E31" s="1"/>
      <c r="F31" s="1"/>
    </row>
    <row r="32" spans="1:15" x14ac:dyDescent="0.2">
      <c r="A32" s="106"/>
      <c r="F32" s="1"/>
    </row>
    <row r="33" spans="1:6" ht="13.5" thickBot="1" x14ac:dyDescent="0.25">
      <c r="A33" s="106"/>
      <c r="F33" s="107">
        <f>SUM(F19:F31)</f>
        <v>1908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Nine Hundred Eight and NO/100 -----------</v>
      </c>
      <c r="C35" s="97"/>
      <c r="D35" s="97"/>
      <c r="E35" s="97"/>
      <c r="F35" s="97"/>
    </row>
    <row r="36" spans="1:6" x14ac:dyDescent="0.2">
      <c r="A36" s="94"/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showPageBreaks="1" fitToPage="1" printArea="1" view="pageBreakPreview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15">
    <pageSetUpPr fitToPage="1"/>
  </sheetPr>
  <dimension ref="A1:H55"/>
  <sheetViews>
    <sheetView topLeftCell="A16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1.42578125" style="91" customWidth="1"/>
    <col min="4" max="4" width="21" style="91" customWidth="1"/>
    <col min="5" max="5" width="1.7109375" style="91" customWidth="1"/>
    <col min="6" max="6" width="16.42578125" style="91" customWidth="1"/>
    <col min="7" max="7" width="7.710937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5204</v>
      </c>
    </row>
    <row r="10" spans="1:8" x14ac:dyDescent="0.2">
      <c r="A10" s="91" t="s">
        <v>5182</v>
      </c>
      <c r="F10" s="92" t="s">
        <v>1444</v>
      </c>
      <c r="G10" s="92" t="s">
        <v>5203</v>
      </c>
    </row>
    <row r="11" spans="1:8" x14ac:dyDescent="0.2">
      <c r="A11" s="94" t="s">
        <v>5183</v>
      </c>
      <c r="F11" s="92" t="s">
        <v>1431</v>
      </c>
      <c r="G11" s="92" t="s">
        <v>1220</v>
      </c>
    </row>
    <row r="12" spans="1:8" x14ac:dyDescent="0.2">
      <c r="A12" s="91" t="s">
        <v>5184</v>
      </c>
      <c r="F12" s="92" t="s">
        <v>1268</v>
      </c>
      <c r="G12" s="92" t="s">
        <v>5205</v>
      </c>
    </row>
    <row r="13" spans="1:8" x14ac:dyDescent="0.2">
      <c r="A13" s="91" t="s">
        <v>2914</v>
      </c>
    </row>
    <row r="14" spans="1:8" x14ac:dyDescent="0.2">
      <c r="A14" s="91" t="s">
        <v>5185</v>
      </c>
    </row>
    <row r="16" spans="1:8" s="14" customFormat="1" ht="20.100000000000001" customHeight="1" x14ac:dyDescent="0.2">
      <c r="A16" s="17" t="s">
        <v>1261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5186</v>
      </c>
      <c r="E18" s="2"/>
    </row>
    <row r="19" spans="1:8" x14ac:dyDescent="0.2">
      <c r="D19" s="2"/>
      <c r="E19" s="2"/>
    </row>
    <row r="20" spans="1:8" x14ac:dyDescent="0.2">
      <c r="A20" s="93" t="s">
        <v>5187</v>
      </c>
      <c r="B20" s="93" t="s">
        <v>5188</v>
      </c>
      <c r="C20" s="93"/>
      <c r="D20" s="91" t="s">
        <v>5189</v>
      </c>
      <c r="H20" s="91">
        <f>5436</f>
        <v>5436</v>
      </c>
    </row>
    <row r="21" spans="1:8" x14ac:dyDescent="0.2">
      <c r="A21" s="93"/>
      <c r="B21" s="93"/>
      <c r="C21" s="93"/>
      <c r="D21" s="91" t="s">
        <v>5190</v>
      </c>
      <c r="H21" s="91">
        <v>1208</v>
      </c>
    </row>
    <row r="22" spans="1:8" x14ac:dyDescent="0.2">
      <c r="A22" s="93"/>
      <c r="B22" s="99"/>
      <c r="C22" s="99"/>
      <c r="D22" s="91" t="s">
        <v>5191</v>
      </c>
      <c r="H22" s="91">
        <v>5600</v>
      </c>
    </row>
    <row r="23" spans="1:8" x14ac:dyDescent="0.2">
      <c r="A23" s="93"/>
      <c r="B23" s="99"/>
      <c r="C23" s="99"/>
      <c r="D23" s="91" t="s">
        <v>5192</v>
      </c>
      <c r="H23" s="91">
        <v>2800</v>
      </c>
    </row>
    <row r="24" spans="1:8" x14ac:dyDescent="0.2">
      <c r="A24" s="93"/>
      <c r="B24" s="99"/>
      <c r="C24" s="99"/>
      <c r="D24" s="91" t="s">
        <v>5193</v>
      </c>
      <c r="H24" s="91">
        <v>300</v>
      </c>
    </row>
    <row r="25" spans="1:8" x14ac:dyDescent="0.2">
      <c r="A25" s="93"/>
      <c r="B25" s="99"/>
      <c r="C25" s="99"/>
      <c r="D25" s="91" t="s">
        <v>5194</v>
      </c>
      <c r="H25" s="91">
        <f>SUM(H20+H21+H22+H23+H24)*15%</f>
        <v>2301.6</v>
      </c>
    </row>
    <row r="26" spans="1:8" x14ac:dyDescent="0.2">
      <c r="A26" s="93"/>
      <c r="B26" s="99"/>
      <c r="C26" s="99"/>
      <c r="D26" s="91" t="s">
        <v>2147</v>
      </c>
      <c r="H26" s="91">
        <f>SUM(H20+H21+H22+H23+H24+H25)*6%</f>
        <v>1058.7359999999999</v>
      </c>
    </row>
    <row r="27" spans="1:8" x14ac:dyDescent="0.2">
      <c r="A27" s="93"/>
      <c r="B27" s="99"/>
      <c r="C27" s="99"/>
    </row>
    <row r="28" spans="1:8" x14ac:dyDescent="0.2">
      <c r="A28" s="93"/>
      <c r="B28" s="99"/>
      <c r="C28" s="99"/>
    </row>
    <row r="29" spans="1:8" x14ac:dyDescent="0.2">
      <c r="A29" s="93"/>
      <c r="B29" s="99"/>
      <c r="C29" s="99"/>
      <c r="H29" s="94"/>
    </row>
    <row r="30" spans="1:8" x14ac:dyDescent="0.2">
      <c r="A30" s="93"/>
      <c r="B30" s="99"/>
      <c r="C30" s="99"/>
    </row>
    <row r="31" spans="1:8" x14ac:dyDescent="0.2">
      <c r="A31" s="93"/>
      <c r="B31" s="99"/>
      <c r="C31" s="99"/>
    </row>
    <row r="32" spans="1:8" x14ac:dyDescent="0.2">
      <c r="A32" s="93"/>
      <c r="B32" s="99"/>
      <c r="C32" s="99"/>
    </row>
    <row r="33" spans="1:8" x14ac:dyDescent="0.2">
      <c r="A33" s="93"/>
      <c r="B33" s="99"/>
      <c r="C33" s="99"/>
    </row>
    <row r="34" spans="1:8" x14ac:dyDescent="0.2">
      <c r="A34" s="93"/>
      <c r="B34" s="99"/>
      <c r="C34" s="99"/>
    </row>
    <row r="35" spans="1:8" x14ac:dyDescent="0.2">
      <c r="A35" s="93"/>
      <c r="B35" s="99"/>
      <c r="C35" s="99"/>
    </row>
    <row r="36" spans="1:8" ht="13.5" thickBot="1" x14ac:dyDescent="0.25">
      <c r="H36" s="107">
        <f>SUM(H18:H35)</f>
        <v>18704.335999999999</v>
      </c>
    </row>
    <row r="37" spans="1:8" ht="13.5" thickTop="1" x14ac:dyDescent="0.2"/>
    <row r="38" spans="1:8" ht="18" customHeight="1" x14ac:dyDescent="0.2">
      <c r="A38" s="96" t="s">
        <v>336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Eighteen Thousand Seven Hundred Four and 34/100 -----------</v>
      </c>
      <c r="C38" s="185"/>
      <c r="D38" s="97"/>
      <c r="E38" s="97"/>
      <c r="F38" s="237"/>
      <c r="G38" s="237"/>
      <c r="H38" s="237"/>
    </row>
    <row r="40" spans="1:8" ht="25.5" x14ac:dyDescent="0.2">
      <c r="A40" s="91" t="s">
        <v>10</v>
      </c>
      <c r="F40" s="218" t="s">
        <v>3975</v>
      </c>
      <c r="G40" s="219"/>
      <c r="H40" s="220"/>
    </row>
    <row r="43" spans="1:8" x14ac:dyDescent="0.2">
      <c r="A43" s="91" t="s">
        <v>121</v>
      </c>
      <c r="D43" s="99"/>
      <c r="E43" s="99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 t="s">
        <v>120</v>
      </c>
      <c r="B50" s="101"/>
      <c r="D50" s="101" t="s">
        <v>120</v>
      </c>
      <c r="F50" s="101"/>
      <c r="G50" s="101"/>
      <c r="H50" s="101"/>
    </row>
    <row r="51" spans="1:8" s="61" customFormat="1" ht="17.100000000000001" customHeight="1" x14ac:dyDescent="0.2">
      <c r="A51" s="91" t="s">
        <v>4066</v>
      </c>
      <c r="B51" s="104"/>
      <c r="C51" s="104"/>
      <c r="D51" s="91" t="s">
        <v>50</v>
      </c>
      <c r="F51" s="61" t="s">
        <v>3</v>
      </c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 topLeftCell="A16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2"/>
  <headerFooter alignWithMargins="0"/>
</worksheet>
</file>

<file path=xl/worksheets/sheet7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2-000000000000}">
  <sheetPr codeName="Sheet47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4383</v>
      </c>
    </row>
    <row r="10" spans="1:6" x14ac:dyDescent="0.2">
      <c r="A10" s="91" t="s">
        <v>4385</v>
      </c>
      <c r="D10" s="92" t="s">
        <v>1329</v>
      </c>
      <c r="E10" s="92" t="s">
        <v>4362</v>
      </c>
    </row>
    <row r="11" spans="1:6" x14ac:dyDescent="0.2">
      <c r="A11" s="91" t="s">
        <v>4386</v>
      </c>
      <c r="D11" s="92" t="s">
        <v>1330</v>
      </c>
      <c r="E11" s="92" t="s">
        <v>1220</v>
      </c>
    </row>
    <row r="12" spans="1:6" x14ac:dyDescent="0.2">
      <c r="A12" s="91" t="s">
        <v>4387</v>
      </c>
      <c r="D12" s="92" t="s">
        <v>1331</v>
      </c>
      <c r="E12" s="92" t="s">
        <v>4384</v>
      </c>
    </row>
    <row r="13" spans="1:6" x14ac:dyDescent="0.2">
      <c r="A13" s="91" t="s">
        <v>4388</v>
      </c>
    </row>
    <row r="14" spans="1:6" x14ac:dyDescent="0.2">
      <c r="A14" s="91" t="s">
        <v>4389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4390</v>
      </c>
    </row>
    <row r="19" spans="1:6" x14ac:dyDescent="0.2">
      <c r="A19" s="106"/>
      <c r="C19" s="2"/>
    </row>
    <row r="20" spans="1:6" x14ac:dyDescent="0.2">
      <c r="A20" s="137" t="s">
        <v>4319</v>
      </c>
      <c r="B20" s="93" t="s">
        <v>4391</v>
      </c>
      <c r="C20" s="91" t="s">
        <v>4392</v>
      </c>
      <c r="F20" s="91">
        <v>2920.6</v>
      </c>
    </row>
    <row r="21" spans="1:6" x14ac:dyDescent="0.2">
      <c r="A21" s="106"/>
      <c r="C21" s="91" t="s">
        <v>4393</v>
      </c>
      <c r="F21" s="91">
        <v>175.24</v>
      </c>
    </row>
    <row r="22" spans="1:6" x14ac:dyDescent="0.2">
      <c r="A22" s="106"/>
      <c r="C22" s="2"/>
    </row>
    <row r="23" spans="1:6" x14ac:dyDescent="0.2">
      <c r="C23" s="2"/>
    </row>
    <row r="24" spans="1:6" x14ac:dyDescent="0.2">
      <c r="C24" s="2"/>
    </row>
    <row r="26" spans="1:6" x14ac:dyDescent="0.2">
      <c r="A26" s="92"/>
      <c r="B26" s="93"/>
      <c r="C26" s="94"/>
    </row>
    <row r="27" spans="1:6" x14ac:dyDescent="0.2">
      <c r="A27" s="93"/>
      <c r="C27" s="2"/>
    </row>
    <row r="29" spans="1:6" x14ac:dyDescent="0.2">
      <c r="A29" s="93"/>
    </row>
    <row r="30" spans="1:6" x14ac:dyDescent="0.2">
      <c r="A30" s="93"/>
      <c r="B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06"/>
      <c r="F32" s="1"/>
    </row>
    <row r="33" spans="1:6" ht="13.5" thickBot="1" x14ac:dyDescent="0.25">
      <c r="A33" s="106"/>
      <c r="F33" s="107">
        <f>SUM(F19:F31)</f>
        <v>3095.84</v>
      </c>
    </row>
    <row r="34" spans="1:6" ht="13.5" thickTop="1" x14ac:dyDescent="0.2">
      <c r="A34" s="106"/>
    </row>
    <row r="35" spans="1:6" ht="20.100000000000001" customHeight="1" x14ac:dyDescent="0.2">
      <c r="A35" s="96" t="s">
        <v>1248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Ninety-Five and 84/100 -----------</v>
      </c>
      <c r="C35" s="97"/>
      <c r="D35" s="97"/>
      <c r="E35" s="97"/>
      <c r="F35" s="97"/>
    </row>
    <row r="36" spans="1:6" x14ac:dyDescent="0.2">
      <c r="A36" s="94"/>
    </row>
    <row r="37" spans="1:6" x14ac:dyDescent="0.2">
      <c r="A37" s="91" t="s">
        <v>10</v>
      </c>
    </row>
    <row r="38" spans="1:6" ht="25.5" x14ac:dyDescent="0.2">
      <c r="D38" s="218" t="s">
        <v>3975</v>
      </c>
      <c r="E38" s="219"/>
      <c r="F38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23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3" customFormat="1" ht="17.100000000000001" customHeight="1" x14ac:dyDescent="0.2">
      <c r="A48" s="91" t="s">
        <v>4066</v>
      </c>
      <c r="B48" s="104"/>
      <c r="C48" s="61"/>
      <c r="D48" s="61" t="s">
        <v>3</v>
      </c>
      <c r="E48" s="61"/>
      <c r="F48" s="61"/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7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2-000000000000}">
  <sheetPr codeName="Sheet476"/>
  <dimension ref="A1:P57"/>
  <sheetViews>
    <sheetView view="pageBreakPreview" zoomScaleNormal="100" zoomScaleSheetLayoutView="100" workbookViewId="0">
      <selection activeCell="G9" sqref="G9:G13"/>
    </sheetView>
  </sheetViews>
  <sheetFormatPr defaultRowHeight="16.5" x14ac:dyDescent="0.3"/>
  <cols>
    <col min="1" max="1" width="15.5703125" style="120" customWidth="1"/>
    <col min="2" max="2" width="17.42578125" style="120" customWidth="1"/>
    <col min="3" max="3" width="1.28515625" style="120" customWidth="1"/>
    <col min="4" max="4" width="19.85546875" style="120" customWidth="1"/>
    <col min="5" max="5" width="0.85546875" style="120" customWidth="1"/>
    <col min="6" max="6" width="15.28515625" style="120" customWidth="1"/>
    <col min="7" max="7" width="8.140625" style="120" customWidth="1"/>
    <col min="8" max="8" width="13.28515625" style="120" customWidth="1"/>
    <col min="9" max="9" width="16.140625" style="37" customWidth="1"/>
    <col min="10" max="11" width="9.140625" style="37"/>
    <col min="12" max="12" width="12" style="37" customWidth="1"/>
    <col min="13" max="15" width="9.140625" style="37"/>
    <col min="16" max="16" width="9.7109375" style="37" bestFit="1" customWidth="1"/>
    <col min="17" max="16384" width="9.140625" style="37"/>
  </cols>
  <sheetData>
    <row r="1" spans="1:16" ht="15" customHeight="1" x14ac:dyDescent="0.3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ht="12.75" customHeight="1" x14ac:dyDescent="0.3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ht="12.75" customHeight="1" x14ac:dyDescent="0.3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ht="12.75" customHeight="1" x14ac:dyDescent="0.3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16" ht="12.75" customHeight="1" x14ac:dyDescent="0.3">
      <c r="A5" s="91"/>
      <c r="B5" s="91"/>
      <c r="C5" s="91"/>
      <c r="D5" s="91"/>
      <c r="E5" s="91"/>
      <c r="F5" s="91"/>
      <c r="G5" s="91"/>
      <c r="H5" s="91"/>
      <c r="K5" s="37" t="s">
        <v>7916</v>
      </c>
    </row>
    <row r="6" spans="1:16" ht="12.75" customHeight="1" x14ac:dyDescent="0.3">
      <c r="A6" s="91"/>
      <c r="B6" s="91"/>
      <c r="C6" s="91"/>
      <c r="D6" s="91"/>
      <c r="E6" s="91"/>
      <c r="F6" s="91"/>
      <c r="G6" s="91"/>
      <c r="H6" s="91"/>
      <c r="K6" s="37" t="s">
        <v>7915</v>
      </c>
    </row>
    <row r="7" spans="1:16" ht="12.75" customHeight="1" x14ac:dyDescent="0.3">
      <c r="A7" s="91"/>
      <c r="B7" s="91"/>
      <c r="C7" s="91"/>
      <c r="D7" s="91"/>
      <c r="E7" s="91"/>
      <c r="F7" s="91"/>
      <c r="G7" s="91"/>
      <c r="H7" s="91"/>
      <c r="K7" s="37" t="s">
        <v>1220</v>
      </c>
    </row>
    <row r="8" spans="1:16" s="38" customFormat="1" ht="12.75" customHeight="1" x14ac:dyDescent="0.2">
      <c r="A8" s="61" t="s">
        <v>32</v>
      </c>
      <c r="B8" s="61"/>
      <c r="C8" s="61"/>
      <c r="D8" s="61"/>
      <c r="E8" s="61"/>
      <c r="F8" s="57" t="s">
        <v>31</v>
      </c>
      <c r="G8" s="61"/>
      <c r="H8" s="61"/>
      <c r="K8" s="38" t="s">
        <v>7917</v>
      </c>
    </row>
    <row r="9" spans="1:16" s="38" customFormat="1" ht="12.75" customHeight="1" x14ac:dyDescent="0.2">
      <c r="A9" s="61"/>
      <c r="B9" s="61"/>
      <c r="C9" s="61"/>
      <c r="D9" s="61"/>
      <c r="E9" s="61"/>
      <c r="F9" s="113" t="s">
        <v>1353</v>
      </c>
      <c r="G9" s="91" t="s">
        <v>8917</v>
      </c>
      <c r="H9" s="91"/>
      <c r="K9" s="38" t="s">
        <v>7914</v>
      </c>
    </row>
    <row r="10" spans="1:16" s="38" customFormat="1" ht="12.75" customHeight="1" x14ac:dyDescent="0.2">
      <c r="A10" s="61" t="s">
        <v>4039</v>
      </c>
      <c r="B10" s="61"/>
      <c r="C10" s="61"/>
      <c r="D10" s="61"/>
      <c r="E10" s="61"/>
      <c r="F10" s="113" t="s">
        <v>1335</v>
      </c>
      <c r="G10" s="98" t="s">
        <v>8898</v>
      </c>
      <c r="H10" s="91"/>
    </row>
    <row r="11" spans="1:16" s="38" customFormat="1" ht="12.75" customHeight="1" x14ac:dyDescent="0.2">
      <c r="A11" s="61" t="s">
        <v>4044</v>
      </c>
      <c r="B11" s="61"/>
      <c r="C11" s="61"/>
      <c r="D11" s="61"/>
      <c r="E11" s="61"/>
      <c r="F11" s="113" t="s">
        <v>1354</v>
      </c>
      <c r="G11" s="92" t="s">
        <v>1220</v>
      </c>
      <c r="H11" s="91"/>
      <c r="J11" s="38" t="s">
        <v>8726</v>
      </c>
      <c r="K11" s="38">
        <v>43890</v>
      </c>
      <c r="L11" s="38" t="s">
        <v>8687</v>
      </c>
    </row>
    <row r="12" spans="1:16" s="38" customFormat="1" ht="12.75" customHeight="1" x14ac:dyDescent="0.2">
      <c r="A12" s="61"/>
      <c r="B12" s="61"/>
      <c r="C12" s="61"/>
      <c r="D12" s="61"/>
      <c r="E12" s="61"/>
      <c r="F12" s="113" t="s">
        <v>1355</v>
      </c>
      <c r="G12" s="94" t="s">
        <v>8918</v>
      </c>
      <c r="H12" s="91"/>
    </row>
    <row r="13" spans="1:16" s="38" customFormat="1" ht="12.75" customHeight="1" x14ac:dyDescent="0.2">
      <c r="A13" s="61"/>
      <c r="B13" s="61"/>
      <c r="C13" s="61"/>
      <c r="D13" s="61"/>
      <c r="E13" s="61"/>
      <c r="F13" s="61"/>
      <c r="G13" s="91" t="s">
        <v>7762</v>
      </c>
      <c r="H13" s="91"/>
      <c r="K13" s="14"/>
      <c r="L13" s="14"/>
      <c r="M13" s="61"/>
      <c r="N13" s="61"/>
      <c r="O13" s="61"/>
      <c r="P13" s="55"/>
    </row>
    <row r="14" spans="1:16" s="38" customFormat="1" ht="12.75" customHeight="1" x14ac:dyDescent="0.2">
      <c r="B14" s="61"/>
      <c r="C14" s="61"/>
      <c r="D14" s="61"/>
      <c r="E14" s="61"/>
      <c r="F14" s="61"/>
      <c r="G14" s="61"/>
      <c r="H14" s="61"/>
      <c r="K14" s="14"/>
      <c r="L14" s="61"/>
      <c r="M14" s="61"/>
      <c r="N14" s="61"/>
      <c r="O14" s="61"/>
      <c r="P14" s="55"/>
    </row>
    <row r="15" spans="1:16" s="46" customFormat="1" ht="12.75" customHeight="1" x14ac:dyDescent="0.2">
      <c r="A15" s="61"/>
      <c r="B15" s="61"/>
      <c r="C15" s="61"/>
      <c r="D15" s="61"/>
      <c r="E15" s="61"/>
      <c r="F15" s="61"/>
      <c r="G15" s="61"/>
      <c r="H15" s="61"/>
      <c r="K15" s="61" t="s">
        <v>7895</v>
      </c>
      <c r="L15" s="14"/>
      <c r="M15" s="126"/>
      <c r="N15" s="126"/>
      <c r="O15" s="61">
        <v>1500</v>
      </c>
      <c r="P15" s="126"/>
    </row>
    <row r="16" spans="1:16" s="46" customFormat="1" x14ac:dyDescent="0.2">
      <c r="A16" s="31" t="s">
        <v>129</v>
      </c>
      <c r="B16" s="31" t="s">
        <v>128</v>
      </c>
      <c r="C16" s="31"/>
      <c r="D16" s="18" t="s">
        <v>19</v>
      </c>
      <c r="E16" s="18"/>
      <c r="F16" s="17"/>
      <c r="G16" s="31"/>
      <c r="H16" s="15" t="s">
        <v>18</v>
      </c>
      <c r="I16" s="56"/>
      <c r="K16" s="61"/>
      <c r="L16" s="14"/>
      <c r="M16" s="61"/>
      <c r="N16" s="61"/>
      <c r="O16" s="61"/>
      <c r="P16" s="126"/>
    </row>
    <row r="17" spans="1:16" s="46" customFormat="1" ht="12.75" customHeight="1" x14ac:dyDescent="0.2">
      <c r="A17" s="130"/>
      <c r="B17" s="114"/>
      <c r="C17" s="114"/>
      <c r="D17" s="115"/>
      <c r="E17" s="115"/>
      <c r="F17" s="114"/>
      <c r="G17" s="116"/>
      <c r="H17" s="117"/>
      <c r="I17" s="56"/>
      <c r="K17" s="14"/>
      <c r="L17" s="61"/>
      <c r="M17" s="38"/>
      <c r="N17" s="38"/>
      <c r="O17" s="61"/>
      <c r="P17" s="126"/>
    </row>
    <row r="18" spans="1:16" s="38" customFormat="1" ht="12.75" customHeight="1" x14ac:dyDescent="0.2">
      <c r="A18" s="129"/>
      <c r="B18" s="103"/>
      <c r="C18" s="103"/>
      <c r="D18" s="14" t="s">
        <v>7611</v>
      </c>
      <c r="E18" s="14"/>
      <c r="F18" s="61"/>
      <c r="G18" s="61"/>
      <c r="H18" s="61"/>
      <c r="I18" s="55"/>
      <c r="K18" s="61"/>
      <c r="L18" s="61"/>
      <c r="M18" s="61"/>
      <c r="N18" s="61"/>
      <c r="O18" s="61"/>
      <c r="P18" s="126"/>
    </row>
    <row r="19" spans="1:16" s="38" customFormat="1" ht="12.75" customHeight="1" x14ac:dyDescent="0.2">
      <c r="A19" s="129"/>
      <c r="B19" s="103"/>
      <c r="C19" s="103"/>
      <c r="D19" s="14"/>
      <c r="E19" s="61"/>
      <c r="F19" s="61"/>
      <c r="G19" s="61"/>
      <c r="H19" s="61"/>
      <c r="I19" s="55"/>
    </row>
    <row r="20" spans="1:16" s="126" customFormat="1" ht="12.75" customHeight="1" x14ac:dyDescent="0.2">
      <c r="A20" s="61"/>
      <c r="B20" s="200"/>
      <c r="C20" s="200"/>
      <c r="D20" s="61" t="s">
        <v>8919</v>
      </c>
      <c r="E20" s="14"/>
      <c r="H20" s="61">
        <v>1500</v>
      </c>
      <c r="K20" s="61" t="s">
        <v>4305</v>
      </c>
      <c r="L20" s="14"/>
      <c r="O20" s="61"/>
    </row>
    <row r="21" spans="1:16" s="126" customFormat="1" ht="12.75" customHeight="1" x14ac:dyDescent="0.2">
      <c r="A21" s="129"/>
      <c r="B21" s="190"/>
      <c r="C21" s="190"/>
      <c r="D21" s="61"/>
      <c r="E21" s="14"/>
      <c r="F21" s="61"/>
      <c r="G21" s="61"/>
      <c r="H21" s="61"/>
      <c r="K21" s="61" t="s">
        <v>7678</v>
      </c>
      <c r="L21" s="14"/>
      <c r="M21" s="61"/>
      <c r="N21" s="61"/>
      <c r="O21" s="61"/>
    </row>
    <row r="22" spans="1:16" s="126" customFormat="1" ht="12.75" customHeight="1" x14ac:dyDescent="0.2">
      <c r="A22" s="140"/>
      <c r="B22" s="190"/>
      <c r="C22" s="190"/>
      <c r="D22" s="61"/>
      <c r="E22" s="61"/>
      <c r="H22" s="61"/>
      <c r="K22" s="61"/>
      <c r="L22" s="61"/>
      <c r="O22" s="61"/>
    </row>
    <row r="23" spans="1:16" s="126" customFormat="1" ht="12.75" customHeight="1" x14ac:dyDescent="0.2">
      <c r="A23" s="140"/>
      <c r="B23" s="190"/>
      <c r="C23" s="190"/>
      <c r="D23" s="61"/>
      <c r="E23" s="61"/>
      <c r="H23" s="61"/>
      <c r="I23" s="120"/>
      <c r="K23" s="14" t="s">
        <v>4305</v>
      </c>
      <c r="L23" s="14"/>
      <c r="M23" s="61"/>
      <c r="N23" s="61"/>
      <c r="O23" s="61"/>
    </row>
    <row r="24" spans="1:16" s="126" customFormat="1" ht="12.75" customHeight="1" x14ac:dyDescent="0.2">
      <c r="A24" s="129"/>
      <c r="B24" s="190"/>
      <c r="C24" s="190"/>
      <c r="D24" s="14"/>
      <c r="E24" s="61"/>
      <c r="F24" s="61"/>
      <c r="G24" s="61"/>
      <c r="H24" s="61"/>
      <c r="I24" s="120"/>
      <c r="K24" s="14" t="s">
        <v>7918</v>
      </c>
      <c r="L24" s="14"/>
      <c r="O24" s="61"/>
    </row>
    <row r="25" spans="1:16" s="126" customFormat="1" ht="12.75" customHeight="1" x14ac:dyDescent="0.2">
      <c r="A25" s="129"/>
      <c r="B25" s="190"/>
      <c r="C25" s="190"/>
      <c r="D25" s="61"/>
      <c r="E25" s="61"/>
      <c r="F25" s="61"/>
      <c r="G25" s="61"/>
      <c r="H25" s="61"/>
      <c r="I25" s="120"/>
      <c r="K25" s="61" t="s">
        <v>7929</v>
      </c>
      <c r="L25" s="14"/>
      <c r="M25" s="61"/>
      <c r="N25" s="61"/>
      <c r="O25" s="61">
        <f>982.8</f>
        <v>982.8</v>
      </c>
    </row>
    <row r="26" spans="1:16" s="126" customFormat="1" ht="12.75" customHeight="1" x14ac:dyDescent="0.2">
      <c r="A26" s="129"/>
      <c r="B26" s="190"/>
      <c r="C26" s="190"/>
      <c r="D26" s="61"/>
      <c r="E26" s="61"/>
      <c r="F26" s="61"/>
      <c r="G26" s="61"/>
      <c r="H26" s="61"/>
      <c r="I26" s="120"/>
      <c r="K26" s="61" t="s">
        <v>7919</v>
      </c>
      <c r="L26" s="61"/>
      <c r="M26" s="38"/>
      <c r="N26" s="38"/>
      <c r="O26" s="61">
        <v>210</v>
      </c>
    </row>
    <row r="27" spans="1:16" s="126" customFormat="1" ht="12.75" customHeight="1" x14ac:dyDescent="0.2">
      <c r="A27" s="140"/>
      <c r="B27" s="190"/>
      <c r="C27" s="190"/>
      <c r="D27" s="61"/>
      <c r="E27" s="61"/>
      <c r="F27" s="61"/>
      <c r="G27" s="61"/>
      <c r="H27" s="61"/>
      <c r="I27" s="120"/>
      <c r="K27" s="61" t="s">
        <v>127</v>
      </c>
      <c r="L27" s="61"/>
      <c r="M27" s="61"/>
      <c r="N27" s="61"/>
      <c r="O27" s="61">
        <f>37+90.17+43.16+66.12+28</f>
        <v>264.45</v>
      </c>
    </row>
    <row r="28" spans="1:16" s="126" customFormat="1" ht="12.75" customHeight="1" x14ac:dyDescent="0.2">
      <c r="A28" s="140"/>
      <c r="B28" s="190"/>
      <c r="C28" s="190"/>
      <c r="D28" s="61"/>
      <c r="E28" s="61"/>
      <c r="F28" s="61"/>
      <c r="G28" s="61"/>
      <c r="H28" s="61"/>
      <c r="I28" s="120"/>
      <c r="K28" s="61" t="s">
        <v>7920</v>
      </c>
      <c r="L28" s="61"/>
      <c r="M28" s="61"/>
      <c r="N28" s="61"/>
      <c r="O28" s="61">
        <v>371.9</v>
      </c>
    </row>
    <row r="29" spans="1:16" s="120" customFormat="1" ht="12.75" customHeight="1" x14ac:dyDescent="0.2">
      <c r="A29" s="118"/>
      <c r="B29" s="190"/>
      <c r="C29" s="190"/>
      <c r="D29" s="61"/>
      <c r="H29" s="61"/>
      <c r="K29" s="61" t="s">
        <v>7921</v>
      </c>
      <c r="L29" s="61"/>
      <c r="M29" s="126"/>
      <c r="N29" s="126"/>
      <c r="O29" s="61">
        <v>426.1</v>
      </c>
    </row>
    <row r="30" spans="1:16" s="120" customFormat="1" ht="12.75" customHeight="1" x14ac:dyDescent="0.2">
      <c r="A30" s="118"/>
      <c r="B30" s="190"/>
      <c r="C30" s="190"/>
      <c r="K30" s="61" t="s">
        <v>7922</v>
      </c>
      <c r="L30" s="61"/>
      <c r="M30" s="126"/>
      <c r="N30" s="126"/>
      <c r="O30" s="61">
        <v>471.48</v>
      </c>
    </row>
    <row r="31" spans="1:16" ht="12.75" customHeight="1" x14ac:dyDescent="0.3">
      <c r="A31" s="140"/>
      <c r="B31" s="103"/>
      <c r="C31" s="103"/>
      <c r="D31" s="14"/>
      <c r="E31" s="61"/>
      <c r="F31" s="61"/>
      <c r="G31" s="61"/>
      <c r="H31" s="61"/>
      <c r="K31" s="61" t="s">
        <v>7923</v>
      </c>
      <c r="L31" s="61"/>
      <c r="M31" s="126"/>
      <c r="N31" s="126"/>
      <c r="O31" s="61">
        <v>397.24</v>
      </c>
    </row>
    <row r="32" spans="1:16" s="38" customFormat="1" ht="15.75" customHeight="1" thickBot="1" x14ac:dyDescent="0.25">
      <c r="A32" s="131"/>
      <c r="B32" s="126"/>
      <c r="C32" s="126"/>
      <c r="D32" s="126"/>
      <c r="E32" s="126"/>
      <c r="F32" s="126"/>
      <c r="G32" s="126"/>
      <c r="H32" s="132">
        <f>SUM(H18:H31)</f>
        <v>1500</v>
      </c>
      <c r="I32" s="55"/>
      <c r="K32" s="61" t="s">
        <v>7930</v>
      </c>
      <c r="L32" s="61"/>
      <c r="M32" s="61"/>
      <c r="N32" s="61"/>
      <c r="O32" s="61">
        <v>1614.69</v>
      </c>
    </row>
    <row r="33" spans="1:15" s="38" customFormat="1" ht="12.75" customHeight="1" thickTop="1" x14ac:dyDescent="0.2">
      <c r="A33" s="131"/>
      <c r="B33" s="126"/>
      <c r="C33" s="126"/>
      <c r="D33" s="126"/>
      <c r="E33" s="126"/>
      <c r="F33" s="126"/>
      <c r="G33" s="126"/>
      <c r="H33" s="126"/>
      <c r="I33" s="55"/>
      <c r="K33" s="61" t="s">
        <v>7919</v>
      </c>
      <c r="L33" s="61"/>
      <c r="M33" s="61"/>
      <c r="N33" s="61"/>
      <c r="O33" s="61">
        <v>150</v>
      </c>
    </row>
    <row r="34" spans="1:15" ht="20.100000000000001" customHeight="1" x14ac:dyDescent="0.3">
      <c r="A34" s="96" t="s">
        <v>122</v>
      </c>
      <c r="B34" s="185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One Thousand Five Hundred and NO/100 -----------</v>
      </c>
      <c r="C34" s="185"/>
      <c r="D34" s="121"/>
      <c r="E34" s="121"/>
      <c r="F34" s="121"/>
      <c r="G34" s="121"/>
      <c r="H34" s="121"/>
      <c r="K34" s="61" t="s">
        <v>7924</v>
      </c>
      <c r="L34" s="61"/>
      <c r="M34" s="61"/>
      <c r="N34" s="61"/>
      <c r="O34" s="61">
        <v>38</v>
      </c>
    </row>
    <row r="35" spans="1:15" ht="12.75" customHeight="1" x14ac:dyDescent="0.3">
      <c r="A35" s="122"/>
      <c r="K35" s="61" t="s">
        <v>127</v>
      </c>
      <c r="L35" s="120"/>
      <c r="M35" s="120"/>
      <c r="N35" s="120"/>
      <c r="O35" s="61">
        <f>36+32</f>
        <v>68</v>
      </c>
    </row>
    <row r="36" spans="1:15" ht="27" customHeight="1" x14ac:dyDescent="0.3">
      <c r="A36" s="91" t="s">
        <v>10</v>
      </c>
      <c r="B36" s="91"/>
      <c r="C36" s="91"/>
      <c r="D36" s="91"/>
      <c r="E36" s="91"/>
      <c r="F36" s="218" t="s">
        <v>3975</v>
      </c>
      <c r="G36" s="219"/>
      <c r="H36" s="220"/>
      <c r="K36" s="120"/>
      <c r="L36" s="120"/>
      <c r="M36" s="120"/>
      <c r="N36" s="120"/>
      <c r="O36" s="120"/>
    </row>
    <row r="37" spans="1:15" ht="12.75" customHeight="1" x14ac:dyDescent="0.3">
      <c r="A37" s="91"/>
      <c r="B37" s="91"/>
      <c r="C37" s="91"/>
      <c r="D37" s="91"/>
      <c r="E37" s="91"/>
      <c r="F37" s="91"/>
      <c r="G37" s="91"/>
      <c r="H37" s="91"/>
      <c r="K37" s="14" t="s">
        <v>7925</v>
      </c>
      <c r="L37" s="61"/>
      <c r="M37" s="61"/>
      <c r="N37" s="61"/>
      <c r="O37" s="61"/>
    </row>
    <row r="38" spans="1:15" ht="12.75" customHeight="1" x14ac:dyDescent="0.3">
      <c r="A38" s="91"/>
      <c r="B38" s="91"/>
      <c r="C38" s="91"/>
      <c r="D38" s="91"/>
      <c r="E38" s="91"/>
      <c r="F38" s="91"/>
      <c r="G38" s="91"/>
      <c r="H38" s="91"/>
      <c r="K38" s="61" t="s">
        <v>7926</v>
      </c>
      <c r="L38" s="61"/>
      <c r="M38" s="91"/>
      <c r="N38" s="91"/>
      <c r="O38" s="91">
        <v>5.6</v>
      </c>
    </row>
    <row r="39" spans="1:15" x14ac:dyDescent="0.3">
      <c r="A39" s="239"/>
      <c r="B39" s="91"/>
      <c r="C39" s="91"/>
      <c r="D39" s="91"/>
      <c r="E39" s="91"/>
      <c r="F39" s="227"/>
      <c r="G39" s="227"/>
      <c r="H39" s="227"/>
      <c r="K39" s="61" t="s">
        <v>7927</v>
      </c>
      <c r="L39" s="61"/>
      <c r="M39" s="91"/>
      <c r="N39" s="91"/>
      <c r="O39" s="91">
        <v>28</v>
      </c>
    </row>
    <row r="40" spans="1:15" x14ac:dyDescent="0.3">
      <c r="A40" s="100"/>
      <c r="B40" s="101"/>
      <c r="C40" s="91"/>
      <c r="D40" s="91"/>
      <c r="E40" s="91"/>
      <c r="F40" s="228"/>
      <c r="G40" s="229"/>
      <c r="H40" s="229"/>
      <c r="K40" s="61" t="s">
        <v>7928</v>
      </c>
      <c r="L40" s="61"/>
      <c r="M40" s="61"/>
      <c r="N40" s="61"/>
      <c r="O40" s="61">
        <v>6</v>
      </c>
    </row>
    <row r="41" spans="1:15" ht="12.75" customHeight="1" x14ac:dyDescent="0.3">
      <c r="A41" s="239"/>
      <c r="B41" s="239"/>
      <c r="C41" s="239"/>
      <c r="D41" s="91"/>
      <c r="E41" s="91"/>
      <c r="F41" s="91"/>
      <c r="G41" s="91"/>
      <c r="H41" s="102"/>
      <c r="K41" s="61"/>
      <c r="L41" s="61"/>
      <c r="M41" s="61"/>
      <c r="N41" s="61"/>
      <c r="O41" s="61"/>
    </row>
    <row r="42" spans="1:15" ht="12.75" customHeight="1" x14ac:dyDescent="0.3">
      <c r="A42" s="239"/>
      <c r="B42" s="239"/>
      <c r="C42" s="239"/>
      <c r="D42" s="239"/>
      <c r="E42" s="91"/>
      <c r="F42" s="91"/>
      <c r="G42" s="91"/>
      <c r="H42" s="102"/>
    </row>
    <row r="43" spans="1:15" ht="12.75" customHeight="1" x14ac:dyDescent="0.3">
      <c r="A43" s="98" t="s">
        <v>8</v>
      </c>
      <c r="B43" s="91"/>
      <c r="C43" s="91"/>
      <c r="D43" s="98" t="s">
        <v>8</v>
      </c>
      <c r="E43" s="91"/>
      <c r="F43" s="91"/>
      <c r="G43" s="91"/>
      <c r="H43" s="91"/>
    </row>
    <row r="44" spans="1:15" ht="12.75" customHeight="1" x14ac:dyDescent="0.3">
      <c r="A44" s="239"/>
      <c r="B44" s="91"/>
      <c r="C44" s="91"/>
      <c r="D44" s="239"/>
      <c r="E44" s="91"/>
      <c r="F44" s="98" t="s">
        <v>7</v>
      </c>
      <c r="G44" s="91"/>
      <c r="H44" s="91"/>
    </row>
    <row r="45" spans="1:15" ht="12.75" customHeight="1" x14ac:dyDescent="0.3">
      <c r="A45" s="98"/>
      <c r="B45" s="91"/>
      <c r="C45" s="91"/>
      <c r="D45" s="98"/>
      <c r="E45" s="91"/>
      <c r="F45" s="91"/>
      <c r="G45" s="91"/>
      <c r="H45" s="91"/>
    </row>
    <row r="46" spans="1:15" ht="12.75" customHeight="1" x14ac:dyDescent="0.3">
      <c r="A46" s="98"/>
      <c r="B46" s="91"/>
      <c r="C46" s="91"/>
      <c r="D46" s="98"/>
      <c r="E46" s="91"/>
      <c r="F46" s="91"/>
      <c r="G46" s="91"/>
      <c r="H46" s="91"/>
    </row>
    <row r="47" spans="1:15" s="38" customFormat="1" ht="12.75" customHeight="1" x14ac:dyDescent="0.2">
      <c r="A47" s="98"/>
      <c r="B47" s="91"/>
      <c r="C47" s="91"/>
      <c r="D47" s="98"/>
      <c r="E47" s="91"/>
      <c r="F47" s="91"/>
      <c r="G47" s="61"/>
      <c r="H47" s="61"/>
    </row>
    <row r="48" spans="1:15" ht="12.75" customHeight="1" x14ac:dyDescent="0.3">
      <c r="A48" s="100"/>
      <c r="B48" s="101"/>
      <c r="C48" s="91"/>
      <c r="D48" s="100"/>
      <c r="E48" s="91"/>
      <c r="F48" s="101"/>
      <c r="G48" s="101"/>
      <c r="H48" s="101"/>
    </row>
    <row r="49" spans="1:8" ht="15" customHeight="1" x14ac:dyDescent="0.3">
      <c r="A49" s="98" t="s">
        <v>4066</v>
      </c>
      <c r="B49" s="104"/>
      <c r="C49" s="104"/>
      <c r="D49" s="98" t="s">
        <v>50</v>
      </c>
      <c r="E49" s="61"/>
      <c r="F49" s="61" t="s">
        <v>3</v>
      </c>
      <c r="G49" s="91"/>
      <c r="H49" s="91"/>
    </row>
    <row r="50" spans="1:8" ht="12.75" customHeight="1" x14ac:dyDescent="0.3">
      <c r="A50" s="98"/>
      <c r="B50" s="91"/>
      <c r="C50" s="91"/>
      <c r="D50" s="91"/>
      <c r="E50" s="91"/>
      <c r="F50" s="91" t="s">
        <v>2</v>
      </c>
      <c r="G50" s="91"/>
      <c r="H50" s="91"/>
    </row>
    <row r="51" spans="1:8" ht="12.75" customHeight="1" x14ac:dyDescent="0.3">
      <c r="A51" s="91"/>
      <c r="B51" s="91"/>
      <c r="C51" s="91"/>
      <c r="D51" s="91"/>
      <c r="E51" s="91"/>
      <c r="F51" s="91"/>
      <c r="G51" s="91"/>
      <c r="H51" s="91"/>
    </row>
    <row r="52" spans="1:8" ht="12.75" customHeight="1" x14ac:dyDescent="0.3">
      <c r="A52" s="91"/>
      <c r="B52" s="91"/>
      <c r="C52" s="91"/>
      <c r="D52" s="91"/>
      <c r="E52" s="91"/>
      <c r="F52" s="2" t="s">
        <v>1</v>
      </c>
      <c r="G52" s="91"/>
      <c r="H52" s="91"/>
    </row>
    <row r="53" spans="1:8" ht="12.75" customHeight="1" x14ac:dyDescent="0.3">
      <c r="A53" s="91"/>
      <c r="B53" s="91"/>
      <c r="C53" s="91"/>
      <c r="D53" s="91"/>
      <c r="E53" s="91"/>
      <c r="F53" s="2" t="s">
        <v>0</v>
      </c>
      <c r="G53" s="91"/>
      <c r="H53" s="91"/>
    </row>
    <row r="54" spans="1:8" ht="12.75" customHeight="1" x14ac:dyDescent="0.3">
      <c r="A54" s="91"/>
      <c r="B54" s="91"/>
      <c r="C54" s="91"/>
      <c r="D54" s="91"/>
      <c r="E54" s="91"/>
      <c r="F54" s="91"/>
      <c r="G54" s="91"/>
      <c r="H54" s="91"/>
    </row>
    <row r="55" spans="1:8" ht="12.75" customHeight="1" x14ac:dyDescent="0.3">
      <c r="A55" s="91"/>
      <c r="B55" s="91"/>
      <c r="C55" s="91"/>
      <c r="D55" s="91"/>
      <c r="E55" s="91"/>
      <c r="F55" s="91"/>
      <c r="G55" s="91"/>
      <c r="H55" s="91"/>
    </row>
    <row r="56" spans="1:8" x14ac:dyDescent="0.3">
      <c r="A56" s="91"/>
      <c r="B56" s="91"/>
      <c r="C56" s="91"/>
      <c r="D56" s="91"/>
      <c r="E56" s="91"/>
      <c r="F56" s="91"/>
      <c r="G56" s="91"/>
      <c r="H56" s="91"/>
    </row>
    <row r="57" spans="1:8" x14ac:dyDescent="0.3">
      <c r="A57" s="91"/>
      <c r="B57" s="91"/>
      <c r="C57" s="91"/>
      <c r="D57" s="91"/>
      <c r="E57" s="91"/>
      <c r="F57" s="91"/>
      <c r="G57" s="91"/>
      <c r="H57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7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2-000000000000}">
  <sheetPr codeName="Sheet477">
    <pageSetUpPr fitToPage="1"/>
  </sheetPr>
  <dimension ref="A1:H55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1.140625" style="91" customWidth="1"/>
    <col min="4" max="4" width="21" style="91" customWidth="1"/>
    <col min="5" max="5" width="1.140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1317</v>
      </c>
      <c r="G9" s="91" t="s">
        <v>5284</v>
      </c>
    </row>
    <row r="10" spans="1:8" x14ac:dyDescent="0.2">
      <c r="A10" s="91" t="s">
        <v>4306</v>
      </c>
      <c r="F10" s="92" t="s">
        <v>1329</v>
      </c>
      <c r="G10" s="92" t="s">
        <v>5261</v>
      </c>
    </row>
    <row r="11" spans="1:8" x14ac:dyDescent="0.2">
      <c r="A11" s="91" t="s">
        <v>4307</v>
      </c>
      <c r="F11" s="92" t="s">
        <v>1330</v>
      </c>
      <c r="G11" s="92" t="s">
        <v>1220</v>
      </c>
    </row>
    <row r="12" spans="1:8" x14ac:dyDescent="0.2">
      <c r="A12" s="91" t="s">
        <v>4308</v>
      </c>
      <c r="F12" s="92" t="s">
        <v>1377</v>
      </c>
      <c r="G12" s="92" t="s">
        <v>770</v>
      </c>
    </row>
    <row r="13" spans="1:8" x14ac:dyDescent="0.2">
      <c r="A13" s="91" t="s">
        <v>4309</v>
      </c>
    </row>
    <row r="14" spans="1:8" x14ac:dyDescent="0.2">
      <c r="A14" s="91" t="s">
        <v>4310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4311</v>
      </c>
      <c r="E18" s="2"/>
    </row>
    <row r="19" spans="1:8" x14ac:dyDescent="0.2">
      <c r="A19" s="106"/>
    </row>
    <row r="20" spans="1:8" x14ac:dyDescent="0.2">
      <c r="A20" s="93" t="s">
        <v>5285</v>
      </c>
      <c r="B20" s="93" t="s">
        <v>5286</v>
      </c>
      <c r="C20" s="93"/>
      <c r="D20" s="91" t="s">
        <v>4312</v>
      </c>
      <c r="H20" s="91">
        <v>14500</v>
      </c>
    </row>
    <row r="21" spans="1:8" x14ac:dyDescent="0.2">
      <c r="A21" s="93"/>
      <c r="B21" s="93"/>
      <c r="C21" s="93"/>
    </row>
    <row r="22" spans="1:8" x14ac:dyDescent="0.2">
      <c r="A22" s="106"/>
      <c r="D22" s="91" t="s">
        <v>52</v>
      </c>
      <c r="H22" s="91">
        <v>30</v>
      </c>
    </row>
    <row r="23" spans="1:8" x14ac:dyDescent="0.2">
      <c r="A23" s="106"/>
      <c r="D23" s="94"/>
      <c r="E23" s="94"/>
    </row>
    <row r="24" spans="1:8" x14ac:dyDescent="0.2">
      <c r="A24" s="106"/>
      <c r="D24" s="91" t="s">
        <v>2147</v>
      </c>
      <c r="F24" s="1"/>
      <c r="G24" s="1"/>
      <c r="H24" s="1">
        <v>1.8</v>
      </c>
    </row>
    <row r="25" spans="1:8" x14ac:dyDescent="0.2">
      <c r="A25" s="106"/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1" spans="1:8" x14ac:dyDescent="0.2">
      <c r="A31" s="93"/>
      <c r="B31" s="93"/>
      <c r="C31" s="93"/>
      <c r="D31" s="94"/>
      <c r="E31" s="94"/>
    </row>
    <row r="32" spans="1:8" x14ac:dyDescent="0.2">
      <c r="A32" s="1"/>
      <c r="B32" s="1"/>
      <c r="C32" s="1"/>
      <c r="D32" s="94"/>
      <c r="E32" s="94"/>
    </row>
    <row r="33" spans="1:8" x14ac:dyDescent="0.2">
      <c r="A33" s="1"/>
      <c r="B33" s="1"/>
      <c r="C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06"/>
      <c r="H35" s="1"/>
    </row>
    <row r="36" spans="1:8" ht="13.5" thickBot="1" x14ac:dyDescent="0.25">
      <c r="A36" s="106"/>
      <c r="H36" s="107">
        <f>SUM(H19:H34)</f>
        <v>14531.8</v>
      </c>
    </row>
    <row r="37" spans="1:8" ht="13.5" thickTop="1" x14ac:dyDescent="0.2">
      <c r="A37" s="106"/>
    </row>
    <row r="38" spans="1:8" ht="20.100000000000001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Fourteen Thousand Five Hundred Thirty-One and 80/100 -----------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94" t="s">
        <v>3973</v>
      </c>
      <c r="F40" s="218" t="s">
        <v>3975</v>
      </c>
      <c r="G40" s="219"/>
      <c r="H40" s="220"/>
    </row>
    <row r="41" spans="1:8" x14ac:dyDescent="0.2">
      <c r="F41" s="228"/>
      <c r="G41" s="229"/>
      <c r="H41" s="229"/>
    </row>
    <row r="42" spans="1:8" x14ac:dyDescent="0.2">
      <c r="A42" s="1"/>
      <c r="D42" s="99"/>
      <c r="E42" s="99"/>
    </row>
    <row r="43" spans="1:8" x14ac:dyDescent="0.2">
      <c r="A43" s="91" t="s">
        <v>120</v>
      </c>
      <c r="D43" s="99"/>
      <c r="E43" s="99"/>
    </row>
    <row r="44" spans="1:8" x14ac:dyDescent="0.2">
      <c r="A44" s="101"/>
      <c r="B44" s="101"/>
    </row>
    <row r="46" spans="1:8" x14ac:dyDescent="0.2">
      <c r="A46" s="91" t="s">
        <v>8</v>
      </c>
      <c r="D46" s="91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7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2-000000000000}">
  <sheetPr codeName="Sheet383">
    <pageSetUpPr fitToPage="1"/>
  </sheetPr>
  <dimension ref="A1:G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3938</v>
      </c>
      <c r="G9" s="61"/>
    </row>
    <row r="10" spans="1:7" x14ac:dyDescent="0.2">
      <c r="A10" s="91" t="s">
        <v>3940</v>
      </c>
      <c r="D10" s="92" t="s">
        <v>1335</v>
      </c>
      <c r="E10" s="92" t="s">
        <v>3935</v>
      </c>
      <c r="G10" s="113"/>
    </row>
    <row r="11" spans="1:7" x14ac:dyDescent="0.2">
      <c r="A11" s="91" t="s">
        <v>3941</v>
      </c>
      <c r="D11" s="92" t="s">
        <v>1333</v>
      </c>
      <c r="E11" s="92" t="s">
        <v>1220</v>
      </c>
      <c r="G11" s="113"/>
    </row>
    <row r="12" spans="1:7" x14ac:dyDescent="0.2">
      <c r="A12" s="91" t="s">
        <v>3942</v>
      </c>
      <c r="D12" s="92" t="s">
        <v>1331</v>
      </c>
      <c r="E12" s="92" t="s">
        <v>3939</v>
      </c>
      <c r="G12" s="113"/>
    </row>
    <row r="13" spans="1:7" x14ac:dyDescent="0.2">
      <c r="A13" s="91" t="s">
        <v>3943</v>
      </c>
    </row>
    <row r="14" spans="1:7" x14ac:dyDescent="0.2">
      <c r="A14" s="91" t="s">
        <v>3944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3945</v>
      </c>
    </row>
    <row r="19" spans="1:6" x14ac:dyDescent="0.2">
      <c r="C19" s="2" t="s">
        <v>3946</v>
      </c>
    </row>
    <row r="21" spans="1:6" x14ac:dyDescent="0.2">
      <c r="A21" s="93" t="s">
        <v>3937</v>
      </c>
      <c r="B21" s="111" t="s">
        <v>3947</v>
      </c>
      <c r="C21" s="91" t="s">
        <v>3948</v>
      </c>
      <c r="F21" s="91">
        <v>4240</v>
      </c>
    </row>
    <row r="22" spans="1:6" x14ac:dyDescent="0.2">
      <c r="A22" s="93"/>
      <c r="B22" s="93"/>
      <c r="C22" s="91" t="s">
        <v>3949</v>
      </c>
    </row>
    <row r="24" spans="1:6" x14ac:dyDescent="0.2">
      <c r="C24" s="2"/>
    </row>
    <row r="25" spans="1:6" x14ac:dyDescent="0.2">
      <c r="C25" s="2"/>
    </row>
    <row r="26" spans="1:6" x14ac:dyDescent="0.2">
      <c r="A26" s="93"/>
      <c r="B26" s="99"/>
      <c r="C26" s="2"/>
    </row>
    <row r="27" spans="1:6" x14ac:dyDescent="0.2">
      <c r="A27" s="111"/>
      <c r="B27" s="93"/>
    </row>
    <row r="28" spans="1:6" x14ac:dyDescent="0.2">
      <c r="A28" s="111"/>
      <c r="B28" s="99"/>
    </row>
    <row r="29" spans="1:6" x14ac:dyDescent="0.2">
      <c r="A29" s="111"/>
      <c r="B29" s="93"/>
      <c r="C29" s="2"/>
      <c r="F29" s="110"/>
    </row>
    <row r="30" spans="1:6" x14ac:dyDescent="0.2">
      <c r="A30" s="111"/>
      <c r="B30" s="93"/>
      <c r="C30" s="2"/>
      <c r="F30" s="110"/>
    </row>
    <row r="31" spans="1:6" x14ac:dyDescent="0.2">
      <c r="A31" s="111"/>
      <c r="B31" s="93"/>
      <c r="F31" s="110"/>
    </row>
    <row r="32" spans="1:6" x14ac:dyDescent="0.2">
      <c r="A32" s="111"/>
      <c r="B32" s="93"/>
    </row>
    <row r="35" spans="1:6" ht="13.5" thickBot="1" x14ac:dyDescent="0.25">
      <c r="F35" s="95">
        <f>SUM(F18:F33)</f>
        <v>4240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Two Hundred Forty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3" customFormat="1" ht="17.100000000000001" customHeight="1" x14ac:dyDescent="0.2">
      <c r="A50" s="104" t="s">
        <v>35</v>
      </c>
      <c r="B50" s="104"/>
      <c r="C50" s="61"/>
      <c r="D50" s="61" t="s">
        <v>3</v>
      </c>
      <c r="E50" s="61"/>
      <c r="F50" s="61"/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2-000000000000}">
  <sheetPr codeName="Sheet38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4.42578125" style="91" customWidth="1"/>
    <col min="2" max="2" width="15.14062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3889</v>
      </c>
    </row>
    <row r="10" spans="1:6" x14ac:dyDescent="0.2">
      <c r="A10" s="91" t="s">
        <v>3891</v>
      </c>
      <c r="D10" s="92" t="s">
        <v>1357</v>
      </c>
      <c r="E10" s="92" t="s">
        <v>3865</v>
      </c>
    </row>
    <row r="11" spans="1:6" x14ac:dyDescent="0.2">
      <c r="A11" s="91" t="s">
        <v>3892</v>
      </c>
      <c r="D11" s="92" t="s">
        <v>1330</v>
      </c>
      <c r="E11" s="92" t="s">
        <v>1220</v>
      </c>
    </row>
    <row r="12" spans="1:6" x14ac:dyDescent="0.2">
      <c r="A12" s="91" t="s">
        <v>1862</v>
      </c>
      <c r="D12" s="92" t="s">
        <v>1224</v>
      </c>
      <c r="E12" s="92" t="s">
        <v>3890</v>
      </c>
    </row>
    <row r="13" spans="1:6" x14ac:dyDescent="0.2">
      <c r="A13" s="91" t="s">
        <v>3893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3894</v>
      </c>
    </row>
    <row r="20" spans="1:6" x14ac:dyDescent="0.2">
      <c r="A20" s="93" t="s">
        <v>3895</v>
      </c>
      <c r="B20" s="99" t="s">
        <v>3896</v>
      </c>
      <c r="C20" s="91" t="s">
        <v>3897</v>
      </c>
      <c r="F20" s="91">
        <v>300</v>
      </c>
    </row>
    <row r="21" spans="1:6" x14ac:dyDescent="0.2">
      <c r="A21" s="93"/>
      <c r="B21" s="99"/>
    </row>
    <row r="22" spans="1:6" x14ac:dyDescent="0.2">
      <c r="A22" s="93"/>
      <c r="B22" s="99"/>
      <c r="C22" s="91" t="s">
        <v>3898</v>
      </c>
      <c r="F22" s="91">
        <v>80</v>
      </c>
    </row>
    <row r="23" spans="1:6" x14ac:dyDescent="0.2">
      <c r="A23" s="93"/>
      <c r="B23" s="99"/>
    </row>
    <row r="24" spans="1:6" x14ac:dyDescent="0.2">
      <c r="A24" s="93"/>
      <c r="B24" s="99"/>
    </row>
    <row r="26" spans="1:6" x14ac:dyDescent="0.2">
      <c r="A26" s="93"/>
      <c r="B26" s="99"/>
    </row>
    <row r="27" spans="1:6" x14ac:dyDescent="0.2">
      <c r="A27" s="93"/>
      <c r="B27" s="99"/>
    </row>
    <row r="28" spans="1:6" x14ac:dyDescent="0.2">
      <c r="A28" s="93"/>
      <c r="B28" s="99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9"/>
    </row>
    <row r="35" spans="1:6" ht="13.5" thickBot="1" x14ac:dyDescent="0.25">
      <c r="F35" s="95">
        <f>SUM(F18:F34)</f>
        <v>380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1075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Eighty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 t="s">
        <v>3972</v>
      </c>
    </row>
    <row r="48" spans="1:6" x14ac:dyDescent="0.2">
      <c r="A48" s="98"/>
    </row>
    <row r="49" spans="1:6" x14ac:dyDescent="0.2">
      <c r="A49" s="100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35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2-000000000000}">
  <sheetPr codeName="Sheet478"/>
  <dimension ref="A1:R6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4.85546875" style="91" customWidth="1"/>
    <col min="2" max="2" width="16.7109375" style="91" customWidth="1"/>
    <col min="3" max="3" width="1.42578125" style="91" customWidth="1"/>
    <col min="4" max="4" width="21" style="91" customWidth="1"/>
    <col min="5" max="5" width="1.140625" style="91" customWidth="1"/>
    <col min="6" max="6" width="16.42578125" style="91" customWidth="1"/>
    <col min="7" max="7" width="8.28515625" style="91" customWidth="1"/>
    <col min="8" max="8" width="13.28515625" style="91" customWidth="1"/>
    <col min="9" max="16384" width="9.140625" style="91"/>
  </cols>
  <sheetData>
    <row r="1" spans="1:1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8" x14ac:dyDescent="0.2">
      <c r="A8" s="91" t="s">
        <v>32</v>
      </c>
      <c r="F8" s="22" t="s">
        <v>31</v>
      </c>
    </row>
    <row r="9" spans="1:18" x14ac:dyDescent="0.2">
      <c r="F9" s="92" t="s">
        <v>1563</v>
      </c>
      <c r="G9" s="91" t="s">
        <v>7804</v>
      </c>
    </row>
    <row r="10" spans="1:18" x14ac:dyDescent="0.2">
      <c r="A10" s="91" t="s">
        <v>3997</v>
      </c>
      <c r="F10" s="92" t="s">
        <v>1356</v>
      </c>
      <c r="G10" s="98" t="s">
        <v>7792</v>
      </c>
    </row>
    <row r="11" spans="1:18" x14ac:dyDescent="0.2">
      <c r="A11" s="91" t="s">
        <v>3998</v>
      </c>
      <c r="F11" s="92" t="s">
        <v>1364</v>
      </c>
      <c r="G11" s="92" t="s">
        <v>1220</v>
      </c>
    </row>
    <row r="12" spans="1:18" x14ac:dyDescent="0.2">
      <c r="A12" s="91" t="s">
        <v>3999</v>
      </c>
      <c r="F12" s="92" t="s">
        <v>1224</v>
      </c>
      <c r="G12" s="92" t="s">
        <v>7805</v>
      </c>
    </row>
    <row r="13" spans="1:18" x14ac:dyDescent="0.2">
      <c r="A13" s="91" t="s">
        <v>4000</v>
      </c>
      <c r="G13" s="91" t="s">
        <v>6823</v>
      </c>
    </row>
    <row r="16" spans="1:18" s="14" customFormat="1" ht="20.100000000000001" customHeight="1" x14ac:dyDescent="0.2">
      <c r="A16" s="17" t="s">
        <v>1247</v>
      </c>
      <c r="B16" s="31" t="s">
        <v>128</v>
      </c>
      <c r="C16" s="437"/>
      <c r="D16" s="18" t="s">
        <v>19</v>
      </c>
      <c r="E16" s="18"/>
      <c r="F16" s="17"/>
      <c r="G16" s="16"/>
      <c r="H16" s="15" t="s">
        <v>18</v>
      </c>
      <c r="K16" s="14" t="s">
        <v>7723</v>
      </c>
      <c r="L16" s="14" t="s">
        <v>7724</v>
      </c>
      <c r="N16" s="14" t="s">
        <v>4001</v>
      </c>
      <c r="R16" s="14">
        <v>500</v>
      </c>
    </row>
    <row r="17" spans="1:18" x14ac:dyDescent="0.2">
      <c r="N17" s="91" t="s">
        <v>6886</v>
      </c>
      <c r="R17" s="91">
        <v>30</v>
      </c>
    </row>
    <row r="18" spans="1:18" x14ac:dyDescent="0.2">
      <c r="A18" s="93"/>
      <c r="B18" s="94"/>
      <c r="C18" s="94"/>
      <c r="D18" s="2" t="s">
        <v>6447</v>
      </c>
      <c r="E18" s="2"/>
      <c r="I18" s="193"/>
      <c r="L18" s="94"/>
      <c r="N18" s="91" t="s">
        <v>3153</v>
      </c>
      <c r="R18" s="91">
        <v>10</v>
      </c>
    </row>
    <row r="19" spans="1:18" x14ac:dyDescent="0.2">
      <c r="L19" s="99"/>
    </row>
    <row r="20" spans="1:18" x14ac:dyDescent="0.2">
      <c r="A20" s="93" t="s">
        <v>7802</v>
      </c>
      <c r="B20" s="93" t="s">
        <v>7806</v>
      </c>
      <c r="C20" s="93"/>
      <c r="D20" s="91" t="s">
        <v>6854</v>
      </c>
      <c r="E20" s="2"/>
      <c r="H20" s="91">
        <v>398</v>
      </c>
      <c r="K20" s="91" t="s">
        <v>7680</v>
      </c>
      <c r="L20" s="104" t="s">
        <v>7726</v>
      </c>
      <c r="N20" s="91" t="s">
        <v>4002</v>
      </c>
      <c r="R20" s="91">
        <v>946.88</v>
      </c>
    </row>
    <row r="21" spans="1:18" x14ac:dyDescent="0.2">
      <c r="A21" s="93"/>
      <c r="B21" s="94"/>
      <c r="C21" s="94"/>
      <c r="D21" s="91" t="s">
        <v>6971</v>
      </c>
      <c r="H21" s="91">
        <f>H20*6%</f>
        <v>23.88</v>
      </c>
      <c r="L21" s="142"/>
      <c r="N21" s="91" t="s">
        <v>6886</v>
      </c>
      <c r="R21" s="91">
        <v>56.812799999999996</v>
      </c>
    </row>
    <row r="22" spans="1:18" x14ac:dyDescent="0.2">
      <c r="A22" s="93"/>
      <c r="B22" s="94"/>
      <c r="C22" s="94"/>
      <c r="D22" s="91" t="s">
        <v>3153</v>
      </c>
      <c r="H22" s="91">
        <v>10</v>
      </c>
      <c r="L22" s="94"/>
      <c r="N22" s="91" t="s">
        <v>3153</v>
      </c>
      <c r="R22" s="91">
        <v>10</v>
      </c>
    </row>
    <row r="23" spans="1:18" x14ac:dyDescent="0.2">
      <c r="A23" s="93"/>
      <c r="D23" s="91" t="s">
        <v>7722</v>
      </c>
      <c r="L23" s="142"/>
    </row>
    <row r="24" spans="1:18" x14ac:dyDescent="0.2">
      <c r="A24" s="93"/>
      <c r="B24" s="93"/>
      <c r="C24" s="93"/>
      <c r="K24" s="91" t="s">
        <v>7680</v>
      </c>
      <c r="L24" s="142" t="s">
        <v>7725</v>
      </c>
      <c r="N24" s="91" t="s">
        <v>4003</v>
      </c>
      <c r="R24" s="91">
        <v>659.64</v>
      </c>
    </row>
    <row r="25" spans="1:18" x14ac:dyDescent="0.2">
      <c r="A25" s="93"/>
      <c r="B25" s="94"/>
      <c r="C25" s="94"/>
      <c r="D25" s="2"/>
      <c r="N25" s="91" t="s">
        <v>6886</v>
      </c>
      <c r="R25" s="91">
        <v>39.578399999999995</v>
      </c>
    </row>
    <row r="26" spans="1:18" x14ac:dyDescent="0.2">
      <c r="A26" s="142"/>
      <c r="B26" s="142"/>
      <c r="C26" s="142"/>
      <c r="L26" s="94"/>
      <c r="N26" s="91" t="s">
        <v>3153</v>
      </c>
      <c r="R26" s="91">
        <v>10</v>
      </c>
    </row>
    <row r="28" spans="1:18" x14ac:dyDescent="0.2">
      <c r="A28" s="93"/>
      <c r="B28" s="438"/>
    </row>
    <row r="30" spans="1:18" x14ac:dyDescent="0.2">
      <c r="A30" s="93"/>
      <c r="B30" s="93"/>
      <c r="C30" s="93"/>
      <c r="M30" s="91" t="s">
        <v>5434</v>
      </c>
      <c r="P30" s="91">
        <v>664.25</v>
      </c>
    </row>
    <row r="31" spans="1:18" x14ac:dyDescent="0.2">
      <c r="A31" s="99"/>
      <c r="M31" s="91" t="s">
        <v>2147</v>
      </c>
      <c r="P31" s="91">
        <f>P30*6%</f>
        <v>39.854999999999997</v>
      </c>
    </row>
    <row r="32" spans="1:18" x14ac:dyDescent="0.2">
      <c r="A32" s="93"/>
      <c r="B32" s="438"/>
      <c r="M32" s="91" t="s">
        <v>3153</v>
      </c>
      <c r="P32" s="91">
        <v>10</v>
      </c>
    </row>
    <row r="33" spans="1:16" x14ac:dyDescent="0.2">
      <c r="A33" s="93"/>
      <c r="B33" s="438"/>
    </row>
    <row r="34" spans="1:16" x14ac:dyDescent="0.2">
      <c r="M34" s="91" t="s">
        <v>5435</v>
      </c>
    </row>
    <row r="36" spans="1:16" ht="13.5" thickBot="1" x14ac:dyDescent="0.25">
      <c r="H36" s="95">
        <f>SUM(H18:H35)</f>
        <v>431.88</v>
      </c>
    </row>
    <row r="37" spans="1:16" ht="13.5" thickTop="1" x14ac:dyDescent="0.2">
      <c r="M37" s="91" t="s">
        <v>5436</v>
      </c>
      <c r="P37" s="91">
        <v>135</v>
      </c>
    </row>
    <row r="38" spans="1:16" ht="20.100000000000001" customHeight="1" x14ac:dyDescent="0.2">
      <c r="A38" s="96" t="s">
        <v>122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 Hundred Thirty-One and 88/100 -----------</v>
      </c>
      <c r="C38" s="185"/>
      <c r="D38" s="97"/>
      <c r="E38" s="97"/>
      <c r="F38" s="97"/>
      <c r="G38" s="97"/>
      <c r="H38" s="97"/>
      <c r="M38" s="91" t="s">
        <v>2147</v>
      </c>
      <c r="P38" s="91">
        <f>P37*6%</f>
        <v>8.1</v>
      </c>
    </row>
    <row r="39" spans="1:16" ht="20.100000000000001" customHeight="1" x14ac:dyDescent="0.2">
      <c r="A39" s="113"/>
      <c r="B39" s="103"/>
      <c r="C39" s="103"/>
      <c r="D39" s="61"/>
      <c r="E39" s="61"/>
      <c r="F39" s="388"/>
      <c r="G39" s="388"/>
      <c r="H39" s="388"/>
      <c r="M39" s="91" t="s">
        <v>3153</v>
      </c>
      <c r="P39" s="91">
        <v>10</v>
      </c>
    </row>
    <row r="40" spans="1:16" ht="25.5" x14ac:dyDescent="0.2">
      <c r="A40" s="113" t="s">
        <v>3973</v>
      </c>
      <c r="F40" s="218" t="s">
        <v>3975</v>
      </c>
      <c r="G40" s="219"/>
      <c r="H40" s="220"/>
      <c r="M40" s="91" t="s">
        <v>5435</v>
      </c>
    </row>
    <row r="41" spans="1:16" x14ac:dyDescent="0.2">
      <c r="F41" s="228"/>
      <c r="G41" s="229"/>
      <c r="H41" s="229"/>
    </row>
    <row r="42" spans="1:16" x14ac:dyDescent="0.2">
      <c r="D42" s="99"/>
      <c r="E42" s="438"/>
    </row>
    <row r="43" spans="1:16" x14ac:dyDescent="0.2">
      <c r="D43" s="99"/>
      <c r="E43" s="438"/>
      <c r="M43" s="91" t="s">
        <v>5789</v>
      </c>
      <c r="P43" s="91">
        <v>398</v>
      </c>
    </row>
    <row r="44" spans="1:16" x14ac:dyDescent="0.2">
      <c r="A44" s="101"/>
      <c r="B44" s="101"/>
      <c r="C44" s="386"/>
      <c r="M44" s="91" t="s">
        <v>3153</v>
      </c>
      <c r="P44" s="91">
        <v>10</v>
      </c>
    </row>
    <row r="45" spans="1:16" x14ac:dyDescent="0.2">
      <c r="M45" s="91" t="s">
        <v>6672</v>
      </c>
    </row>
    <row r="46" spans="1:16" x14ac:dyDescent="0.2">
      <c r="A46" s="98" t="s">
        <v>8</v>
      </c>
      <c r="D46" s="98" t="s">
        <v>8</v>
      </c>
      <c r="F46" s="98" t="s">
        <v>7</v>
      </c>
      <c r="H46" s="102"/>
    </row>
    <row r="47" spans="1:16" x14ac:dyDescent="0.2">
      <c r="M47" s="91" t="s">
        <v>6673</v>
      </c>
      <c r="P47" s="91">
        <v>398</v>
      </c>
    </row>
    <row r="48" spans="1:16" x14ac:dyDescent="0.2">
      <c r="M48" s="91" t="s">
        <v>3153</v>
      </c>
      <c r="P48" s="91">
        <v>10</v>
      </c>
    </row>
    <row r="49" spans="1:18" x14ac:dyDescent="0.2">
      <c r="M49" s="91" t="s">
        <v>6672</v>
      </c>
    </row>
    <row r="50" spans="1:18" x14ac:dyDescent="0.2">
      <c r="A50" s="101"/>
      <c r="B50" s="101"/>
      <c r="C50" s="386"/>
      <c r="D50" s="101"/>
      <c r="F50" s="101"/>
      <c r="G50" s="101"/>
      <c r="H50" s="101"/>
    </row>
    <row r="51" spans="1:18" s="61" customFormat="1" ht="17.100000000000001" customHeight="1" x14ac:dyDescent="0.2">
      <c r="A51" s="91" t="s">
        <v>4066</v>
      </c>
      <c r="B51" s="104"/>
      <c r="C51" s="104"/>
      <c r="D51" s="91" t="s">
        <v>50</v>
      </c>
      <c r="F51" s="61" t="s">
        <v>3</v>
      </c>
      <c r="M51" s="2" t="s">
        <v>6854</v>
      </c>
      <c r="N51" s="91"/>
      <c r="O51" s="91"/>
      <c r="P51" s="91">
        <v>398</v>
      </c>
    </row>
    <row r="52" spans="1:18" x14ac:dyDescent="0.2">
      <c r="F52" s="91" t="s">
        <v>2</v>
      </c>
      <c r="M52" s="91" t="s">
        <v>3153</v>
      </c>
      <c r="P52" s="91">
        <v>10</v>
      </c>
    </row>
    <row r="53" spans="1:18" x14ac:dyDescent="0.2">
      <c r="M53" s="91" t="s">
        <v>6856</v>
      </c>
      <c r="P53" s="91">
        <v>23.88</v>
      </c>
    </row>
    <row r="54" spans="1:18" x14ac:dyDescent="0.2">
      <c r="F54" s="2" t="s">
        <v>1</v>
      </c>
      <c r="M54" s="91" t="s">
        <v>6855</v>
      </c>
    </row>
    <row r="55" spans="1:18" x14ac:dyDescent="0.2">
      <c r="F55" s="2" t="s">
        <v>0</v>
      </c>
    </row>
    <row r="56" spans="1:18" x14ac:dyDescent="0.2">
      <c r="L56" s="93" t="s">
        <v>5987</v>
      </c>
      <c r="M56" s="94" t="s">
        <v>6000</v>
      </c>
      <c r="N56" s="91" t="s">
        <v>6011</v>
      </c>
      <c r="Q56" s="91">
        <v>357</v>
      </c>
      <c r="R56" s="193"/>
    </row>
    <row r="57" spans="1:18" x14ac:dyDescent="0.2">
      <c r="N57" s="91" t="s">
        <v>2147</v>
      </c>
      <c r="Q57" s="91">
        <v>21.42</v>
      </c>
    </row>
    <row r="58" spans="1:18" x14ac:dyDescent="0.2">
      <c r="L58" s="93"/>
      <c r="M58" s="93"/>
      <c r="N58" s="91" t="s">
        <v>3153</v>
      </c>
      <c r="Q58" s="91">
        <v>10</v>
      </c>
    </row>
    <row r="59" spans="1:18" x14ac:dyDescent="0.2">
      <c r="L59" s="93"/>
      <c r="M59" s="94"/>
    </row>
    <row r="60" spans="1:18" x14ac:dyDescent="0.2">
      <c r="M60" s="91" t="s">
        <v>6439</v>
      </c>
      <c r="P60" s="91">
        <v>947.71</v>
      </c>
    </row>
    <row r="61" spans="1:18" x14ac:dyDescent="0.2">
      <c r="M61" s="91" t="s">
        <v>2147</v>
      </c>
      <c r="P61" s="91">
        <f>P60*6%</f>
        <v>56.8626</v>
      </c>
    </row>
    <row r="62" spans="1:18" x14ac:dyDescent="0.2">
      <c r="M62" s="91" t="s">
        <v>3153</v>
      </c>
      <c r="P62" s="91">
        <v>10</v>
      </c>
    </row>
    <row r="63" spans="1:18" x14ac:dyDescent="0.2">
      <c r="M63" s="91" t="s">
        <v>6440</v>
      </c>
    </row>
  </sheetData>
  <customSheetViews>
    <customSheetView guid="{6428A7A0-B31B-40C1-A13E-AD0DCC619E51}" showPageBreaks="1" printArea="1" view="pageBreakPreview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7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2-000000000000}">
  <sheetPr codeName="Sheet353">
    <pageSetUpPr fitToPage="1"/>
  </sheetPr>
  <dimension ref="A1:H53"/>
  <sheetViews>
    <sheetView topLeftCell="A13" workbookViewId="0">
      <selection activeCell="F34" sqref="F34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7109375" style="91" customWidth="1"/>
    <col min="4" max="4" width="21" style="91" customWidth="1"/>
    <col min="5" max="5" width="2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1638</v>
      </c>
      <c r="F9" s="92" t="s">
        <v>1300</v>
      </c>
      <c r="G9" s="61" t="s">
        <v>5953</v>
      </c>
    </row>
    <row r="10" spans="1:8" x14ac:dyDescent="0.2">
      <c r="A10" s="91" t="s">
        <v>5947</v>
      </c>
      <c r="F10" s="92" t="s">
        <v>1356</v>
      </c>
      <c r="G10" s="113" t="s">
        <v>5954</v>
      </c>
    </row>
    <row r="11" spans="1:8" x14ac:dyDescent="0.2">
      <c r="A11" s="91" t="s">
        <v>5948</v>
      </c>
      <c r="F11" s="92" t="s">
        <v>1364</v>
      </c>
      <c r="G11" s="113" t="s">
        <v>1220</v>
      </c>
    </row>
    <row r="12" spans="1:8" x14ac:dyDescent="0.2">
      <c r="A12" s="91" t="s">
        <v>5949</v>
      </c>
      <c r="F12" s="92" t="s">
        <v>1224</v>
      </c>
      <c r="G12" s="113" t="s">
        <v>770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5950</v>
      </c>
      <c r="E18" s="2"/>
    </row>
    <row r="19" spans="1:8" x14ac:dyDescent="0.2">
      <c r="A19" s="106"/>
      <c r="D19" s="2"/>
      <c r="E19" s="2"/>
    </row>
    <row r="20" spans="1:8" x14ac:dyDescent="0.2">
      <c r="A20" s="137"/>
      <c r="B20" s="93"/>
      <c r="C20" s="93"/>
      <c r="D20" s="91" t="s">
        <v>5951</v>
      </c>
      <c r="H20" s="91">
        <f>76171*0.037895</f>
        <v>2886.5000449999998</v>
      </c>
    </row>
    <row r="21" spans="1:8" x14ac:dyDescent="0.2">
      <c r="A21" s="137"/>
      <c r="D21" s="91" t="s">
        <v>5952</v>
      </c>
    </row>
    <row r="22" spans="1:8" x14ac:dyDescent="0.2">
      <c r="A22" s="106"/>
      <c r="H22" s="110"/>
    </row>
    <row r="23" spans="1:8" x14ac:dyDescent="0.2">
      <c r="A23" s="137"/>
      <c r="D23" s="91" t="s">
        <v>52</v>
      </c>
      <c r="H23" s="91">
        <v>30</v>
      </c>
    </row>
    <row r="24" spans="1:8" x14ac:dyDescent="0.2">
      <c r="A24" s="106"/>
    </row>
    <row r="25" spans="1:8" x14ac:dyDescent="0.2">
      <c r="A25" s="137"/>
      <c r="D25" s="91" t="s">
        <v>2147</v>
      </c>
      <c r="H25" s="91">
        <f>H23*6%</f>
        <v>1.7999999999999998</v>
      </c>
    </row>
    <row r="26" spans="1:8" x14ac:dyDescent="0.2">
      <c r="A26" s="106"/>
    </row>
    <row r="27" spans="1:8" x14ac:dyDescent="0.2">
      <c r="A27" s="106"/>
    </row>
    <row r="28" spans="1:8" x14ac:dyDescent="0.2">
      <c r="A28" s="106"/>
    </row>
    <row r="29" spans="1:8" x14ac:dyDescent="0.2">
      <c r="A29" s="106"/>
    </row>
    <row r="31" spans="1:8" x14ac:dyDescent="0.2">
      <c r="A31" s="106"/>
    </row>
    <row r="32" spans="1:8" x14ac:dyDescent="0.2">
      <c r="A32" s="106"/>
    </row>
    <row r="33" spans="1:8" ht="13.5" thickBot="1" x14ac:dyDescent="0.25">
      <c r="A33" s="106"/>
      <c r="H33" s="107">
        <f>SUM(H19:H31)</f>
        <v>2918.300045</v>
      </c>
    </row>
    <row r="34" spans="1:8" ht="13.5" thickTop="1" x14ac:dyDescent="0.2">
      <c r="A34" s="106"/>
      <c r="H34" s="101"/>
    </row>
    <row r="35" spans="1:8" ht="20.100000000000001" customHeight="1" x14ac:dyDescent="0.2">
      <c r="A35" s="96" t="s">
        <v>1248</v>
      </c>
      <c r="B35" s="185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Thousand Nine Hundred Eighteen and 30/100 -----------</v>
      </c>
      <c r="C35" s="185"/>
      <c r="D35" s="97"/>
      <c r="E35" s="97"/>
      <c r="F35" s="97"/>
      <c r="G35" s="97"/>
      <c r="H35" s="207"/>
    </row>
    <row r="36" spans="1:8" ht="20.25" customHeight="1" x14ac:dyDescent="0.2">
      <c r="A36" s="113"/>
      <c r="B36" s="113"/>
      <c r="C36" s="113"/>
      <c r="D36" s="61"/>
      <c r="E36" s="61"/>
      <c r="F36" s="97"/>
      <c r="G36" s="97"/>
      <c r="H36" s="207"/>
    </row>
    <row r="37" spans="1:8" ht="25.5" x14ac:dyDescent="0.2">
      <c r="A37" s="61" t="s">
        <v>10</v>
      </c>
      <c r="F37" s="218" t="s">
        <v>3975</v>
      </c>
      <c r="G37" s="219"/>
      <c r="H37" s="220"/>
    </row>
    <row r="40" spans="1:8" x14ac:dyDescent="0.2">
      <c r="F40" s="227"/>
      <c r="G40" s="227"/>
      <c r="H40" s="227"/>
    </row>
    <row r="41" spans="1:8" x14ac:dyDescent="0.2">
      <c r="A41" s="91" t="s">
        <v>120</v>
      </c>
      <c r="D41" s="99"/>
      <c r="E41" s="99"/>
      <c r="F41" s="228"/>
      <c r="G41" s="229"/>
      <c r="H41" s="229"/>
    </row>
    <row r="42" spans="1:8" x14ac:dyDescent="0.2">
      <c r="A42" s="101"/>
      <c r="B42" s="101"/>
    </row>
    <row r="44" spans="1:8" x14ac:dyDescent="0.2">
      <c r="A44" s="91" t="s">
        <v>8</v>
      </c>
      <c r="D44" s="91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6" s="61" customFormat="1" ht="17.100000000000001" customHeight="1" x14ac:dyDescent="0.2">
      <c r="A49" s="61" t="s">
        <v>4066</v>
      </c>
      <c r="B49" s="104"/>
      <c r="C49" s="104"/>
      <c r="D49" s="61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7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2-000000000000}">
  <sheetPr codeName="Sheet354">
    <pageSetUpPr fitToPage="1"/>
  </sheetPr>
  <dimension ref="A1:I55"/>
  <sheetViews>
    <sheetView view="pageBreakPreview" topLeftCell="A28" zoomScaleNormal="100" zoomScaleSheetLayoutView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4.140625" style="91" customWidth="1"/>
    <col min="3" max="3" width="1.5703125" style="91" customWidth="1"/>
    <col min="4" max="4" width="21" style="91" customWidth="1"/>
    <col min="5" max="5" width="1.28515625" style="91" customWidth="1"/>
    <col min="6" max="6" width="16.42578125" style="91" customWidth="1"/>
    <col min="7" max="7" width="8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1563</v>
      </c>
      <c r="G9" s="61" t="s">
        <v>6298</v>
      </c>
    </row>
    <row r="10" spans="1:8" x14ac:dyDescent="0.2">
      <c r="A10" s="91" t="s">
        <v>3564</v>
      </c>
      <c r="F10" s="92" t="s">
        <v>1356</v>
      </c>
      <c r="G10" s="113" t="s">
        <v>6278</v>
      </c>
    </row>
    <row r="11" spans="1:8" x14ac:dyDescent="0.2">
      <c r="A11" s="91" t="s">
        <v>3565</v>
      </c>
      <c r="F11" s="92" t="s">
        <v>1364</v>
      </c>
      <c r="G11" s="113" t="s">
        <v>1220</v>
      </c>
    </row>
    <row r="12" spans="1:8" x14ac:dyDescent="0.2">
      <c r="A12" s="91" t="s">
        <v>3566</v>
      </c>
      <c r="F12" s="92" t="s">
        <v>1224</v>
      </c>
      <c r="G12" s="113" t="s">
        <v>6299</v>
      </c>
    </row>
    <row r="13" spans="1:8" x14ac:dyDescent="0.2">
      <c r="A13" s="91" t="s">
        <v>1955</v>
      </c>
    </row>
    <row r="14" spans="1:8" x14ac:dyDescent="0.2">
      <c r="A14" s="91" t="s">
        <v>2926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8" spans="1:9" x14ac:dyDescent="0.2">
      <c r="D18" s="2" t="s">
        <v>6300</v>
      </c>
      <c r="E18" s="2"/>
      <c r="I18" s="193"/>
    </row>
    <row r="20" spans="1:9" x14ac:dyDescent="0.2">
      <c r="A20" s="93" t="s">
        <v>6301</v>
      </c>
      <c r="B20" s="93" t="s">
        <v>6302</v>
      </c>
      <c r="C20" s="93"/>
      <c r="D20" s="91" t="s">
        <v>6304</v>
      </c>
      <c r="H20" s="91">
        <v>150000</v>
      </c>
    </row>
    <row r="21" spans="1:9" x14ac:dyDescent="0.2">
      <c r="A21" s="93"/>
      <c r="B21" s="93" t="s">
        <v>6303</v>
      </c>
      <c r="C21" s="93"/>
      <c r="D21" s="91" t="s">
        <v>2147</v>
      </c>
      <c r="H21" s="91">
        <f>H20*6%</f>
        <v>9000</v>
      </c>
    </row>
    <row r="23" spans="1:9" x14ac:dyDescent="0.2">
      <c r="A23" s="93"/>
      <c r="B23" s="93"/>
      <c r="C23" s="93"/>
      <c r="D23" s="91" t="s">
        <v>6305</v>
      </c>
    </row>
    <row r="24" spans="1:9" x14ac:dyDescent="0.2">
      <c r="B24" s="93"/>
      <c r="C24" s="93"/>
      <c r="D24" s="91" t="s">
        <v>6306</v>
      </c>
    </row>
    <row r="25" spans="1:9" x14ac:dyDescent="0.2">
      <c r="A25" s="93"/>
      <c r="B25" s="93"/>
      <c r="C25" s="93"/>
      <c r="D25" s="91" t="s">
        <v>6307</v>
      </c>
    </row>
    <row r="26" spans="1:9" x14ac:dyDescent="0.2">
      <c r="A26" s="93"/>
      <c r="B26" s="93"/>
      <c r="C26" s="93"/>
    </row>
    <row r="27" spans="1:9" x14ac:dyDescent="0.2">
      <c r="A27" s="93"/>
      <c r="B27" s="99"/>
      <c r="C27" s="99"/>
    </row>
    <row r="35" spans="1:8" ht="13.5" thickBot="1" x14ac:dyDescent="0.25">
      <c r="H35" s="107">
        <f>SUM(H18:H34)</f>
        <v>159000</v>
      </c>
    </row>
    <row r="36" spans="1:8" ht="13.5" thickTop="1" x14ac:dyDescent="0.2"/>
    <row r="37" spans="1:8" ht="21.75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Fifty-Nine Thousand and NO/100 -----------</v>
      </c>
      <c r="C37" s="185"/>
      <c r="D37" s="97"/>
      <c r="E37" s="222"/>
      <c r="F37" s="222"/>
      <c r="G37" s="222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222"/>
      <c r="G38" s="222"/>
      <c r="H38" s="61"/>
    </row>
    <row r="39" spans="1:8" ht="25.5" x14ac:dyDescent="0.2">
      <c r="A39" s="94" t="s">
        <v>3973</v>
      </c>
      <c r="D39" s="98" t="s">
        <v>8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E41" s="99"/>
    </row>
    <row r="42" spans="1:8" x14ac:dyDescent="0.2">
      <c r="E42" s="99"/>
    </row>
    <row r="43" spans="1:8" x14ac:dyDescent="0.2">
      <c r="A43" s="101"/>
      <c r="B43" s="101"/>
      <c r="D43" s="101"/>
    </row>
    <row r="44" spans="1:8" x14ac:dyDescent="0.2">
      <c r="D44" s="103" t="s">
        <v>50</v>
      </c>
    </row>
    <row r="45" spans="1:8" x14ac:dyDescent="0.2">
      <c r="D45" s="103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61" customFormat="1" ht="17.100000000000001" customHeight="1" x14ac:dyDescent="0.2">
      <c r="A51" s="103" t="s">
        <v>4066</v>
      </c>
      <c r="B51" s="104"/>
      <c r="C51" s="104"/>
      <c r="D51" s="103" t="s">
        <v>50</v>
      </c>
      <c r="F51" s="61" t="s">
        <v>3</v>
      </c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showPageBreaks="1" fitToPage="1" printArea="1" view="pageBreakPreview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2-000000000000}">
  <sheetPr codeName="Sheet479">
    <pageSetUpPr fitToPage="1"/>
  </sheetPr>
  <dimension ref="A1:I57"/>
  <sheetViews>
    <sheetView workbookViewId="0">
      <selection activeCell="G9" sqref="G9:G12"/>
    </sheetView>
  </sheetViews>
  <sheetFormatPr defaultRowHeight="12.75" x14ac:dyDescent="0.2"/>
  <cols>
    <col min="1" max="1" width="16.140625" style="152" customWidth="1"/>
    <col min="2" max="2" width="12.5703125" style="152" customWidth="1"/>
    <col min="3" max="3" width="1.140625" style="152" customWidth="1"/>
    <col min="4" max="4" width="23" style="152" customWidth="1"/>
    <col min="5" max="5" width="0.85546875" style="152" customWidth="1"/>
    <col min="6" max="6" width="16.4257812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/>
      <c r="B9" s="153"/>
      <c r="C9" s="153"/>
      <c r="D9" s="153"/>
      <c r="E9" s="153"/>
      <c r="F9" s="155" t="s">
        <v>1517</v>
      </c>
      <c r="G9" s="155" t="s">
        <v>8248</v>
      </c>
      <c r="H9" s="153"/>
    </row>
    <row r="10" spans="1:8" x14ac:dyDescent="0.2">
      <c r="A10" s="153" t="s">
        <v>5409</v>
      </c>
      <c r="B10" s="153"/>
      <c r="C10" s="153"/>
      <c r="D10" s="153"/>
      <c r="E10" s="153"/>
      <c r="F10" s="155" t="s">
        <v>1357</v>
      </c>
      <c r="G10" s="155" t="s">
        <v>8183</v>
      </c>
      <c r="H10" s="153"/>
    </row>
    <row r="11" spans="1:8" x14ac:dyDescent="0.2">
      <c r="A11" s="153" t="s">
        <v>6079</v>
      </c>
      <c r="B11" s="153"/>
      <c r="C11" s="153"/>
      <c r="D11" s="153"/>
      <c r="E11" s="153"/>
      <c r="F11" s="155" t="s">
        <v>1330</v>
      </c>
      <c r="G11" s="155" t="s">
        <v>1220</v>
      </c>
      <c r="H11" s="153"/>
    </row>
    <row r="12" spans="1:8" x14ac:dyDescent="0.2">
      <c r="A12" s="153" t="s">
        <v>6080</v>
      </c>
      <c r="B12" s="153"/>
      <c r="C12" s="153"/>
      <c r="D12" s="153"/>
      <c r="E12" s="153"/>
      <c r="F12" s="155" t="s">
        <v>1377</v>
      </c>
      <c r="G12" s="94" t="s">
        <v>8249</v>
      </c>
      <c r="H12" s="153"/>
    </row>
    <row r="13" spans="1:8" x14ac:dyDescent="0.2">
      <c r="A13" s="153" t="s">
        <v>6081</v>
      </c>
      <c r="B13" s="153"/>
      <c r="C13" s="153"/>
      <c r="D13" s="153"/>
      <c r="E13" s="153"/>
      <c r="F13" s="153"/>
      <c r="G13" s="91"/>
      <c r="H13" s="153"/>
    </row>
    <row r="14" spans="1:8" x14ac:dyDescent="0.2">
      <c r="A14" s="153"/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</row>
    <row r="17" spans="1:9" x14ac:dyDescent="0.2">
      <c r="A17" s="153"/>
      <c r="B17" s="153"/>
      <c r="C17" s="153"/>
      <c r="D17" s="153"/>
      <c r="E17" s="153"/>
      <c r="F17" s="153"/>
      <c r="G17" s="153"/>
      <c r="H17" s="153"/>
    </row>
    <row r="18" spans="1:9" x14ac:dyDescent="0.2">
      <c r="A18" s="153"/>
      <c r="B18" s="153"/>
      <c r="C18" s="153"/>
      <c r="D18" s="163" t="s">
        <v>6857</v>
      </c>
      <c r="E18" s="163"/>
      <c r="F18" s="153"/>
      <c r="G18" s="153"/>
      <c r="H18" s="153"/>
    </row>
    <row r="19" spans="1:9" x14ac:dyDescent="0.2">
      <c r="A19" s="153"/>
      <c r="B19" s="153"/>
      <c r="C19" s="153"/>
      <c r="D19" s="153"/>
      <c r="E19" s="153"/>
      <c r="F19" s="153"/>
      <c r="G19" s="153"/>
      <c r="H19" s="153"/>
      <c r="I19" s="153"/>
    </row>
    <row r="20" spans="1:9" x14ac:dyDescent="0.2">
      <c r="A20" s="166" t="s">
        <v>8250</v>
      </c>
      <c r="B20" s="168" t="s">
        <v>8251</v>
      </c>
      <c r="C20" s="168"/>
      <c r="D20" s="153" t="s">
        <v>8252</v>
      </c>
      <c r="E20" s="153"/>
      <c r="F20" s="153"/>
      <c r="G20" s="153"/>
      <c r="H20" s="153">
        <v>165053.29999999999</v>
      </c>
      <c r="I20" s="153"/>
    </row>
    <row r="21" spans="1:9" x14ac:dyDescent="0.2">
      <c r="A21" s="153"/>
      <c r="B21" s="153"/>
      <c r="C21" s="153"/>
      <c r="D21" s="153" t="s">
        <v>8253</v>
      </c>
      <c r="E21" s="153"/>
      <c r="F21" s="153"/>
      <c r="G21" s="153"/>
      <c r="H21" s="153"/>
      <c r="I21" s="153"/>
    </row>
    <row r="22" spans="1:9" x14ac:dyDescent="0.2">
      <c r="A22" s="166"/>
      <c r="B22" s="153"/>
      <c r="C22" s="153"/>
      <c r="D22" s="153" t="s">
        <v>8254</v>
      </c>
      <c r="E22" s="153"/>
      <c r="F22" s="153"/>
      <c r="G22" s="153"/>
      <c r="H22" s="153"/>
      <c r="I22" s="153"/>
    </row>
    <row r="23" spans="1:9" x14ac:dyDescent="0.2">
      <c r="A23" s="165"/>
      <c r="B23" s="153"/>
      <c r="C23" s="153"/>
      <c r="D23" s="153"/>
      <c r="E23" s="153"/>
      <c r="H23" s="153"/>
      <c r="I23" s="153"/>
    </row>
    <row r="24" spans="1:9" x14ac:dyDescent="0.2">
      <c r="A24" s="165"/>
      <c r="B24" s="153"/>
      <c r="C24" s="153"/>
      <c r="D24" s="153"/>
      <c r="E24" s="153"/>
      <c r="F24" s="153"/>
      <c r="G24" s="153"/>
      <c r="H24" s="153"/>
      <c r="I24" s="153"/>
    </row>
    <row r="25" spans="1:9" x14ac:dyDescent="0.2">
      <c r="A25" s="166"/>
      <c r="B25" s="153"/>
      <c r="C25" s="153"/>
      <c r="D25" s="167"/>
      <c r="E25" s="167"/>
      <c r="F25" s="153"/>
      <c r="G25" s="153"/>
      <c r="H25" s="153"/>
      <c r="I25" s="153"/>
    </row>
    <row r="26" spans="1:9" x14ac:dyDescent="0.2">
      <c r="A26" s="164"/>
      <c r="B26" s="153"/>
      <c r="C26" s="153"/>
      <c r="D26" s="153"/>
      <c r="E26" s="153"/>
      <c r="F26" s="153"/>
      <c r="G26" s="153"/>
      <c r="H26" s="153"/>
      <c r="I26" s="153"/>
    </row>
    <row r="27" spans="1:9" x14ac:dyDescent="0.2">
      <c r="A27" s="166"/>
      <c r="B27" s="153"/>
      <c r="C27" s="153"/>
      <c r="D27" s="153"/>
      <c r="E27" s="153"/>
      <c r="F27" s="153"/>
      <c r="G27" s="153"/>
      <c r="H27" s="153"/>
      <c r="I27" s="153"/>
    </row>
    <row r="28" spans="1:9" x14ac:dyDescent="0.2">
      <c r="A28" s="164"/>
      <c r="B28" s="153"/>
      <c r="C28" s="153"/>
      <c r="D28" s="167"/>
      <c r="E28" s="167"/>
      <c r="F28" s="153"/>
      <c r="G28" s="153"/>
      <c r="H28" s="153"/>
      <c r="I28" s="153"/>
    </row>
    <row r="29" spans="1:9" x14ac:dyDescent="0.2">
      <c r="A29" s="164"/>
      <c r="B29" s="153"/>
      <c r="C29" s="153"/>
      <c r="D29" s="153"/>
      <c r="E29" s="153"/>
      <c r="F29" s="153"/>
      <c r="G29" s="153"/>
      <c r="H29" s="153"/>
      <c r="I29" s="153"/>
    </row>
    <row r="30" spans="1:9" x14ac:dyDescent="0.2">
      <c r="A30" s="168"/>
      <c r="B30" s="169"/>
      <c r="C30" s="169"/>
      <c r="I30" s="153"/>
    </row>
    <row r="31" spans="1:9" x14ac:dyDescent="0.2">
      <c r="A31" s="168"/>
      <c r="B31" s="169"/>
      <c r="C31" s="169"/>
      <c r="D31" s="153"/>
      <c r="E31" s="153"/>
      <c r="F31" s="153"/>
      <c r="G31" s="153"/>
      <c r="H31" s="153"/>
      <c r="I31" s="153"/>
    </row>
    <row r="32" spans="1:9" x14ac:dyDescent="0.2">
      <c r="A32" s="168"/>
      <c r="B32" s="169"/>
      <c r="C32" s="169"/>
      <c r="D32" s="153"/>
      <c r="E32" s="153"/>
      <c r="F32" s="153"/>
      <c r="G32" s="153"/>
      <c r="H32" s="153"/>
      <c r="I32" s="153"/>
    </row>
    <row r="33" spans="1:9" x14ac:dyDescent="0.2">
      <c r="A33" s="168"/>
      <c r="B33" s="169"/>
      <c r="C33" s="169"/>
      <c r="D33" s="153"/>
      <c r="E33" s="153"/>
      <c r="F33" s="153"/>
      <c r="G33" s="153"/>
      <c r="H33" s="153"/>
      <c r="I33" s="153"/>
    </row>
    <row r="34" spans="1:9" x14ac:dyDescent="0.2">
      <c r="A34" s="153"/>
      <c r="B34" s="153"/>
      <c r="C34" s="153"/>
      <c r="D34" s="153"/>
      <c r="E34" s="153"/>
      <c r="F34" s="153"/>
      <c r="G34" s="153"/>
      <c r="I34" s="153"/>
    </row>
    <row r="35" spans="1:9" ht="13.5" thickBot="1" x14ac:dyDescent="0.25">
      <c r="A35" s="153"/>
      <c r="B35" s="153"/>
      <c r="C35" s="153"/>
      <c r="D35" s="153"/>
      <c r="E35" s="153"/>
      <c r="F35" s="153"/>
      <c r="G35" s="153"/>
      <c r="H35" s="170">
        <f>SUM(H20:H33)</f>
        <v>165053.29999999999</v>
      </c>
      <c r="I35" s="153"/>
    </row>
    <row r="36" spans="1:9" ht="13.5" thickTop="1" x14ac:dyDescent="0.2">
      <c r="A36" s="153"/>
      <c r="B36" s="153"/>
      <c r="C36" s="153"/>
      <c r="D36" s="153"/>
      <c r="E36" s="153"/>
      <c r="I36" s="153"/>
    </row>
    <row r="37" spans="1:9" ht="20.100000000000001" customHeight="1" x14ac:dyDescent="0.2">
      <c r="A37" s="171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Sixty-Five Thousand Fifty-Three and 30/100 -----------</v>
      </c>
      <c r="C37" s="185"/>
      <c r="D37" s="172"/>
      <c r="E37" s="172"/>
      <c r="F37" s="172"/>
      <c r="G37" s="172"/>
      <c r="H37" s="172"/>
      <c r="I37" s="153"/>
    </row>
    <row r="38" spans="1:9" ht="20.100000000000001" customHeight="1" x14ac:dyDescent="0.2">
      <c r="A38" s="197"/>
      <c r="B38" s="103"/>
      <c r="C38" s="103"/>
      <c r="D38" s="156"/>
      <c r="E38" s="156"/>
      <c r="F38" s="156"/>
      <c r="G38" s="156"/>
      <c r="H38" s="156"/>
      <c r="I38" s="153"/>
    </row>
    <row r="39" spans="1:9" ht="25.5" x14ac:dyDescent="0.2">
      <c r="A39" s="169" t="s">
        <v>3973</v>
      </c>
      <c r="B39" s="153"/>
      <c r="C39" s="153"/>
      <c r="D39" s="175" t="s">
        <v>8</v>
      </c>
      <c r="E39" s="153"/>
      <c r="F39" s="218" t="s">
        <v>3975</v>
      </c>
      <c r="G39" s="219"/>
      <c r="H39" s="220"/>
    </row>
    <row r="40" spans="1:9" x14ac:dyDescent="0.2">
      <c r="A40" s="153"/>
      <c r="B40" s="153"/>
      <c r="C40" s="153"/>
      <c r="D40" s="153"/>
      <c r="E40" s="153"/>
      <c r="F40" s="228"/>
      <c r="G40" s="229"/>
      <c r="H40" s="229"/>
    </row>
    <row r="41" spans="1:9" x14ac:dyDescent="0.2">
      <c r="B41" s="153"/>
      <c r="C41" s="153"/>
      <c r="D41" s="153"/>
      <c r="E41" s="173"/>
      <c r="F41" s="153"/>
      <c r="G41" s="153"/>
      <c r="H41" s="153"/>
    </row>
    <row r="42" spans="1:9" x14ac:dyDescent="0.2">
      <c r="A42" s="153"/>
      <c r="B42" s="153"/>
      <c r="C42" s="153"/>
      <c r="D42" s="153"/>
      <c r="E42" s="173"/>
      <c r="F42" s="153"/>
      <c r="G42" s="153"/>
      <c r="H42" s="153"/>
    </row>
    <row r="43" spans="1:9" x14ac:dyDescent="0.2">
      <c r="A43" s="174"/>
      <c r="B43" s="174"/>
      <c r="C43" s="153"/>
      <c r="D43" s="174"/>
      <c r="E43" s="153"/>
      <c r="F43" s="153"/>
      <c r="G43" s="153"/>
      <c r="H43" s="153"/>
    </row>
    <row r="44" spans="1:9" x14ac:dyDescent="0.2">
      <c r="A44" s="153"/>
      <c r="B44" s="153"/>
      <c r="C44" s="153"/>
      <c r="D44" s="225" t="s">
        <v>50</v>
      </c>
      <c r="E44" s="153"/>
      <c r="F44" s="153"/>
      <c r="G44" s="153"/>
      <c r="H44" s="153"/>
    </row>
    <row r="45" spans="1:9" x14ac:dyDescent="0.2">
      <c r="B45" s="153"/>
      <c r="C45" s="153"/>
      <c r="D45" s="153"/>
      <c r="E45" s="153"/>
      <c r="F45" s="153"/>
      <c r="G45" s="153"/>
      <c r="H45" s="153"/>
    </row>
    <row r="46" spans="1:9" x14ac:dyDescent="0.2">
      <c r="A46" s="175" t="s">
        <v>8</v>
      </c>
      <c r="D46" s="175" t="s">
        <v>8</v>
      </c>
      <c r="E46" s="153"/>
      <c r="F46" s="175" t="s">
        <v>7</v>
      </c>
      <c r="G46" s="153"/>
      <c r="H46" s="176"/>
    </row>
    <row r="47" spans="1:9" x14ac:dyDescent="0.2">
      <c r="A47" s="153"/>
      <c r="B47" s="153"/>
      <c r="C47" s="153"/>
      <c r="D47" s="153"/>
      <c r="E47" s="153"/>
      <c r="F47" s="153"/>
      <c r="G47" s="153"/>
      <c r="H47" s="153"/>
    </row>
    <row r="48" spans="1:9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53"/>
      <c r="B49" s="153"/>
      <c r="C49" s="153"/>
      <c r="D49" s="153"/>
      <c r="E49" s="153"/>
      <c r="F49" s="153"/>
      <c r="G49" s="153"/>
      <c r="H49" s="153"/>
    </row>
    <row r="50" spans="1:8" x14ac:dyDescent="0.2">
      <c r="A50" s="174"/>
      <c r="B50" s="174"/>
      <c r="C50" s="153"/>
      <c r="D50" s="174"/>
      <c r="E50" s="153"/>
      <c r="F50" s="174"/>
      <c r="G50" s="174"/>
      <c r="H50" s="174"/>
    </row>
    <row r="51" spans="1:8" s="178" customFormat="1" ht="17.100000000000001" customHeight="1" x14ac:dyDescent="0.2">
      <c r="A51" s="225" t="s">
        <v>4066</v>
      </c>
      <c r="B51" s="177"/>
      <c r="C51" s="177"/>
      <c r="D51" s="225" t="s">
        <v>50</v>
      </c>
      <c r="E51" s="156"/>
      <c r="F51" s="156" t="s">
        <v>3</v>
      </c>
      <c r="G51" s="156"/>
      <c r="H51" s="156"/>
    </row>
    <row r="52" spans="1:8" x14ac:dyDescent="0.2">
      <c r="A52" s="153"/>
      <c r="B52" s="153"/>
      <c r="C52" s="153"/>
      <c r="D52" s="153"/>
      <c r="E52" s="153"/>
      <c r="F52" s="153" t="s">
        <v>2</v>
      </c>
      <c r="G52" s="153"/>
      <c r="H52" s="153"/>
    </row>
    <row r="53" spans="1:8" x14ac:dyDescent="0.2">
      <c r="A53" s="153"/>
      <c r="B53" s="153"/>
      <c r="C53" s="153"/>
      <c r="D53" s="153"/>
      <c r="E53" s="153"/>
      <c r="F53" s="153"/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1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63" t="s">
        <v>0</v>
      </c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  <row r="57" spans="1:8" x14ac:dyDescent="0.2">
      <c r="A57" s="153"/>
      <c r="B57" s="153"/>
      <c r="C57" s="153"/>
      <c r="D57" s="153"/>
      <c r="E57" s="153"/>
      <c r="F57" s="153"/>
      <c r="G57" s="153"/>
      <c r="H57" s="153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7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2-000000000000}">
  <sheetPr codeName="Sheet35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153" customWidth="1"/>
    <col min="2" max="2" width="14.42578125" style="153" customWidth="1"/>
    <col min="3" max="3" width="21" style="153" customWidth="1"/>
    <col min="4" max="4" width="16.42578125" style="153" customWidth="1"/>
    <col min="5" max="5" width="8.42578125" style="153" customWidth="1"/>
    <col min="6" max="6" width="13.2851562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3320</v>
      </c>
    </row>
    <row r="10" spans="1:6" x14ac:dyDescent="0.2">
      <c r="A10" s="153" t="s">
        <v>3321</v>
      </c>
      <c r="D10" s="155" t="s">
        <v>1329</v>
      </c>
      <c r="E10" s="155" t="s">
        <v>3318</v>
      </c>
    </row>
    <row r="11" spans="1:6" x14ac:dyDescent="0.2">
      <c r="A11" s="153" t="s">
        <v>3322</v>
      </c>
      <c r="D11" s="155" t="s">
        <v>1376</v>
      </c>
      <c r="E11" s="155" t="s">
        <v>1220</v>
      </c>
    </row>
    <row r="12" spans="1:6" x14ac:dyDescent="0.2">
      <c r="A12" s="153" t="s">
        <v>3323</v>
      </c>
      <c r="D12" s="155" t="s">
        <v>1316</v>
      </c>
      <c r="E12" s="155" t="s">
        <v>770</v>
      </c>
    </row>
    <row r="13" spans="1:6" x14ac:dyDescent="0.2">
      <c r="A13" s="153" t="s">
        <v>1362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3324</v>
      </c>
    </row>
    <row r="19" spans="1:6" x14ac:dyDescent="0.2">
      <c r="A19" s="180"/>
    </row>
    <row r="20" spans="1:6" x14ac:dyDescent="0.2">
      <c r="A20" s="187" t="s">
        <v>3283</v>
      </c>
      <c r="B20" s="168" t="s">
        <v>3325</v>
      </c>
      <c r="C20" s="153" t="s">
        <v>3326</v>
      </c>
      <c r="F20" s="110">
        <f>4000*2.5578</f>
        <v>10231.199999999999</v>
      </c>
    </row>
    <row r="21" spans="1:6" x14ac:dyDescent="0.2">
      <c r="A21" s="187"/>
      <c r="B21" s="169"/>
      <c r="C21" s="153" t="s">
        <v>3327</v>
      </c>
      <c r="F21" s="110"/>
    </row>
    <row r="22" spans="1:6" x14ac:dyDescent="0.2">
      <c r="F22" s="110"/>
    </row>
    <row r="23" spans="1:6" x14ac:dyDescent="0.2">
      <c r="A23" s="179"/>
      <c r="C23" s="153" t="s">
        <v>52</v>
      </c>
      <c r="F23" s="110">
        <v>10</v>
      </c>
    </row>
    <row r="24" spans="1:6" x14ac:dyDescent="0.2">
      <c r="A24" s="179"/>
      <c r="B24" s="169"/>
    </row>
    <row r="25" spans="1:6" x14ac:dyDescent="0.2">
      <c r="A25" s="180"/>
      <c r="B25" s="169"/>
      <c r="C25" s="163"/>
      <c r="F25" s="110"/>
    </row>
    <row r="26" spans="1:6" x14ac:dyDescent="0.2">
      <c r="A26" s="179"/>
      <c r="B26" s="169"/>
      <c r="F26" s="110"/>
    </row>
    <row r="27" spans="1:6" x14ac:dyDescent="0.2">
      <c r="A27" s="179"/>
    </row>
    <row r="28" spans="1:6" x14ac:dyDescent="0.2">
      <c r="A28" s="179"/>
    </row>
    <row r="32" spans="1:6" ht="13.5" thickBot="1" x14ac:dyDescent="0.25">
      <c r="F32" s="182">
        <f>SUM(F18:F31)</f>
        <v>10241.199999999999</v>
      </c>
    </row>
    <row r="33" spans="1:6" ht="13.5" thickTop="1" x14ac:dyDescent="0.2"/>
    <row r="34" spans="1:6" ht="13.5" thickBot="1" x14ac:dyDescent="0.25">
      <c r="F34" s="170"/>
    </row>
    <row r="35" spans="1:6" ht="20.100000000000001" customHeight="1" thickTop="1" x14ac:dyDescent="0.2">
      <c r="A35" s="171" t="s">
        <v>336</v>
      </c>
      <c r="B35" s="171" t="s">
        <v>3328</v>
      </c>
      <c r="C35" s="172"/>
      <c r="D35" s="172"/>
      <c r="E35" s="172"/>
      <c r="F35" s="172"/>
    </row>
    <row r="36" spans="1:6" ht="25.5" x14ac:dyDescent="0.2">
      <c r="A36" s="169" t="s">
        <v>11</v>
      </c>
      <c r="D36" s="218" t="s">
        <v>3975</v>
      </c>
      <c r="E36" s="219"/>
      <c r="F36" s="220"/>
    </row>
    <row r="37" spans="1:6" x14ac:dyDescent="0.2">
      <c r="A37" s="153" t="s">
        <v>10</v>
      </c>
    </row>
    <row r="39" spans="1:6" x14ac:dyDescent="0.2">
      <c r="D39" s="227"/>
      <c r="E39" s="227"/>
      <c r="F39" s="227"/>
    </row>
    <row r="40" spans="1:6" x14ac:dyDescent="0.2">
      <c r="A40" s="153" t="s">
        <v>121</v>
      </c>
      <c r="C40" s="173"/>
      <c r="D40" s="228"/>
      <c r="E40" s="229"/>
      <c r="F40" s="229"/>
    </row>
    <row r="43" spans="1:6" x14ac:dyDescent="0.2">
      <c r="A43" s="175" t="s">
        <v>8</v>
      </c>
      <c r="D43" s="175" t="s">
        <v>7</v>
      </c>
      <c r="F43" s="176"/>
    </row>
    <row r="47" spans="1:6" x14ac:dyDescent="0.2">
      <c r="A47" s="174" t="s">
        <v>3972</v>
      </c>
      <c r="B47" s="174"/>
      <c r="D47" s="174"/>
      <c r="E47" s="174"/>
      <c r="F47" s="174"/>
    </row>
    <row r="48" spans="1:6" s="156" customFormat="1" ht="17.100000000000001" customHeight="1" x14ac:dyDescent="0.2">
      <c r="A48" s="177" t="s">
        <v>35</v>
      </c>
      <c r="B48" s="177"/>
      <c r="D48" s="156" t="s">
        <v>3</v>
      </c>
    </row>
    <row r="49" spans="1:4" x14ac:dyDescent="0.2">
      <c r="A49" s="153" t="s">
        <v>4066</v>
      </c>
      <c r="D49" s="153" t="s">
        <v>2</v>
      </c>
    </row>
    <row r="51" spans="1:4" x14ac:dyDescent="0.2">
      <c r="D51" s="163" t="s">
        <v>1</v>
      </c>
    </row>
    <row r="52" spans="1:4" x14ac:dyDescent="0.2">
      <c r="D52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35">
    <pageSetUpPr fitToPage="1"/>
  </sheetPr>
  <dimension ref="A1:I54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.140625" style="91" customWidth="1"/>
    <col min="4" max="4" width="21" style="91" customWidth="1"/>
    <col min="5" max="5" width="1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91" t="s">
        <v>6341</v>
      </c>
      <c r="I9" s="61"/>
    </row>
    <row r="10" spans="1:9" x14ac:dyDescent="0.2">
      <c r="A10" s="91" t="s">
        <v>6310</v>
      </c>
      <c r="F10" s="92" t="s">
        <v>1335</v>
      </c>
      <c r="G10" s="92" t="s">
        <v>6340</v>
      </c>
      <c r="I10" s="113"/>
    </row>
    <row r="11" spans="1:9" x14ac:dyDescent="0.2">
      <c r="A11" s="91" t="s">
        <v>6311</v>
      </c>
      <c r="F11" s="92" t="s">
        <v>1333</v>
      </c>
      <c r="G11" s="92" t="s">
        <v>1220</v>
      </c>
      <c r="I11" s="113"/>
    </row>
    <row r="12" spans="1:9" x14ac:dyDescent="0.2">
      <c r="A12" s="91" t="s">
        <v>6312</v>
      </c>
      <c r="F12" s="92" t="s">
        <v>1331</v>
      </c>
      <c r="G12" s="92" t="s">
        <v>6342</v>
      </c>
      <c r="I12" s="113"/>
    </row>
    <row r="13" spans="1:9" x14ac:dyDescent="0.2">
      <c r="A13" s="91" t="s">
        <v>6313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/>
      <c r="B18" s="93"/>
      <c r="C18" s="93"/>
      <c r="D18" s="2" t="s">
        <v>5429</v>
      </c>
    </row>
    <row r="19" spans="1:8" x14ac:dyDescent="0.2">
      <c r="A19" s="93"/>
      <c r="B19" s="99"/>
    </row>
    <row r="20" spans="1:8" x14ac:dyDescent="0.2">
      <c r="A20" s="93" t="s">
        <v>6336</v>
      </c>
      <c r="B20" s="93" t="s">
        <v>6343</v>
      </c>
      <c r="C20" s="93"/>
      <c r="D20" s="91" t="s">
        <v>6344</v>
      </c>
      <c r="H20" s="91">
        <f>0.098*10000</f>
        <v>980</v>
      </c>
    </row>
    <row r="21" spans="1:8" x14ac:dyDescent="0.2">
      <c r="A21" s="93"/>
      <c r="B21" s="99"/>
      <c r="D21" s="91" t="s">
        <v>2147</v>
      </c>
      <c r="H21" s="91">
        <f>H20*6%</f>
        <v>58.8</v>
      </c>
    </row>
    <row r="23" spans="1:8" x14ac:dyDescent="0.2">
      <c r="D23" s="2"/>
    </row>
    <row r="24" spans="1:8" x14ac:dyDescent="0.2">
      <c r="A24" s="93"/>
      <c r="B24" s="93"/>
      <c r="E24" s="2"/>
    </row>
    <row r="25" spans="1:8" x14ac:dyDescent="0.2">
      <c r="A25" s="93"/>
      <c r="B25" s="93"/>
      <c r="E25" s="2"/>
    </row>
    <row r="26" spans="1:8" x14ac:dyDescent="0.2">
      <c r="A26" s="93"/>
      <c r="B26" s="93"/>
      <c r="C26" s="109"/>
      <c r="E26" s="143"/>
    </row>
    <row r="27" spans="1:8" x14ac:dyDescent="0.2">
      <c r="A27" s="93"/>
      <c r="B27" s="93"/>
      <c r="C27" s="93"/>
    </row>
    <row r="28" spans="1:8" x14ac:dyDescent="0.2">
      <c r="A28" s="111"/>
      <c r="B28" s="99"/>
      <c r="C28" s="99"/>
    </row>
    <row r="29" spans="1:8" x14ac:dyDescent="0.2">
      <c r="A29" s="111"/>
      <c r="B29" s="93"/>
      <c r="C29" s="93"/>
      <c r="H29" s="110"/>
    </row>
    <row r="30" spans="1:8" x14ac:dyDescent="0.2">
      <c r="A30" s="111"/>
      <c r="B30" s="93"/>
      <c r="C30" s="93"/>
      <c r="H30" s="110"/>
    </row>
    <row r="31" spans="1:8" x14ac:dyDescent="0.2">
      <c r="A31" s="111"/>
      <c r="B31" s="93"/>
      <c r="C31" s="93"/>
      <c r="H31" s="110"/>
    </row>
    <row r="32" spans="1:8" x14ac:dyDescent="0.2">
      <c r="A32" s="109"/>
      <c r="B32" s="99"/>
      <c r="C32" s="99"/>
    </row>
    <row r="35" spans="1:8" ht="13.5" thickBot="1" x14ac:dyDescent="0.25">
      <c r="H35" s="107">
        <f>SUM(H18:H33)</f>
        <v>1038.8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Thirty-Eight and 80/100 -----------</v>
      </c>
      <c r="C37" s="185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103"/>
      <c r="C38" s="103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F39" s="218" t="s">
        <v>3975</v>
      </c>
      <c r="G39" s="219"/>
      <c r="H39" s="220"/>
    </row>
    <row r="40" spans="1:8" x14ac:dyDescent="0.2">
      <c r="F40" s="228"/>
      <c r="G40" s="229"/>
      <c r="H40" s="229"/>
    </row>
    <row r="41" spans="1:8" x14ac:dyDescent="0.2">
      <c r="A41" s="1"/>
      <c r="D41" s="99"/>
      <c r="E41" s="99"/>
    </row>
    <row r="42" spans="1:8" x14ac:dyDescent="0.2">
      <c r="A42" s="91" t="s">
        <v>121</v>
      </c>
      <c r="D42" s="99"/>
      <c r="E42" s="99"/>
    </row>
    <row r="43" spans="1:8" x14ac:dyDescent="0.2">
      <c r="A43" s="101"/>
      <c r="B43" s="101"/>
    </row>
    <row r="45" spans="1:8" x14ac:dyDescent="0.2">
      <c r="A45" s="98" t="s">
        <v>8</v>
      </c>
      <c r="D45" s="98"/>
      <c r="F45" s="98" t="s">
        <v>7</v>
      </c>
      <c r="H45" s="102"/>
    </row>
    <row r="49" spans="1:8" x14ac:dyDescent="0.2">
      <c r="A49" s="101"/>
      <c r="B49" s="101"/>
      <c r="F49" s="101"/>
      <c r="G49" s="101"/>
      <c r="H49" s="101"/>
    </row>
    <row r="50" spans="1:8" s="3" customFormat="1" ht="17.100000000000001" customHeight="1" x14ac:dyDescent="0.2">
      <c r="A50" s="91" t="s">
        <v>4066</v>
      </c>
      <c r="B50" s="104"/>
      <c r="C50" s="104"/>
      <c r="D50" s="91"/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7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2-000000000000}">
  <sheetPr codeName="Sheet385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5.85546875" style="153" customWidth="1"/>
    <col min="2" max="2" width="14.42578125" style="153" customWidth="1"/>
    <col min="3" max="3" width="21" style="153" customWidth="1"/>
    <col min="4" max="4" width="16.42578125" style="153" customWidth="1"/>
    <col min="5" max="5" width="8.42578125" style="153" customWidth="1"/>
    <col min="6" max="6" width="13.28515625" style="153" customWidth="1"/>
    <col min="7" max="16384" width="9.140625" style="153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3807</v>
      </c>
    </row>
    <row r="10" spans="1:6" x14ac:dyDescent="0.2">
      <c r="A10" s="153" t="s">
        <v>3809</v>
      </c>
      <c r="D10" s="155" t="s">
        <v>1329</v>
      </c>
      <c r="E10" s="155" t="s">
        <v>3808</v>
      </c>
    </row>
    <row r="11" spans="1:6" x14ac:dyDescent="0.2">
      <c r="A11" s="153" t="s">
        <v>3810</v>
      </c>
      <c r="D11" s="155" t="s">
        <v>1376</v>
      </c>
      <c r="E11" s="155" t="s">
        <v>1220</v>
      </c>
    </row>
    <row r="12" spans="1:6" x14ac:dyDescent="0.2">
      <c r="A12" s="153" t="s">
        <v>3811</v>
      </c>
      <c r="D12" s="155" t="s">
        <v>1316</v>
      </c>
      <c r="E12" s="155" t="s">
        <v>770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8" spans="1:6" x14ac:dyDescent="0.2">
      <c r="C18" s="163" t="s">
        <v>3812</v>
      </c>
    </row>
    <row r="19" spans="1:6" x14ac:dyDescent="0.2">
      <c r="A19" s="180"/>
    </row>
    <row r="20" spans="1:6" x14ac:dyDescent="0.2">
      <c r="A20" s="187" t="s">
        <v>3784</v>
      </c>
      <c r="B20" s="168" t="s">
        <v>3813</v>
      </c>
      <c r="C20" s="153" t="s">
        <v>3814</v>
      </c>
      <c r="F20" s="110">
        <f>400000*10.5522/100</f>
        <v>42208.800000000003</v>
      </c>
    </row>
    <row r="21" spans="1:6" x14ac:dyDescent="0.2">
      <c r="A21" s="187"/>
      <c r="B21" s="169"/>
      <c r="F21" s="110"/>
    </row>
    <row r="22" spans="1:6" x14ac:dyDescent="0.2">
      <c r="C22" s="153" t="s">
        <v>52</v>
      </c>
      <c r="F22" s="110">
        <v>30</v>
      </c>
    </row>
    <row r="23" spans="1:6" x14ac:dyDescent="0.2">
      <c r="A23" s="179"/>
      <c r="F23" s="110"/>
    </row>
    <row r="24" spans="1:6" x14ac:dyDescent="0.2">
      <c r="A24" s="179"/>
      <c r="B24" s="169"/>
      <c r="C24" s="167" t="s">
        <v>3826</v>
      </c>
    </row>
    <row r="25" spans="1:6" x14ac:dyDescent="0.2">
      <c r="A25" s="180"/>
      <c r="B25" s="169"/>
      <c r="C25" s="163"/>
      <c r="F25" s="110"/>
    </row>
    <row r="26" spans="1:6" x14ac:dyDescent="0.2">
      <c r="A26" s="180"/>
      <c r="B26" s="169"/>
      <c r="C26" s="163"/>
      <c r="F26" s="110"/>
    </row>
    <row r="27" spans="1:6" x14ac:dyDescent="0.2">
      <c r="A27" s="180"/>
      <c r="B27" s="169"/>
      <c r="C27" s="163"/>
      <c r="F27" s="110"/>
    </row>
    <row r="28" spans="1:6" x14ac:dyDescent="0.2">
      <c r="A28" s="179"/>
      <c r="B28" s="169"/>
      <c r="F28" s="110"/>
    </row>
    <row r="29" spans="1:6" x14ac:dyDescent="0.2">
      <c r="A29" s="179"/>
    </row>
    <row r="30" spans="1:6" x14ac:dyDescent="0.2">
      <c r="A30" s="179"/>
    </row>
    <row r="35" spans="1:6" ht="13.5" thickBot="1" x14ac:dyDescent="0.25">
      <c r="F35" s="182">
        <f>SUM(F18:F33)</f>
        <v>42238.8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171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Forty-Two Thousand Two Hundred Thirty-Eight and 80/100 -----------</v>
      </c>
      <c r="C37" s="172"/>
      <c r="D37" s="221"/>
      <c r="E37" s="221"/>
      <c r="F37" s="156"/>
    </row>
    <row r="38" spans="1:6" ht="20.100000000000001" customHeight="1" x14ac:dyDescent="0.2">
      <c r="A38" s="197"/>
      <c r="B38" s="103"/>
      <c r="C38" s="156"/>
      <c r="D38" s="221"/>
      <c r="E38" s="221"/>
      <c r="F38" s="156"/>
    </row>
    <row r="39" spans="1:6" x14ac:dyDescent="0.2">
      <c r="A39" s="169" t="s">
        <v>11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173"/>
    </row>
    <row r="42" spans="1:6" x14ac:dyDescent="0.2">
      <c r="A42" s="153" t="s">
        <v>121</v>
      </c>
      <c r="C42" s="173"/>
    </row>
    <row r="43" spans="1:6" x14ac:dyDescent="0.2">
      <c r="A43" s="174"/>
      <c r="B43" s="174"/>
    </row>
    <row r="45" spans="1:6" x14ac:dyDescent="0.2">
      <c r="A45" s="175" t="s">
        <v>8</v>
      </c>
      <c r="D45" s="175" t="s">
        <v>7</v>
      </c>
      <c r="F45" s="176"/>
    </row>
    <row r="47" spans="1:6" x14ac:dyDescent="0.2">
      <c r="A47" s="153" t="s">
        <v>3972</v>
      </c>
    </row>
    <row r="49" spans="1:6" x14ac:dyDescent="0.2">
      <c r="A49" s="174" t="s">
        <v>4066</v>
      </c>
      <c r="B49" s="174"/>
      <c r="D49" s="174"/>
      <c r="E49" s="174"/>
      <c r="F49" s="174"/>
    </row>
    <row r="50" spans="1:6" s="156" customFormat="1" ht="17.100000000000001" customHeight="1" x14ac:dyDescent="0.2">
      <c r="A50" s="177" t="s">
        <v>35</v>
      </c>
      <c r="B50" s="177"/>
      <c r="D50" s="156" t="s">
        <v>3</v>
      </c>
    </row>
    <row r="51" spans="1:6" x14ac:dyDescent="0.2">
      <c r="D51" s="153" t="s">
        <v>2</v>
      </c>
    </row>
    <row r="53" spans="1:6" x14ac:dyDescent="0.2">
      <c r="D53" s="163" t="s">
        <v>1</v>
      </c>
    </row>
    <row r="54" spans="1:6" x14ac:dyDescent="0.2">
      <c r="D54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2-000000000000}">
  <sheetPr codeName="Sheet386"/>
  <dimension ref="A1:F55"/>
  <sheetViews>
    <sheetView topLeftCell="A10" zoomScaleNormal="100" workbookViewId="0">
      <selection activeCell="F34" sqref="F34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21" style="153" customWidth="1"/>
    <col min="4" max="4" width="16.42578125" style="153" customWidth="1"/>
    <col min="5" max="5" width="9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3911</v>
      </c>
    </row>
    <row r="10" spans="1:6" x14ac:dyDescent="0.2">
      <c r="A10" s="153" t="s">
        <v>2088</v>
      </c>
      <c r="D10" s="155" t="s">
        <v>1329</v>
      </c>
      <c r="E10" s="155" t="s">
        <v>3902</v>
      </c>
    </row>
    <row r="11" spans="1:6" x14ac:dyDescent="0.2">
      <c r="A11" s="153" t="s">
        <v>3912</v>
      </c>
      <c r="D11" s="155" t="s">
        <v>1330</v>
      </c>
      <c r="E11" s="155" t="s">
        <v>1220</v>
      </c>
    </row>
    <row r="12" spans="1:6" x14ac:dyDescent="0.2">
      <c r="A12" s="153" t="s">
        <v>3913</v>
      </c>
      <c r="D12" s="155" t="s">
        <v>1331</v>
      </c>
      <c r="E12" s="155" t="s">
        <v>770</v>
      </c>
    </row>
    <row r="13" spans="1:6" x14ac:dyDescent="0.2">
      <c r="A13" s="153" t="s">
        <v>3914</v>
      </c>
    </row>
    <row r="16" spans="1:6" s="162" customFormat="1" ht="20.100000000000001" customHeight="1" x14ac:dyDescent="0.2">
      <c r="A16" s="158" t="s">
        <v>1226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6" x14ac:dyDescent="0.2">
      <c r="A17" s="164"/>
    </row>
    <row r="18" spans="1:6" x14ac:dyDescent="0.2">
      <c r="C18" s="163" t="s">
        <v>3915</v>
      </c>
    </row>
    <row r="19" spans="1:6" x14ac:dyDescent="0.2">
      <c r="A19" s="164"/>
      <c r="C19" s="163"/>
    </row>
    <row r="20" spans="1:6" x14ac:dyDescent="0.2">
      <c r="A20" s="168" t="s">
        <v>3916</v>
      </c>
      <c r="B20" s="168" t="s">
        <v>3917</v>
      </c>
      <c r="C20" s="153" t="s">
        <v>3918</v>
      </c>
      <c r="F20" s="153">
        <f>10000*3.0172</f>
        <v>30172</v>
      </c>
    </row>
    <row r="21" spans="1:6" x14ac:dyDescent="0.2">
      <c r="A21" s="168"/>
      <c r="B21" s="169"/>
    </row>
    <row r="22" spans="1:6" x14ac:dyDescent="0.2">
      <c r="A22" s="168"/>
      <c r="B22" s="173"/>
      <c r="C22" s="153" t="s">
        <v>3919</v>
      </c>
    </row>
    <row r="24" spans="1:6" x14ac:dyDescent="0.2">
      <c r="C24" s="153" t="s">
        <v>52</v>
      </c>
      <c r="F24" s="153">
        <v>30</v>
      </c>
    </row>
    <row r="25" spans="1:6" x14ac:dyDescent="0.2">
      <c r="A25" s="166"/>
      <c r="B25" s="173"/>
      <c r="C25" s="167"/>
    </row>
    <row r="29" spans="1:6" x14ac:dyDescent="0.2">
      <c r="A29" s="168"/>
      <c r="B29" s="173"/>
    </row>
    <row r="30" spans="1:6" x14ac:dyDescent="0.2">
      <c r="A30" s="168"/>
      <c r="B30" s="173"/>
      <c r="C30" s="212"/>
    </row>
    <row r="31" spans="1:6" x14ac:dyDescent="0.2">
      <c r="A31" s="173"/>
    </row>
    <row r="32" spans="1:6" x14ac:dyDescent="0.2">
      <c r="A32" s="166"/>
      <c r="B32" s="169"/>
    </row>
    <row r="33" spans="1:6" x14ac:dyDescent="0.2">
      <c r="A33" s="166"/>
      <c r="B33" s="169"/>
    </row>
    <row r="34" spans="1:6" x14ac:dyDescent="0.2">
      <c r="A34" s="166"/>
      <c r="B34" s="169"/>
    </row>
    <row r="35" spans="1:6" x14ac:dyDescent="0.2">
      <c r="A35" s="215"/>
      <c r="B35" s="152"/>
      <c r="C35" s="152"/>
      <c r="D35" s="152"/>
      <c r="E35" s="152"/>
      <c r="F35" s="152"/>
    </row>
    <row r="36" spans="1:6" ht="25.5" x14ac:dyDescent="0.2">
      <c r="A36" s="164"/>
      <c r="D36" s="218" t="s">
        <v>3975</v>
      </c>
      <c r="E36" s="219"/>
      <c r="F36" s="220"/>
    </row>
    <row r="37" spans="1:6" x14ac:dyDescent="0.2">
      <c r="A37" s="164"/>
    </row>
    <row r="38" spans="1:6" x14ac:dyDescent="0.2">
      <c r="A38" s="164"/>
    </row>
    <row r="39" spans="1:6" x14ac:dyDescent="0.2">
      <c r="A39" s="171" t="s">
        <v>1248</v>
      </c>
      <c r="B39" s="213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/>
      </c>
      <c r="C39" s="172"/>
      <c r="D39" s="227"/>
      <c r="E39" s="227"/>
      <c r="F39" s="227"/>
    </row>
    <row r="40" spans="1:6" x14ac:dyDescent="0.2">
      <c r="A40" s="153" t="s">
        <v>10</v>
      </c>
      <c r="D40" s="228"/>
      <c r="E40" s="229"/>
      <c r="F40" s="229"/>
    </row>
    <row r="41" spans="1:6" x14ac:dyDescent="0.2">
      <c r="A41" s="152"/>
    </row>
    <row r="43" spans="1:6" x14ac:dyDescent="0.2">
      <c r="A43" s="153" t="s">
        <v>120</v>
      </c>
      <c r="C43" s="173"/>
    </row>
    <row r="44" spans="1:6" x14ac:dyDescent="0.2">
      <c r="A44" s="174"/>
      <c r="B44" s="174"/>
    </row>
    <row r="46" spans="1:6" x14ac:dyDescent="0.2">
      <c r="A46" s="153" t="s">
        <v>8</v>
      </c>
      <c r="D46" s="175" t="s">
        <v>7</v>
      </c>
      <c r="F46" s="176"/>
    </row>
    <row r="47" spans="1:6" x14ac:dyDescent="0.2">
      <c r="A47" s="153" t="s">
        <v>3972</v>
      </c>
    </row>
    <row r="49" spans="1:6" x14ac:dyDescent="0.2">
      <c r="A49" s="153" t="s">
        <v>4066</v>
      </c>
    </row>
    <row r="50" spans="1:6" x14ac:dyDescent="0.2">
      <c r="A50" s="174" t="s">
        <v>120</v>
      </c>
      <c r="B50" s="174"/>
      <c r="D50" s="174"/>
      <c r="E50" s="174"/>
      <c r="F50" s="174"/>
    </row>
    <row r="51" spans="1:6" s="178" customFormat="1" ht="17.100000000000001" customHeight="1" x14ac:dyDescent="0.2">
      <c r="A51" s="156" t="s">
        <v>35</v>
      </c>
      <c r="B51" s="177"/>
      <c r="C51" s="156"/>
      <c r="D51" s="156" t="s">
        <v>3</v>
      </c>
      <c r="E51" s="156"/>
      <c r="F51" s="156"/>
    </row>
    <row r="52" spans="1:6" x14ac:dyDescent="0.2">
      <c r="D52" s="153" t="s">
        <v>2</v>
      </c>
    </row>
    <row r="54" spans="1:6" x14ac:dyDescent="0.2">
      <c r="D54" s="163" t="s">
        <v>1</v>
      </c>
    </row>
    <row r="55" spans="1:6" x14ac:dyDescent="0.2">
      <c r="D55" s="163" t="s">
        <v>0</v>
      </c>
    </row>
  </sheetData>
  <customSheetViews>
    <customSheetView guid="{6428A7A0-B31B-40C1-A13E-AD0DCC619E51}" topLeftCell="A10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7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2-000000000000}">
  <sheetPr codeName="Sheet356"/>
  <dimension ref="A1:F53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4.285156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3470</v>
      </c>
      <c r="D9" s="92" t="s">
        <v>1317</v>
      </c>
      <c r="E9" s="91" t="s">
        <v>3469</v>
      </c>
    </row>
    <row r="10" spans="1:6" x14ac:dyDescent="0.2">
      <c r="A10" s="91" t="s">
        <v>3471</v>
      </c>
      <c r="D10" s="92" t="s">
        <v>1329</v>
      </c>
      <c r="E10" s="91" t="s">
        <v>3449</v>
      </c>
    </row>
    <row r="11" spans="1:6" x14ac:dyDescent="0.2">
      <c r="A11" s="91" t="s">
        <v>3472</v>
      </c>
      <c r="D11" s="92" t="s">
        <v>1330</v>
      </c>
      <c r="E11" s="91" t="s">
        <v>1220</v>
      </c>
    </row>
    <row r="12" spans="1:6" x14ac:dyDescent="0.2">
      <c r="A12" s="91" t="s">
        <v>3473</v>
      </c>
      <c r="D12" s="92" t="s">
        <v>1331</v>
      </c>
      <c r="E12" s="94" t="s">
        <v>770</v>
      </c>
    </row>
    <row r="13" spans="1:6" x14ac:dyDescent="0.2">
      <c r="A13" s="91" t="s">
        <v>3474</v>
      </c>
    </row>
    <row r="14" spans="1:6" x14ac:dyDescent="0.2">
      <c r="A14" s="91" t="s">
        <v>3475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3476</v>
      </c>
    </row>
    <row r="19" spans="1:6" x14ac:dyDescent="0.2">
      <c r="A19" s="106"/>
      <c r="C19" s="2"/>
    </row>
    <row r="20" spans="1:6" x14ac:dyDescent="0.2">
      <c r="A20" s="93" t="s">
        <v>3361</v>
      </c>
      <c r="B20" s="99" t="s">
        <v>3477</v>
      </c>
      <c r="C20" s="91" t="s">
        <v>3478</v>
      </c>
      <c r="F20" s="91">
        <f>4000*3.272</f>
        <v>13088</v>
      </c>
    </row>
    <row r="21" spans="1:6" x14ac:dyDescent="0.2">
      <c r="A21" s="93"/>
      <c r="B21" s="94"/>
    </row>
    <row r="22" spans="1:6" x14ac:dyDescent="0.2">
      <c r="A22" s="93"/>
      <c r="B22" s="99"/>
      <c r="C22" s="91" t="s">
        <v>52</v>
      </c>
      <c r="F22" s="91">
        <v>30</v>
      </c>
    </row>
    <row r="25" spans="1:6" x14ac:dyDescent="0.2">
      <c r="A25" s="137"/>
      <c r="B25" s="99"/>
    </row>
    <row r="27" spans="1:6" x14ac:dyDescent="0.2">
      <c r="C27" s="2"/>
    </row>
    <row r="28" spans="1:6" x14ac:dyDescent="0.2"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9"/>
    </row>
    <row r="32" spans="1:6" x14ac:dyDescent="0.2">
      <c r="A32" s="137"/>
      <c r="B32" s="94"/>
    </row>
    <row r="33" spans="1:6" x14ac:dyDescent="0.2">
      <c r="A33" s="7"/>
      <c r="B33" s="1"/>
      <c r="C33" s="1"/>
      <c r="D33" s="1"/>
      <c r="E33" s="1"/>
      <c r="F33" s="1"/>
    </row>
    <row r="34" spans="1:6" ht="13.5" thickBot="1" x14ac:dyDescent="0.25">
      <c r="A34" s="106"/>
      <c r="F34" s="107">
        <f>SUM(F19:F33)</f>
        <v>13118</v>
      </c>
    </row>
    <row r="35" spans="1:6" ht="13.5" thickTop="1" x14ac:dyDescent="0.2">
      <c r="A35" s="106"/>
    </row>
    <row r="36" spans="1:6" ht="20.100000000000001" customHeight="1" x14ac:dyDescent="0.2">
      <c r="A36" s="96" t="s">
        <v>1248</v>
      </c>
      <c r="B36" s="185" t="s">
        <v>3284</v>
      </c>
      <c r="C36" s="97"/>
      <c r="D36" s="218" t="s">
        <v>3975</v>
      </c>
      <c r="E36" s="219"/>
      <c r="F36" s="220"/>
    </row>
    <row r="37" spans="1:6" x14ac:dyDescent="0.2">
      <c r="A37" s="94"/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"/>
      <c r="B41" s="101"/>
    </row>
    <row r="42" spans="1:6" x14ac:dyDescent="0.2">
      <c r="A42" s="101"/>
    </row>
    <row r="44" spans="1:6" x14ac:dyDescent="0.2">
      <c r="A44" s="91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6" s="3" customFormat="1" ht="17.100000000000001" customHeight="1" x14ac:dyDescent="0.2">
      <c r="A49" s="61" t="s">
        <v>4066</v>
      </c>
      <c r="B49" s="104"/>
      <c r="C49" s="61"/>
      <c r="D49" s="61" t="s">
        <v>3</v>
      </c>
      <c r="E49" s="61"/>
      <c r="F49" s="61"/>
    </row>
    <row r="50" spans="1:6" x14ac:dyDescent="0.2">
      <c r="D50" s="91" t="s">
        <v>2</v>
      </c>
    </row>
    <row r="52" spans="1:6" x14ac:dyDescent="0.2">
      <c r="D52" s="2" t="s">
        <v>1</v>
      </c>
    </row>
    <row r="53" spans="1:6" x14ac:dyDescent="0.2">
      <c r="D53" s="2" t="s">
        <v>0</v>
      </c>
    </row>
  </sheetData>
  <customSheetViews>
    <customSheetView guid="{6428A7A0-B31B-40C1-A13E-AD0DCC619E51}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2-000000000000}">
  <sheetPr codeName="Sheet357"/>
  <dimension ref="A1:F54"/>
  <sheetViews>
    <sheetView topLeftCell="A31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3346</v>
      </c>
      <c r="D9" s="92" t="s">
        <v>1300</v>
      </c>
      <c r="E9" s="91" t="s">
        <v>3359</v>
      </c>
    </row>
    <row r="10" spans="1:6" x14ac:dyDescent="0.2">
      <c r="A10" s="91" t="s">
        <v>3347</v>
      </c>
      <c r="D10" s="92" t="s">
        <v>1356</v>
      </c>
      <c r="E10" s="92" t="s">
        <v>3316</v>
      </c>
    </row>
    <row r="11" spans="1:6" x14ac:dyDescent="0.2">
      <c r="A11" s="91" t="s">
        <v>3348</v>
      </c>
      <c r="D11" s="92" t="s">
        <v>1364</v>
      </c>
      <c r="E11" s="92" t="s">
        <v>1220</v>
      </c>
    </row>
    <row r="12" spans="1:6" x14ac:dyDescent="0.2">
      <c r="A12" s="91" t="s">
        <v>3349</v>
      </c>
      <c r="D12" s="92" t="s">
        <v>1224</v>
      </c>
      <c r="E12" s="92" t="s">
        <v>3360</v>
      </c>
    </row>
    <row r="13" spans="1:6" x14ac:dyDescent="0.2">
      <c r="A13" s="91" t="s">
        <v>3350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9"/>
      <c r="C18" s="2" t="s">
        <v>3351</v>
      </c>
    </row>
    <row r="19" spans="1:6" x14ac:dyDescent="0.2">
      <c r="A19" s="93"/>
      <c r="B19" s="99"/>
    </row>
    <row r="20" spans="1:6" x14ac:dyDescent="0.2">
      <c r="A20" s="93" t="s">
        <v>3341</v>
      </c>
      <c r="B20" s="99" t="s">
        <v>3352</v>
      </c>
      <c r="C20" s="91" t="s">
        <v>3353</v>
      </c>
      <c r="F20" s="91">
        <v>5000</v>
      </c>
    </row>
    <row r="21" spans="1:6" x14ac:dyDescent="0.2">
      <c r="C21" s="91" t="s">
        <v>3354</v>
      </c>
    </row>
    <row r="22" spans="1:6" x14ac:dyDescent="0.2">
      <c r="A22" s="93"/>
      <c r="B22" s="99"/>
      <c r="C22" s="2"/>
    </row>
    <row r="23" spans="1:6" x14ac:dyDescent="0.2">
      <c r="A23" s="93"/>
      <c r="B23" s="99"/>
    </row>
    <row r="24" spans="1:6" x14ac:dyDescent="0.2">
      <c r="A24" s="93"/>
      <c r="B24" s="99"/>
    </row>
    <row r="25" spans="1:6" x14ac:dyDescent="0.2">
      <c r="A25" s="93"/>
      <c r="B25" s="99"/>
    </row>
    <row r="27" spans="1:6" x14ac:dyDescent="0.2">
      <c r="A27" s="93"/>
      <c r="B27" s="99"/>
    </row>
    <row r="29" spans="1:6" x14ac:dyDescent="0.2">
      <c r="A29" s="93"/>
      <c r="B29" s="99"/>
      <c r="C29" s="2"/>
    </row>
    <row r="30" spans="1:6" x14ac:dyDescent="0.2">
      <c r="A30" s="93"/>
      <c r="B30" s="99"/>
      <c r="C30" s="2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9"/>
    </row>
    <row r="34" spans="1:6" ht="13.5" thickBot="1" x14ac:dyDescent="0.25">
      <c r="A34" s="93"/>
      <c r="F34" s="107"/>
    </row>
    <row r="35" spans="1:6" ht="14.25" thickTop="1" thickBot="1" x14ac:dyDescent="0.25">
      <c r="A35" s="93"/>
      <c r="F35" s="107">
        <f>SUM(F18:F34)</f>
        <v>5000</v>
      </c>
    </row>
    <row r="36" spans="1:6" ht="26.25" thickTop="1" x14ac:dyDescent="0.2">
      <c r="A36" s="106"/>
      <c r="D36" s="218" t="s">
        <v>3975</v>
      </c>
      <c r="E36" s="219"/>
      <c r="F36" s="220"/>
    </row>
    <row r="37" spans="1:6" ht="20.100000000000001" customHeight="1" x14ac:dyDescent="0.2">
      <c r="A37" s="96" t="s">
        <v>1248</v>
      </c>
      <c r="B37" s="185" t="s">
        <v>1797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61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59055118110236227" bottom="0.78740157480314965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5" orientation="portrait" r:id="rId2"/>
  <headerFooter alignWithMargins="0"/>
</worksheet>
</file>

<file path=xl/worksheets/sheet7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2-000000000000}">
  <sheetPr codeName="Sheet269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2569</v>
      </c>
    </row>
    <row r="10" spans="1:6" x14ac:dyDescent="0.2">
      <c r="A10" s="91" t="s">
        <v>2571</v>
      </c>
      <c r="D10" s="92" t="s">
        <v>1357</v>
      </c>
      <c r="E10" s="92" t="s">
        <v>2557</v>
      </c>
    </row>
    <row r="11" spans="1:6" x14ac:dyDescent="0.2">
      <c r="A11" s="91" t="s">
        <v>2572</v>
      </c>
      <c r="D11" s="92" t="s">
        <v>1330</v>
      </c>
      <c r="E11" s="92" t="s">
        <v>1220</v>
      </c>
    </row>
    <row r="12" spans="1:6" x14ac:dyDescent="0.2">
      <c r="A12" s="91" t="s">
        <v>1306</v>
      </c>
      <c r="D12" s="92" t="s">
        <v>1224</v>
      </c>
      <c r="E12" s="92" t="s">
        <v>2570</v>
      </c>
    </row>
    <row r="13" spans="1:6" x14ac:dyDescent="0.2">
      <c r="A13" s="91" t="s">
        <v>2573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2574</v>
      </c>
    </row>
    <row r="19" spans="1:6" x14ac:dyDescent="0.2">
      <c r="A19" s="93"/>
      <c r="B19" s="93"/>
    </row>
    <row r="20" spans="1:6" x14ac:dyDescent="0.2">
      <c r="C20" s="91" t="s">
        <v>2577</v>
      </c>
      <c r="F20" s="91">
        <v>233.75</v>
      </c>
    </row>
    <row r="21" spans="1:6" x14ac:dyDescent="0.2">
      <c r="C21" s="91" t="s">
        <v>2575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233.75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2576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2-000000000000}">
  <sheetPr codeName="Sheet35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4.140625" style="91" customWidth="1"/>
    <col min="3" max="3" width="23.7109375" style="91" customWidth="1"/>
    <col min="4" max="4" width="16.42578125" style="91" customWidth="1"/>
    <col min="5" max="5" width="15.42578125" style="91" customWidth="1"/>
    <col min="6" max="6" width="13.28515625" style="91" customWidth="1"/>
    <col min="7" max="16384" width="9.140625" style="91"/>
  </cols>
  <sheetData>
    <row r="1" spans="1:5" ht="15" x14ac:dyDescent="0.25">
      <c r="A1" s="521" t="s">
        <v>34</v>
      </c>
      <c r="B1" s="521"/>
      <c r="C1" s="521"/>
      <c r="D1" s="521"/>
      <c r="E1" s="521"/>
    </row>
    <row r="2" spans="1:5" x14ac:dyDescent="0.2">
      <c r="A2" s="522" t="s">
        <v>33</v>
      </c>
      <c r="B2" s="522"/>
      <c r="C2" s="522"/>
      <c r="D2" s="522"/>
      <c r="E2" s="522"/>
    </row>
    <row r="3" spans="1:5" x14ac:dyDescent="0.2">
      <c r="A3" s="522" t="s">
        <v>1829</v>
      </c>
      <c r="B3" s="522"/>
      <c r="C3" s="522"/>
      <c r="D3" s="522"/>
      <c r="E3" s="522"/>
    </row>
    <row r="4" spans="1:5" x14ac:dyDescent="0.2">
      <c r="A4" s="522" t="s">
        <v>1828</v>
      </c>
      <c r="B4" s="522"/>
      <c r="C4" s="522"/>
      <c r="D4" s="522"/>
      <c r="E4" s="522"/>
    </row>
    <row r="8" spans="1:5" x14ac:dyDescent="0.2">
      <c r="A8" s="91" t="s">
        <v>32</v>
      </c>
      <c r="D8" s="22" t="s">
        <v>31</v>
      </c>
    </row>
    <row r="9" spans="1:5" x14ac:dyDescent="0.2">
      <c r="D9" s="92" t="s">
        <v>1393</v>
      </c>
      <c r="E9" s="91" t="s">
        <v>3417</v>
      </c>
    </row>
    <row r="10" spans="1:5" x14ac:dyDescent="0.2">
      <c r="A10" s="91" t="s">
        <v>3419</v>
      </c>
      <c r="D10" s="92" t="s">
        <v>1356</v>
      </c>
      <c r="E10" s="92" t="s">
        <v>3416</v>
      </c>
    </row>
    <row r="11" spans="1:5" x14ac:dyDescent="0.2">
      <c r="A11" s="91" t="s">
        <v>3420</v>
      </c>
      <c r="D11" s="92" t="s">
        <v>1364</v>
      </c>
      <c r="E11" s="92" t="s">
        <v>1220</v>
      </c>
    </row>
    <row r="12" spans="1:5" x14ac:dyDescent="0.2">
      <c r="A12" s="91" t="s">
        <v>1834</v>
      </c>
      <c r="D12" s="92" t="s">
        <v>1394</v>
      </c>
      <c r="E12" s="92" t="s">
        <v>3418</v>
      </c>
    </row>
    <row r="13" spans="1:5" x14ac:dyDescent="0.2">
      <c r="A13" s="91" t="s">
        <v>3421</v>
      </c>
      <c r="D13" s="92"/>
    </row>
    <row r="16" spans="1:5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</row>
    <row r="18" spans="1:5" x14ac:dyDescent="0.2">
      <c r="A18" s="93"/>
      <c r="B18" s="93"/>
      <c r="C18" s="2" t="s">
        <v>2793</v>
      </c>
    </row>
    <row r="19" spans="1:5" x14ac:dyDescent="0.2">
      <c r="A19" s="94"/>
      <c r="C19" s="2"/>
    </row>
    <row r="20" spans="1:5" x14ac:dyDescent="0.2">
      <c r="A20" s="93">
        <v>41603</v>
      </c>
      <c r="B20" s="99" t="s">
        <v>3422</v>
      </c>
      <c r="C20" s="91" t="s">
        <v>3423</v>
      </c>
      <c r="E20" s="91">
        <v>1025.44</v>
      </c>
    </row>
    <row r="21" spans="1:5" x14ac:dyDescent="0.2">
      <c r="C21" s="91" t="s">
        <v>3424</v>
      </c>
    </row>
    <row r="22" spans="1:5" x14ac:dyDescent="0.2">
      <c r="A22" s="92"/>
      <c r="B22" s="93"/>
      <c r="C22" s="91" t="s">
        <v>3425</v>
      </c>
    </row>
    <row r="23" spans="1:5" x14ac:dyDescent="0.2">
      <c r="B23" s="94"/>
    </row>
    <row r="24" spans="1:5" x14ac:dyDescent="0.2">
      <c r="A24" s="93"/>
      <c r="B24" s="93"/>
    </row>
    <row r="26" spans="1:5" x14ac:dyDescent="0.2">
      <c r="B26" s="94"/>
    </row>
    <row r="27" spans="1:5" x14ac:dyDescent="0.2">
      <c r="B27" s="94"/>
    </row>
    <row r="28" spans="1:5" x14ac:dyDescent="0.2">
      <c r="B28" s="94"/>
    </row>
    <row r="29" spans="1:5" x14ac:dyDescent="0.2">
      <c r="B29" s="94"/>
      <c r="C29" s="2"/>
    </row>
    <row r="30" spans="1:5" x14ac:dyDescent="0.2">
      <c r="B30" s="94"/>
    </row>
    <row r="31" spans="1:5" x14ac:dyDescent="0.2">
      <c r="B31" s="94"/>
    </row>
    <row r="32" spans="1:5" ht="13.5" thickBot="1" x14ac:dyDescent="0.25">
      <c r="B32" s="94"/>
      <c r="E32" s="107">
        <f>SUM(E18:E31)</f>
        <v>1025.44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1465</v>
      </c>
      <c r="B35" s="185" t="s">
        <v>3426</v>
      </c>
      <c r="C35" s="97"/>
      <c r="D35" s="97"/>
      <c r="E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E43" s="102"/>
    </row>
    <row r="47" spans="1:6" x14ac:dyDescent="0.2">
      <c r="A47" s="101" t="s">
        <v>3972</v>
      </c>
      <c r="B47" s="101"/>
      <c r="D47" s="91" t="s">
        <v>5</v>
      </c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E1"/>
    <mergeCell ref="A2:E2"/>
    <mergeCell ref="A3:E3"/>
    <mergeCell ref="A4:E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2-000000000000}">
  <sheetPr codeName="Sheet320">
    <pageSetUpPr fitToPage="1"/>
  </sheetPr>
  <dimension ref="A1:G52"/>
  <sheetViews>
    <sheetView topLeftCell="A22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91" t="s">
        <v>3357</v>
      </c>
    </row>
    <row r="10" spans="1:6" x14ac:dyDescent="0.2">
      <c r="A10" s="91" t="s">
        <v>3130</v>
      </c>
      <c r="D10" s="92" t="s">
        <v>1356</v>
      </c>
      <c r="E10" s="92" t="s">
        <v>3316</v>
      </c>
    </row>
    <row r="11" spans="1:6" x14ac:dyDescent="0.2">
      <c r="A11" s="91" t="s">
        <v>3131</v>
      </c>
      <c r="D11" s="92" t="s">
        <v>1364</v>
      </c>
      <c r="E11" s="92" t="s">
        <v>1220</v>
      </c>
    </row>
    <row r="12" spans="1:6" x14ac:dyDescent="0.2">
      <c r="D12" s="92" t="s">
        <v>1224</v>
      </c>
      <c r="E12" s="92" t="s">
        <v>3358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C18" s="2" t="s">
        <v>3340</v>
      </c>
      <c r="G18" s="193"/>
    </row>
    <row r="20" spans="1:7" x14ac:dyDescent="0.2">
      <c r="A20" s="93" t="s">
        <v>3341</v>
      </c>
      <c r="B20" s="93" t="s">
        <v>3342</v>
      </c>
      <c r="C20" s="94" t="s">
        <v>3343</v>
      </c>
      <c r="F20" s="91">
        <v>1400</v>
      </c>
    </row>
    <row r="21" spans="1:7" x14ac:dyDescent="0.2">
      <c r="C21" s="91" t="s">
        <v>3344</v>
      </c>
    </row>
    <row r="23" spans="1:7" x14ac:dyDescent="0.2">
      <c r="C23" s="2"/>
    </row>
    <row r="25" spans="1:7" x14ac:dyDescent="0.2">
      <c r="A25" s="93"/>
      <c r="B25" s="93"/>
    </row>
    <row r="27" spans="1:7" x14ac:dyDescent="0.2">
      <c r="B27" s="94"/>
    </row>
    <row r="28" spans="1:7" x14ac:dyDescent="0.2">
      <c r="A28" s="93"/>
      <c r="B28" s="93"/>
      <c r="C28" s="94"/>
    </row>
    <row r="32" spans="1:7" ht="13.5" thickBot="1" x14ac:dyDescent="0.25">
      <c r="F32" s="107">
        <f>SUM(F18:F31)</f>
        <v>1400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3345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2-000000000000}">
  <sheetPr codeName="Sheet359">
    <pageSetUpPr fitToPage="1"/>
  </sheetPr>
  <dimension ref="A1:F54"/>
  <sheetViews>
    <sheetView topLeftCell="A16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21" style="91" customWidth="1"/>
    <col min="4" max="4" width="16.42578125" style="91" customWidth="1"/>
    <col min="5" max="5" width="12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61" t="s">
        <v>3291</v>
      </c>
    </row>
    <row r="10" spans="1:6" x14ac:dyDescent="0.2">
      <c r="A10" s="91" t="s">
        <v>3293</v>
      </c>
      <c r="D10" s="92" t="s">
        <v>1357</v>
      </c>
      <c r="E10" s="113" t="s">
        <v>3275</v>
      </c>
    </row>
    <row r="11" spans="1:6" x14ac:dyDescent="0.2">
      <c r="A11" s="91" t="s">
        <v>3297</v>
      </c>
      <c r="D11" s="92" t="s">
        <v>1330</v>
      </c>
      <c r="E11" s="113" t="s">
        <v>1220</v>
      </c>
    </row>
    <row r="12" spans="1:6" x14ac:dyDescent="0.2">
      <c r="D12" s="92" t="s">
        <v>1224</v>
      </c>
      <c r="E12" s="113" t="s">
        <v>3292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3294</v>
      </c>
    </row>
    <row r="20" spans="1:6" x14ac:dyDescent="0.2">
      <c r="A20" s="93" t="s">
        <v>3282</v>
      </c>
      <c r="B20" s="99"/>
      <c r="C20" s="91" t="s">
        <v>3295</v>
      </c>
      <c r="F20" s="91">
        <v>150</v>
      </c>
    </row>
    <row r="21" spans="1:6" x14ac:dyDescent="0.2">
      <c r="A21" s="93"/>
      <c r="B21" s="93"/>
      <c r="C21" s="91" t="s">
        <v>3296</v>
      </c>
    </row>
    <row r="22" spans="1:6" x14ac:dyDescent="0.2">
      <c r="A22" s="93"/>
      <c r="B22" s="99"/>
    </row>
    <row r="23" spans="1:6" x14ac:dyDescent="0.2">
      <c r="B23" s="94"/>
    </row>
    <row r="25" spans="1:6" x14ac:dyDescent="0.2">
      <c r="A25" s="93"/>
      <c r="B25" s="99"/>
    </row>
    <row r="26" spans="1:6" x14ac:dyDescent="0.2">
      <c r="A26" s="93"/>
      <c r="B26" s="93"/>
    </row>
    <row r="27" spans="1:6" x14ac:dyDescent="0.2">
      <c r="A27" s="93"/>
      <c r="B27" s="99"/>
    </row>
    <row r="28" spans="1:6" x14ac:dyDescent="0.2">
      <c r="B28" s="94"/>
    </row>
    <row r="29" spans="1:6" x14ac:dyDescent="0.2">
      <c r="A29" s="93"/>
      <c r="B29" s="99"/>
    </row>
    <row r="31" spans="1:6" x14ac:dyDescent="0.2">
      <c r="A31" s="93"/>
      <c r="B31" s="99"/>
    </row>
    <row r="33" spans="1:6" x14ac:dyDescent="0.2">
      <c r="A33" s="93"/>
      <c r="B33" s="99"/>
    </row>
    <row r="34" spans="1:6" ht="13.5" thickBot="1" x14ac:dyDescent="0.25">
      <c r="F34" s="107"/>
    </row>
    <row r="35" spans="1:6" ht="14.25" thickTop="1" thickBot="1" x14ac:dyDescent="0.25">
      <c r="F35" s="95">
        <f>SUM(F18:F34)</f>
        <v>150</v>
      </c>
    </row>
    <row r="36" spans="1:6" ht="26.25" thickTop="1" x14ac:dyDescent="0.2">
      <c r="D36" s="218" t="s">
        <v>3975</v>
      </c>
      <c r="E36" s="219"/>
      <c r="F36" s="220"/>
    </row>
    <row r="37" spans="1:6" ht="20.100000000000001" customHeight="1" x14ac:dyDescent="0.2">
      <c r="A37" s="96" t="s">
        <v>1075</v>
      </c>
      <c r="B37" s="96" t="s">
        <v>2711</v>
      </c>
      <c r="C37" s="97"/>
      <c r="D37" s="222"/>
      <c r="E37" s="222"/>
      <c r="F37" s="222"/>
    </row>
    <row r="38" spans="1:6" ht="20.100000000000001" customHeight="1" x14ac:dyDescent="0.2">
      <c r="A38" s="113"/>
      <c r="B38" s="11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A40" s="98"/>
      <c r="D40" s="228"/>
      <c r="E40" s="229"/>
      <c r="F40" s="229"/>
    </row>
    <row r="41" spans="1:6" x14ac:dyDescent="0.2">
      <c r="C41" s="99"/>
    </row>
    <row r="42" spans="1:6" x14ac:dyDescent="0.2">
      <c r="A42" s="98"/>
      <c r="C42" s="99"/>
    </row>
    <row r="43" spans="1:6" x14ac:dyDescent="0.2">
      <c r="A43" s="100"/>
      <c r="B43" s="101"/>
    </row>
    <row r="44" spans="1:6" x14ac:dyDescent="0.2">
      <c r="A44" s="98"/>
    </row>
    <row r="45" spans="1:6" x14ac:dyDescent="0.2">
      <c r="A45" s="98" t="s">
        <v>8</v>
      </c>
      <c r="D45" s="98" t="s">
        <v>7</v>
      </c>
      <c r="F45" s="102"/>
    </row>
    <row r="46" spans="1:6" x14ac:dyDescent="0.2">
      <c r="A46" s="98"/>
    </row>
    <row r="47" spans="1:6" x14ac:dyDescent="0.2">
      <c r="A47" s="98" t="s">
        <v>3972</v>
      </c>
    </row>
    <row r="48" spans="1:6" x14ac:dyDescent="0.2">
      <c r="A48" s="98"/>
    </row>
    <row r="49" spans="1:6" x14ac:dyDescent="0.2">
      <c r="A49" s="100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103" t="s">
        <v>35</v>
      </c>
      <c r="B50" s="104"/>
      <c r="D50" s="61" t="s">
        <v>3</v>
      </c>
    </row>
    <row r="51" spans="1:6" x14ac:dyDescent="0.2">
      <c r="A51" s="98"/>
      <c r="D51" s="91" t="s">
        <v>2</v>
      </c>
    </row>
    <row r="52" spans="1:6" x14ac:dyDescent="0.2">
      <c r="A52" s="98"/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2-000000000000}">
  <sheetPr codeName="Sheet292"/>
  <dimension ref="A1:N55"/>
  <sheetViews>
    <sheetView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5.85546875" style="91" customWidth="1"/>
    <col min="3" max="3" width="0.7109375" style="91" customWidth="1"/>
    <col min="4" max="4" width="24.7109375" style="91" customWidth="1"/>
    <col min="5" max="5" width="1.5703125" style="91" customWidth="1"/>
    <col min="6" max="6" width="16.42578125" style="91" customWidth="1"/>
    <col min="7" max="7" width="9" style="91" customWidth="1"/>
    <col min="8" max="8" width="13.28515625" style="91" customWidth="1"/>
    <col min="9" max="16384" width="9.140625" style="1"/>
  </cols>
  <sheetData>
    <row r="1" spans="1:14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4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4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4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4" x14ac:dyDescent="0.2">
      <c r="A8" s="91" t="s">
        <v>32</v>
      </c>
      <c r="F8" s="22" t="s">
        <v>31</v>
      </c>
    </row>
    <row r="9" spans="1:14" x14ac:dyDescent="0.2">
      <c r="A9" s="91" t="s">
        <v>3016</v>
      </c>
      <c r="F9" s="92" t="s">
        <v>1317</v>
      </c>
      <c r="G9" s="91" t="s">
        <v>6918</v>
      </c>
    </row>
    <row r="10" spans="1:14" x14ac:dyDescent="0.2">
      <c r="A10" s="91" t="s">
        <v>3017</v>
      </c>
      <c r="F10" s="92" t="s">
        <v>1329</v>
      </c>
      <c r="G10" s="92" t="s">
        <v>6919</v>
      </c>
    </row>
    <row r="11" spans="1:14" x14ac:dyDescent="0.2">
      <c r="A11" s="91" t="s">
        <v>3018</v>
      </c>
      <c r="F11" s="92" t="s">
        <v>1330</v>
      </c>
      <c r="G11" s="92" t="s">
        <v>1220</v>
      </c>
    </row>
    <row r="12" spans="1:14" x14ac:dyDescent="0.2">
      <c r="A12" s="91" t="s">
        <v>3019</v>
      </c>
      <c r="F12" s="92" t="s">
        <v>1331</v>
      </c>
      <c r="G12" s="92" t="s">
        <v>770</v>
      </c>
    </row>
    <row r="13" spans="1:14" x14ac:dyDescent="0.2">
      <c r="A13" s="91" t="s">
        <v>3020</v>
      </c>
    </row>
    <row r="14" spans="1:14" x14ac:dyDescent="0.2">
      <c r="A14" s="91" t="s">
        <v>3021</v>
      </c>
    </row>
    <row r="15" spans="1:14" x14ac:dyDescent="0.2">
      <c r="N15" s="80" t="s">
        <v>658</v>
      </c>
    </row>
    <row r="16" spans="1:14" s="14" customFormat="1" ht="20.100000000000001" customHeight="1" x14ac:dyDescent="0.2">
      <c r="A16" s="31" t="s">
        <v>1226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5198</v>
      </c>
      <c r="E18" s="2"/>
    </row>
    <row r="19" spans="1:8" x14ac:dyDescent="0.2">
      <c r="A19" s="106"/>
      <c r="D19" s="2"/>
      <c r="E19" s="2"/>
    </row>
    <row r="20" spans="1:8" x14ac:dyDescent="0.2">
      <c r="A20" s="93" t="s">
        <v>6920</v>
      </c>
      <c r="B20" s="93" t="s">
        <v>6921</v>
      </c>
      <c r="C20" s="93"/>
      <c r="D20" s="91" t="s">
        <v>6922</v>
      </c>
      <c r="H20" s="91">
        <f>720*4.204</f>
        <v>3026.8799999999997</v>
      </c>
    </row>
    <row r="21" spans="1:8" x14ac:dyDescent="0.2">
      <c r="A21" s="93"/>
      <c r="B21" s="94"/>
      <c r="C21" s="94"/>
      <c r="D21" s="91" t="s">
        <v>6923</v>
      </c>
    </row>
    <row r="22" spans="1:8" x14ac:dyDescent="0.2">
      <c r="A22" s="93"/>
      <c r="B22" s="99"/>
      <c r="C22" s="99"/>
    </row>
    <row r="23" spans="1:8" x14ac:dyDescent="0.2">
      <c r="D23" s="91" t="s">
        <v>52</v>
      </c>
      <c r="H23" s="91">
        <v>30</v>
      </c>
    </row>
    <row r="25" spans="1:8" x14ac:dyDescent="0.2">
      <c r="A25" s="93"/>
      <c r="B25" s="99"/>
      <c r="C25" s="99"/>
    </row>
    <row r="27" spans="1:8" x14ac:dyDescent="0.2">
      <c r="A27" s="93"/>
      <c r="B27" s="99"/>
      <c r="C27" s="99"/>
    </row>
    <row r="31" spans="1:8" x14ac:dyDescent="0.2">
      <c r="A31" s="93"/>
      <c r="B31" s="99"/>
      <c r="C31" s="99"/>
    </row>
    <row r="32" spans="1:8" x14ac:dyDescent="0.2">
      <c r="A32" s="137"/>
      <c r="B32" s="94"/>
      <c r="C32" s="94"/>
    </row>
    <row r="33" spans="1:8" x14ac:dyDescent="0.2">
      <c r="A33" s="137"/>
      <c r="B33" s="94"/>
      <c r="C33" s="94"/>
    </row>
    <row r="34" spans="1:8" x14ac:dyDescent="0.2">
      <c r="A34" s="137"/>
      <c r="B34" s="94"/>
      <c r="C34" s="94"/>
      <c r="D34" s="143"/>
      <c r="E34" s="143"/>
    </row>
    <row r="35" spans="1:8" x14ac:dyDescent="0.2">
      <c r="A35" s="7"/>
      <c r="B35" s="1"/>
      <c r="C35" s="1"/>
      <c r="D35" s="1"/>
      <c r="E35" s="1"/>
      <c r="F35" s="1"/>
      <c r="G35" s="1"/>
      <c r="H35" s="1"/>
    </row>
    <row r="36" spans="1:8" ht="13.5" thickBot="1" x14ac:dyDescent="0.25">
      <c r="A36" s="106"/>
      <c r="H36" s="241">
        <f>SUM(H20:H35)</f>
        <v>3056.8799999999997</v>
      </c>
    </row>
    <row r="37" spans="1:8" x14ac:dyDescent="0.2">
      <c r="A37" s="106"/>
    </row>
    <row r="38" spans="1:8" ht="20.25" customHeight="1" x14ac:dyDescent="0.2">
      <c r="A38" s="96" t="s">
        <v>1248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Fifty-Six and 88/100 -----------</v>
      </c>
      <c r="C38" s="185"/>
      <c r="D38" s="97"/>
      <c r="E38" s="97"/>
      <c r="F38" s="237"/>
      <c r="G38" s="237"/>
      <c r="H38" s="237"/>
    </row>
    <row r="39" spans="1:8" x14ac:dyDescent="0.2">
      <c r="F39" s="228"/>
      <c r="G39" s="229"/>
      <c r="H39" s="229"/>
    </row>
    <row r="40" spans="1:8" ht="25.5" x14ac:dyDescent="0.2">
      <c r="A40" s="103" t="s">
        <v>10</v>
      </c>
      <c r="F40" s="218" t="s">
        <v>3975</v>
      </c>
      <c r="G40" s="219"/>
      <c r="H40" s="220"/>
    </row>
    <row r="42" spans="1:8" x14ac:dyDescent="0.2">
      <c r="A42" s="91" t="s">
        <v>120</v>
      </c>
      <c r="E42" s="99"/>
    </row>
    <row r="43" spans="1:8" x14ac:dyDescent="0.2">
      <c r="A43" s="1"/>
      <c r="B43" s="1"/>
    </row>
    <row r="44" spans="1:8" x14ac:dyDescent="0.2">
      <c r="A44" s="101"/>
      <c r="B44" s="101"/>
    </row>
    <row r="46" spans="1:8" x14ac:dyDescent="0.2">
      <c r="A46" s="91" t="s">
        <v>8</v>
      </c>
      <c r="D46" s="91" t="s">
        <v>6924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3" customFormat="1" ht="17.100000000000001" customHeight="1" x14ac:dyDescent="0.2">
      <c r="A51" s="91" t="s">
        <v>4066</v>
      </c>
      <c r="B51" s="104"/>
      <c r="C51" s="104"/>
      <c r="D51" s="91" t="s">
        <v>50</v>
      </c>
      <c r="E51" s="61"/>
      <c r="F51" s="61" t="s">
        <v>3</v>
      </c>
      <c r="G51" s="61"/>
      <c r="H51" s="61"/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topLeftCell="A7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7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2-000000000000}">
  <sheetPr codeName="Sheet322">
    <pageSetUpPr fitToPage="1"/>
  </sheetPr>
  <dimension ref="A1:F49"/>
  <sheetViews>
    <sheetView topLeftCell="A1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3062</v>
      </c>
    </row>
    <row r="10" spans="1:6" x14ac:dyDescent="0.2">
      <c r="A10" s="91" t="s">
        <v>3064</v>
      </c>
      <c r="D10" s="92" t="s">
        <v>1329</v>
      </c>
      <c r="E10" s="92" t="s">
        <v>3049</v>
      </c>
    </row>
    <row r="11" spans="1:6" x14ac:dyDescent="0.2">
      <c r="A11" s="91" t="s">
        <v>3065</v>
      </c>
      <c r="D11" s="92" t="s">
        <v>1330</v>
      </c>
      <c r="E11" s="92" t="s">
        <v>1220</v>
      </c>
    </row>
    <row r="12" spans="1:6" x14ac:dyDescent="0.2">
      <c r="A12" s="91" t="s">
        <v>3066</v>
      </c>
      <c r="D12" s="92" t="s">
        <v>1331</v>
      </c>
      <c r="E12" s="92" t="s">
        <v>3063</v>
      </c>
    </row>
    <row r="13" spans="1:6" x14ac:dyDescent="0.2">
      <c r="A13" s="91" t="s">
        <v>3067</v>
      </c>
    </row>
    <row r="14" spans="1:6" x14ac:dyDescent="0.2">
      <c r="A14" s="91" t="s">
        <v>3068</v>
      </c>
    </row>
    <row r="15" spans="1:6" x14ac:dyDescent="0.2">
      <c r="A15" s="91" t="s">
        <v>3069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146" t="s">
        <v>2973</v>
      </c>
    </row>
    <row r="19" spans="1:6" x14ac:dyDescent="0.2">
      <c r="C19" s="2"/>
    </row>
    <row r="20" spans="1:6" x14ac:dyDescent="0.2">
      <c r="A20" s="93" t="s">
        <v>3070</v>
      </c>
      <c r="B20" s="93" t="s">
        <v>3071</v>
      </c>
      <c r="C20" s="91" t="s">
        <v>3072</v>
      </c>
      <c r="F20" s="91">
        <v>1652.55</v>
      </c>
    </row>
    <row r="21" spans="1:6" x14ac:dyDescent="0.2">
      <c r="C21" s="91" t="s">
        <v>3073</v>
      </c>
    </row>
    <row r="22" spans="1:6" x14ac:dyDescent="0.2">
      <c r="A22" s="93"/>
      <c r="B22" s="93"/>
    </row>
    <row r="23" spans="1:6" x14ac:dyDescent="0.2">
      <c r="A23" s="106"/>
    </row>
    <row r="26" spans="1:6" x14ac:dyDescent="0.2">
      <c r="A26" s="1"/>
      <c r="B26" s="1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1652.55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3074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82">
    <pageSetUpPr fitToPage="1"/>
  </sheetPr>
  <dimension ref="A1:H53"/>
  <sheetViews>
    <sheetView workbookViewId="0">
      <selection activeCell="G9" sqref="G9:G12"/>
    </sheetView>
  </sheetViews>
  <sheetFormatPr defaultRowHeight="12.75" x14ac:dyDescent="0.2"/>
  <cols>
    <col min="1" max="1" width="15.140625" style="91" customWidth="1"/>
    <col min="2" max="2" width="11.85546875" style="91" customWidth="1"/>
    <col min="3" max="3" width="0.7109375" style="91" customWidth="1"/>
    <col min="4" max="4" width="21" style="91" customWidth="1"/>
    <col min="5" max="5" width="1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1221</v>
      </c>
      <c r="G9" s="91" t="s">
        <v>7612</v>
      </c>
    </row>
    <row r="10" spans="1:8" x14ac:dyDescent="0.2">
      <c r="A10" s="91" t="s">
        <v>5736</v>
      </c>
      <c r="F10" s="92" t="s">
        <v>1444</v>
      </c>
      <c r="G10" s="92" t="s">
        <v>7610</v>
      </c>
    </row>
    <row r="11" spans="1:8" x14ac:dyDescent="0.2">
      <c r="A11" s="91" t="s">
        <v>5737</v>
      </c>
      <c r="F11" s="92" t="s">
        <v>1330</v>
      </c>
      <c r="G11" s="92" t="s">
        <v>1220</v>
      </c>
    </row>
    <row r="12" spans="1:8" x14ac:dyDescent="0.2">
      <c r="A12" s="91" t="s">
        <v>5738</v>
      </c>
      <c r="F12" s="92" t="s">
        <v>1224</v>
      </c>
      <c r="G12" s="92" t="s">
        <v>7613</v>
      </c>
    </row>
    <row r="13" spans="1:8" x14ac:dyDescent="0.2">
      <c r="A13" s="91" t="s">
        <v>5739</v>
      </c>
    </row>
    <row r="14" spans="1:8" x14ac:dyDescent="0.2">
      <c r="A14" s="91" t="s">
        <v>5740</v>
      </c>
    </row>
    <row r="16" spans="1:8" s="14" customFormat="1" ht="20.100000000000001" customHeight="1" x14ac:dyDescent="0.2">
      <c r="A16" s="17" t="s">
        <v>1247</v>
      </c>
      <c r="B16" s="17" t="s">
        <v>128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A18" s="93" t="s">
        <v>7614</v>
      </c>
      <c r="B18" s="93"/>
      <c r="D18" s="91" t="s">
        <v>5742</v>
      </c>
      <c r="E18" s="2"/>
      <c r="H18" s="91">
        <v>400</v>
      </c>
    </row>
    <row r="19" spans="1:8" x14ac:dyDescent="0.2">
      <c r="D19" s="91" t="s">
        <v>5743</v>
      </c>
      <c r="H19" s="91">
        <f>80*3</f>
        <v>240</v>
      </c>
    </row>
    <row r="20" spans="1:8" x14ac:dyDescent="0.2">
      <c r="A20" s="93"/>
      <c r="B20" s="93"/>
      <c r="C20" s="93"/>
    </row>
    <row r="22" spans="1:8" x14ac:dyDescent="0.2">
      <c r="A22" s="93"/>
      <c r="B22" s="93"/>
      <c r="C22" s="93"/>
    </row>
    <row r="23" spans="1:8" x14ac:dyDescent="0.2">
      <c r="A23" s="93"/>
      <c r="B23" s="99"/>
      <c r="C23" s="99"/>
    </row>
    <row r="24" spans="1:8" x14ac:dyDescent="0.2">
      <c r="A24" s="93"/>
      <c r="B24" s="93"/>
      <c r="C24" s="93"/>
    </row>
    <row r="25" spans="1:8" x14ac:dyDescent="0.2">
      <c r="H25" s="2"/>
    </row>
    <row r="26" spans="1:8" x14ac:dyDescent="0.2">
      <c r="H26" s="2"/>
    </row>
    <row r="27" spans="1:8" x14ac:dyDescent="0.2">
      <c r="H27" s="2"/>
    </row>
    <row r="28" spans="1:8" x14ac:dyDescent="0.2">
      <c r="A28" s="93"/>
      <c r="B28" s="93"/>
      <c r="C28" s="93"/>
    </row>
    <row r="29" spans="1:8" x14ac:dyDescent="0.2">
      <c r="B29" s="94"/>
      <c r="C29" s="94"/>
    </row>
    <row r="32" spans="1:8" x14ac:dyDescent="0.2">
      <c r="B32" s="94"/>
      <c r="C32" s="94"/>
      <c r="D32" s="94"/>
      <c r="E32" s="94"/>
    </row>
    <row r="34" spans="1:8" ht="13.5" thickBot="1" x14ac:dyDescent="0.25">
      <c r="H34" s="95">
        <f>SUM(H18:H33)</f>
        <v>640</v>
      </c>
    </row>
    <row r="35" spans="1:8" ht="13.5" thickTop="1" x14ac:dyDescent="0.2"/>
    <row r="36" spans="1:8" ht="20.100000000000001" customHeight="1" x14ac:dyDescent="0.2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Hundred Forty and NO/100 -----------</v>
      </c>
      <c r="C36" s="185"/>
      <c r="D36" s="97"/>
      <c r="E36" s="97"/>
      <c r="F36" s="236"/>
      <c r="G36" s="232"/>
      <c r="H36" s="232"/>
    </row>
    <row r="37" spans="1:8" x14ac:dyDescent="0.2">
      <c r="A37" s="94"/>
    </row>
    <row r="38" spans="1:8" ht="25.5" x14ac:dyDescent="0.2">
      <c r="A38" s="91" t="s">
        <v>10</v>
      </c>
      <c r="F38" s="218" t="s">
        <v>3975</v>
      </c>
      <c r="G38" s="219"/>
      <c r="H38" s="220"/>
    </row>
    <row r="39" spans="1:8" x14ac:dyDescent="0.2">
      <c r="F39" s="227"/>
      <c r="G39" s="227"/>
      <c r="H39" s="227"/>
    </row>
    <row r="40" spans="1:8" x14ac:dyDescent="0.2">
      <c r="F40" s="228"/>
      <c r="G40" s="229"/>
      <c r="H40" s="229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H44" s="102"/>
    </row>
    <row r="48" spans="1:8" x14ac:dyDescent="0.2">
      <c r="A48" s="101"/>
      <c r="B48" s="101"/>
      <c r="D48" s="101"/>
      <c r="F48" s="101"/>
      <c r="G48" s="101"/>
      <c r="H48" s="101"/>
    </row>
    <row r="49" spans="1:6" s="61" customFormat="1" ht="17.100000000000001" customHeight="1" x14ac:dyDescent="0.2">
      <c r="A49" s="91" t="s">
        <v>4066</v>
      </c>
      <c r="B49" s="104"/>
      <c r="C49" s="104"/>
      <c r="D49" s="91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7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2-000000000000}">
  <sheetPr codeName="Sheet270">
    <pageSetUpPr fitToPage="1"/>
  </sheetPr>
  <dimension ref="A1:F50"/>
  <sheetViews>
    <sheetView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2760</v>
      </c>
    </row>
    <row r="10" spans="1:6" x14ac:dyDescent="0.2">
      <c r="A10" s="91" t="s">
        <v>2750</v>
      </c>
      <c r="D10" s="92" t="s">
        <v>1357</v>
      </c>
      <c r="E10" s="92" t="s">
        <v>2719</v>
      </c>
    </row>
    <row r="11" spans="1:6" x14ac:dyDescent="0.2">
      <c r="A11" s="91" t="s">
        <v>2751</v>
      </c>
      <c r="D11" s="92" t="s">
        <v>1330</v>
      </c>
      <c r="E11" s="92" t="s">
        <v>1220</v>
      </c>
    </row>
    <row r="12" spans="1:6" x14ac:dyDescent="0.2">
      <c r="A12" s="91" t="s">
        <v>2752</v>
      </c>
      <c r="D12" s="92" t="s">
        <v>1224</v>
      </c>
      <c r="E12" s="92" t="s">
        <v>2761</v>
      </c>
    </row>
    <row r="13" spans="1:6" x14ac:dyDescent="0.2">
      <c r="A13" s="91" t="s">
        <v>2753</v>
      </c>
    </row>
    <row r="14" spans="1:6" x14ac:dyDescent="0.2">
      <c r="A14" s="91" t="s">
        <v>2754</v>
      </c>
    </row>
    <row r="16" spans="1:6" s="14" customFormat="1" ht="20.100000000000001" customHeight="1" x14ac:dyDescent="0.2">
      <c r="A16" s="17" t="s">
        <v>1261</v>
      </c>
      <c r="B16" s="17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14" t="s">
        <v>2688</v>
      </c>
    </row>
    <row r="19" spans="1:6" x14ac:dyDescent="0.2">
      <c r="A19" s="93"/>
      <c r="B19" s="99"/>
      <c r="C19" s="14"/>
    </row>
    <row r="20" spans="1:6" x14ac:dyDescent="0.2">
      <c r="A20" s="93" t="s">
        <v>2696</v>
      </c>
      <c r="B20" s="93" t="s">
        <v>2755</v>
      </c>
      <c r="C20" s="91" t="s">
        <v>2757</v>
      </c>
      <c r="F20" s="91">
        <f>480*5</f>
        <v>2400</v>
      </c>
    </row>
    <row r="21" spans="1:6" x14ac:dyDescent="0.2">
      <c r="A21" s="93"/>
      <c r="B21" s="93"/>
    </row>
    <row r="22" spans="1:6" x14ac:dyDescent="0.2">
      <c r="A22" s="99"/>
      <c r="B22" s="99"/>
      <c r="C22" s="91" t="s">
        <v>2756</v>
      </c>
      <c r="F22" s="91">
        <f>73*12</f>
        <v>876</v>
      </c>
    </row>
    <row r="23" spans="1:6" x14ac:dyDescent="0.2">
      <c r="A23" s="99"/>
      <c r="B23" s="99"/>
    </row>
    <row r="24" spans="1:6" x14ac:dyDescent="0.2">
      <c r="A24" s="93"/>
      <c r="B24" s="93"/>
      <c r="C24" s="91" t="s">
        <v>2758</v>
      </c>
      <c r="F24" s="91">
        <f>25*2</f>
        <v>50</v>
      </c>
    </row>
    <row r="25" spans="1:6" x14ac:dyDescent="0.2">
      <c r="A25" s="99"/>
      <c r="B25" s="99"/>
    </row>
    <row r="26" spans="1:6" x14ac:dyDescent="0.2">
      <c r="A26" s="93"/>
      <c r="B26" s="93"/>
      <c r="C26" s="2"/>
    </row>
    <row r="27" spans="1:6" x14ac:dyDescent="0.2">
      <c r="F27" s="2"/>
    </row>
    <row r="28" spans="1:6" x14ac:dyDescent="0.2">
      <c r="A28" s="93"/>
      <c r="B28" s="93"/>
    </row>
    <row r="29" spans="1:6" x14ac:dyDescent="0.2">
      <c r="B29" s="94"/>
    </row>
    <row r="31" spans="1:6" ht="13.5" thickBot="1" x14ac:dyDescent="0.25">
      <c r="F31" s="95">
        <f>SUM(F18:F30)</f>
        <v>3326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2759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2-000000000000}">
  <sheetPr codeName="Sheet272"/>
  <dimension ref="A1:F51"/>
  <sheetViews>
    <sheetView zoomScaleNormal="10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3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5" spans="1:6" hidden="1" x14ac:dyDescent="0.2"/>
    <row r="8" spans="1:6" x14ac:dyDescent="0.2">
      <c r="A8" s="91" t="s">
        <v>32</v>
      </c>
      <c r="D8" s="22" t="s">
        <v>31</v>
      </c>
    </row>
    <row r="9" spans="1:6" x14ac:dyDescent="0.2">
      <c r="D9" s="92" t="s">
        <v>1434</v>
      </c>
      <c r="E9" s="91" t="s">
        <v>6005</v>
      </c>
    </row>
    <row r="10" spans="1:6" x14ac:dyDescent="0.2">
      <c r="A10" s="91" t="s">
        <v>2643</v>
      </c>
      <c r="D10" s="92" t="s">
        <v>1433</v>
      </c>
      <c r="E10" s="98" t="s">
        <v>5975</v>
      </c>
    </row>
    <row r="11" spans="1:6" x14ac:dyDescent="0.2">
      <c r="A11" s="91" t="s">
        <v>2644</v>
      </c>
      <c r="D11" s="92" t="s">
        <v>1431</v>
      </c>
      <c r="E11" s="92" t="s">
        <v>1220</v>
      </c>
    </row>
    <row r="12" spans="1:6" x14ac:dyDescent="0.2">
      <c r="A12" s="91" t="s">
        <v>2645</v>
      </c>
      <c r="D12" s="92" t="s">
        <v>1268</v>
      </c>
      <c r="E12" s="92" t="s">
        <v>6006</v>
      </c>
    </row>
    <row r="13" spans="1:6" x14ac:dyDescent="0.2">
      <c r="A13" s="91" t="s">
        <v>2646</v>
      </c>
    </row>
    <row r="14" spans="1:6" x14ac:dyDescent="0.2">
      <c r="A14" s="91" t="s">
        <v>2647</v>
      </c>
    </row>
    <row r="16" spans="1:6" s="14" customFormat="1" ht="20.100000000000001" customHeight="1" x14ac:dyDescent="0.2">
      <c r="A16" s="17" t="s">
        <v>1429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4449</v>
      </c>
    </row>
    <row r="20" spans="1:6" x14ac:dyDescent="0.2">
      <c r="A20" s="111" t="s">
        <v>5932</v>
      </c>
      <c r="B20" s="93" t="s">
        <v>5933</v>
      </c>
      <c r="C20" s="91" t="s">
        <v>6007</v>
      </c>
      <c r="F20" s="110">
        <f>58*28</f>
        <v>1624</v>
      </c>
    </row>
    <row r="21" spans="1:6" x14ac:dyDescent="0.2">
      <c r="A21" s="108"/>
      <c r="B21" s="138"/>
      <c r="C21" s="91" t="s">
        <v>6008</v>
      </c>
      <c r="F21" s="110">
        <f>58*23</f>
        <v>1334</v>
      </c>
    </row>
    <row r="22" spans="1:6" x14ac:dyDescent="0.2">
      <c r="A22" s="108"/>
      <c r="B22" s="138"/>
      <c r="F22" s="110"/>
    </row>
    <row r="23" spans="1:6" x14ac:dyDescent="0.2">
      <c r="A23" s="108"/>
      <c r="B23" s="138"/>
    </row>
    <row r="24" spans="1:6" x14ac:dyDescent="0.2">
      <c r="A24" s="108"/>
      <c r="B24" s="138"/>
    </row>
    <row r="25" spans="1:6" x14ac:dyDescent="0.2">
      <c r="A25" s="108"/>
      <c r="B25" s="94"/>
    </row>
    <row r="26" spans="1:6" x14ac:dyDescent="0.2">
      <c r="A26" s="108"/>
    </row>
    <row r="27" spans="1:6" x14ac:dyDescent="0.2">
      <c r="A27" s="108"/>
    </row>
    <row r="32" spans="1:6" ht="13.5" thickBot="1" x14ac:dyDescent="0.25">
      <c r="F32" s="95">
        <f>SUM(F18:F31)</f>
        <v>2958</v>
      </c>
    </row>
    <row r="33" spans="1:6" ht="13.5" thickTop="1" x14ac:dyDescent="0.2"/>
    <row r="34" spans="1:6" ht="20.100000000000001" customHeight="1" x14ac:dyDescent="0.2">
      <c r="A34" s="96" t="s">
        <v>122</v>
      </c>
      <c r="B34" s="185" t="str">
        <f>IF(OR(F32&gt;1000000,F32&lt;=0),"",IF(F32&lt;1000,"",IF(MOD(F32,1000000)&gt;=100000,INDEX(numbers,TRUNC(MOD(F32,1000000)/100000,0)+1)&amp;" Hundred","")&amp;IF(MOD(F32,100000)&gt;=20000," "&amp;INDEX(tens,TRUNC(MOD(F32,100000)/10000,0)+1)&amp;IF(MOD(MOD(F32,100000),10000)&gt;=1000,"-"&amp;INDEX(numbers,TRUNC(MOD(MOD(F32,100000),10000)/1000,0)+1),""),IF(MOD(F32,100000)&gt;=1000," "&amp;INDEX(numbers,TRUNC(MOD(F32,100000)/1000,0)+1),""))&amp;" Thousand") &amp; IF(F32&lt;1,"Zero Dollars",IF(MOD(F32,1000)&gt;=100," "&amp;INDEX(numbers,TRUNC(MOD(F32,1000)/100,0)+1)&amp;" Hundred","")&amp;IF(MOD(F32,100)&gt;=20," "&amp;INDEX(tens,TRUNC(MOD(F32,100)/10,0)+1)&amp;IF(MOD(MOD(F32,100),10)&gt;=1,"-"&amp;INDEX(numbers,TRUNC(MOD(MOD(F32,100),10),0)+1),""),IF(MOD(F32,100)&gt;=1," "&amp;INDEX(numbers,TRUNC(MOD(F32,100),0)+1),""))&amp;"") &amp; " and " &amp; IF(MOD(F32,1)&lt;0.005,"NO",ROUND(MOD(F32,1)*100,0)) &amp; "/100 -----------")</f>
        <v xml:space="preserve"> Two Thousand Nine Hundred Fifty-Eight and NO/100 -----------</v>
      </c>
      <c r="C34" s="97"/>
      <c r="D34" s="97"/>
      <c r="E34" s="97"/>
      <c r="F34" s="97"/>
    </row>
    <row r="35" spans="1:6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91" t="s">
        <v>4066</v>
      </c>
      <c r="B47" s="104"/>
      <c r="D47" s="61" t="s">
        <v>3</v>
      </c>
    </row>
    <row r="48" spans="1:6" x14ac:dyDescent="0.2">
      <c r="D48" s="91" t="s">
        <v>2</v>
      </c>
    </row>
    <row r="50" spans="4:4" x14ac:dyDescent="0.2">
      <c r="D50" s="2" t="s">
        <v>1</v>
      </c>
    </row>
    <row r="51" spans="4:4" x14ac:dyDescent="0.2">
      <c r="D51" s="2" t="s">
        <v>0</v>
      </c>
    </row>
  </sheetData>
  <customSheetViews>
    <customSheetView guid="{6428A7A0-B31B-40C1-A13E-AD0DCC619E51}" hiddenRows="1">
      <selection activeCell="E9" sqref="E9"/>
      <pageMargins left="0.74803149606299213" right="0.7480314960629921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3" orientation="portrait" r:id="rId2"/>
  <headerFooter alignWithMargins="0"/>
</worksheet>
</file>

<file path=xl/worksheets/sheet7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2-000000000000}">
  <sheetPr codeName="Sheet244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23" style="1" customWidth="1"/>
    <col min="4" max="4" width="16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2113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1517</v>
      </c>
      <c r="E9" s="91" t="s">
        <v>4741</v>
      </c>
      <c r="F9" s="91"/>
    </row>
    <row r="10" spans="1:6" x14ac:dyDescent="0.2">
      <c r="A10" s="91" t="s">
        <v>2321</v>
      </c>
      <c r="B10" s="91"/>
      <c r="C10" s="91"/>
      <c r="D10" s="92" t="s">
        <v>1357</v>
      </c>
      <c r="E10" s="98" t="s">
        <v>4723</v>
      </c>
      <c r="F10" s="91"/>
    </row>
    <row r="11" spans="1:6" x14ac:dyDescent="0.2">
      <c r="A11" s="91" t="s">
        <v>2322</v>
      </c>
      <c r="B11" s="91"/>
      <c r="C11" s="91"/>
      <c r="D11" s="92" t="s">
        <v>1330</v>
      </c>
      <c r="E11" s="92" t="s">
        <v>1220</v>
      </c>
      <c r="F11" s="91"/>
    </row>
    <row r="12" spans="1:6" x14ac:dyDescent="0.2">
      <c r="A12" s="91" t="s">
        <v>2323</v>
      </c>
      <c r="B12" s="91"/>
      <c r="C12" s="91"/>
      <c r="D12" s="92" t="s">
        <v>1377</v>
      </c>
      <c r="E12" s="92" t="s">
        <v>4742</v>
      </c>
      <c r="F12" s="91"/>
    </row>
    <row r="13" spans="1:6" x14ac:dyDescent="0.2">
      <c r="A13" s="91" t="s">
        <v>1404</v>
      </c>
      <c r="B13" s="91"/>
      <c r="C13" s="91"/>
      <c r="D13" s="91"/>
      <c r="E13" s="91"/>
      <c r="F13" s="91"/>
    </row>
    <row r="14" spans="1:6" x14ac:dyDescent="0.2">
      <c r="A14" s="91" t="s">
        <v>2324</v>
      </c>
      <c r="B14" s="91"/>
      <c r="C14" s="91"/>
      <c r="D14" s="91"/>
      <c r="E14" s="91"/>
      <c r="F14" s="91"/>
    </row>
    <row r="15" spans="1:6" x14ac:dyDescent="0.2">
      <c r="A15" s="91" t="s">
        <v>2325</v>
      </c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91"/>
      <c r="B18" s="91"/>
      <c r="C18" s="146"/>
      <c r="D18" s="91"/>
      <c r="E18" s="91"/>
      <c r="F18" s="91"/>
    </row>
    <row r="19" spans="1:6" x14ac:dyDescent="0.2">
      <c r="A19" s="93" t="s">
        <v>4743</v>
      </c>
      <c r="B19" s="93" t="s">
        <v>4744</v>
      </c>
      <c r="C19" s="91" t="s">
        <v>4745</v>
      </c>
      <c r="D19" s="91"/>
      <c r="E19" s="91"/>
      <c r="F19" s="91">
        <v>250</v>
      </c>
    </row>
    <row r="20" spans="1:6" x14ac:dyDescent="0.2">
      <c r="C20" s="91" t="s">
        <v>4746</v>
      </c>
    </row>
    <row r="21" spans="1:6" x14ac:dyDescent="0.2">
      <c r="A21" s="93"/>
      <c r="B21" s="93"/>
      <c r="D21" s="91"/>
      <c r="E21" s="91"/>
      <c r="F21" s="91"/>
    </row>
    <row r="22" spans="1:6" x14ac:dyDescent="0.2">
      <c r="C22" s="91" t="s">
        <v>2147</v>
      </c>
      <c r="D22" s="91"/>
      <c r="E22" s="91"/>
      <c r="F22" s="91">
        <f>F19*6%</f>
        <v>15</v>
      </c>
    </row>
    <row r="23" spans="1:6" x14ac:dyDescent="0.2">
      <c r="C23" s="91"/>
      <c r="D23" s="91"/>
      <c r="E23" s="91"/>
      <c r="F23" s="91"/>
    </row>
    <row r="24" spans="1:6" x14ac:dyDescent="0.2">
      <c r="A24" s="93"/>
      <c r="B24" s="93"/>
      <c r="C24" s="91"/>
      <c r="D24" s="91"/>
      <c r="E24" s="91"/>
      <c r="F24" s="91"/>
    </row>
    <row r="25" spans="1:6" x14ac:dyDescent="0.2">
      <c r="A25" s="93"/>
      <c r="B25" s="93"/>
      <c r="C25" s="91"/>
      <c r="D25" s="91"/>
      <c r="E25" s="91"/>
      <c r="F25" s="91"/>
    </row>
    <row r="26" spans="1:6" x14ac:dyDescent="0.2">
      <c r="A26" s="93"/>
      <c r="B26" s="93"/>
      <c r="C26" s="91"/>
      <c r="D26" s="91"/>
      <c r="E26" s="91"/>
      <c r="F26" s="91"/>
    </row>
    <row r="27" spans="1:6" x14ac:dyDescent="0.2">
      <c r="A27" s="93"/>
      <c r="B27" s="93"/>
      <c r="C27" s="91"/>
      <c r="D27" s="91"/>
      <c r="E27" s="91"/>
      <c r="F27" s="91"/>
    </row>
    <row r="28" spans="1:6" x14ac:dyDescent="0.2">
      <c r="A28" s="93"/>
      <c r="B28" s="94"/>
      <c r="C28" s="91"/>
      <c r="D28" s="91"/>
      <c r="E28" s="91"/>
      <c r="F28" s="91"/>
    </row>
    <row r="29" spans="1:6" x14ac:dyDescent="0.2">
      <c r="A29" s="93"/>
      <c r="B29" s="94"/>
      <c r="C29" s="2"/>
      <c r="D29" s="91"/>
      <c r="E29" s="91"/>
      <c r="F29" s="91"/>
    </row>
    <row r="30" spans="1:6" x14ac:dyDescent="0.2">
      <c r="B30" s="94"/>
      <c r="C30" s="91"/>
      <c r="D30" s="91"/>
      <c r="E30" s="91"/>
      <c r="F30" s="91"/>
    </row>
    <row r="31" spans="1:6" x14ac:dyDescent="0.2">
      <c r="A31" s="93"/>
      <c r="B31" s="93"/>
      <c r="C31" s="91"/>
      <c r="D31" s="91"/>
      <c r="E31" s="91"/>
      <c r="F31" s="91"/>
    </row>
    <row r="32" spans="1:6" x14ac:dyDescent="0.2">
      <c r="A32" s="91"/>
      <c r="B32" s="91"/>
      <c r="C32" s="91"/>
      <c r="D32" s="91"/>
      <c r="E32" s="91"/>
    </row>
    <row r="33" spans="1:6" ht="13.5" thickBot="1" x14ac:dyDescent="0.25">
      <c r="A33" s="91"/>
      <c r="B33" s="91"/>
      <c r="C33" s="91"/>
      <c r="D33" s="91"/>
      <c r="E33" s="91"/>
      <c r="F33" s="107">
        <f>SUM(F19:F31)</f>
        <v>265</v>
      </c>
    </row>
    <row r="34" spans="1:6" ht="14.25" thickTop="1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Sixty-Five and NO/100 -----------</v>
      </c>
      <c r="C35" s="97"/>
      <c r="D35" s="97"/>
      <c r="E35" s="97"/>
      <c r="F35" s="97"/>
    </row>
    <row r="36" spans="1:6" x14ac:dyDescent="0.2">
      <c r="A36" s="94" t="s">
        <v>11</v>
      </c>
      <c r="B36" s="91"/>
      <c r="C36" s="91"/>
    </row>
    <row r="37" spans="1:6" ht="25.5" x14ac:dyDescent="0.2">
      <c r="A37" s="91" t="s">
        <v>10</v>
      </c>
      <c r="B37" s="91"/>
      <c r="C37" s="91"/>
      <c r="D37" s="218" t="s">
        <v>3975</v>
      </c>
      <c r="E37" s="219"/>
      <c r="F37" s="220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/>
      <c r="B40" s="91"/>
      <c r="C40" s="99"/>
      <c r="D40" s="228"/>
      <c r="E40" s="229"/>
      <c r="F40" s="229"/>
    </row>
    <row r="41" spans="1:6" x14ac:dyDescent="0.2">
      <c r="A41" s="23"/>
      <c r="B41" s="101"/>
      <c r="C41" s="91"/>
      <c r="D41" s="91"/>
      <c r="E41" s="91"/>
      <c r="F41" s="91"/>
    </row>
    <row r="42" spans="1:6" x14ac:dyDescent="0.2">
      <c r="B42" s="91"/>
      <c r="C42" s="91"/>
      <c r="D42" s="91"/>
      <c r="E42" s="91"/>
      <c r="F42" s="91"/>
    </row>
    <row r="43" spans="1:6" x14ac:dyDescent="0.2">
      <c r="A43" s="98" t="s">
        <v>8</v>
      </c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/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3" t="s">
        <v>4066</v>
      </c>
      <c r="B48" s="104"/>
      <c r="C48" s="61"/>
      <c r="D48" s="61" t="s">
        <v>3</v>
      </c>
      <c r="E48" s="61"/>
      <c r="F48" s="61"/>
    </row>
    <row r="49" spans="1:6" x14ac:dyDescent="0.2">
      <c r="A49" s="91"/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2-000000000000}">
  <sheetPr codeName="Sheet245"/>
  <dimension ref="A1:F54"/>
  <sheetViews>
    <sheetView topLeftCell="A4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5" spans="1:6" hidden="1" x14ac:dyDescent="0.2"/>
    <row r="8" spans="1:6" x14ac:dyDescent="0.2">
      <c r="A8" s="91" t="s">
        <v>32</v>
      </c>
      <c r="D8" s="22" t="s">
        <v>31</v>
      </c>
    </row>
    <row r="9" spans="1:6" x14ac:dyDescent="0.2">
      <c r="D9" s="92" t="s">
        <v>1300</v>
      </c>
      <c r="E9" s="91" t="s">
        <v>2962</v>
      </c>
    </row>
    <row r="10" spans="1:6" x14ac:dyDescent="0.2">
      <c r="A10" s="91" t="s">
        <v>2320</v>
      </c>
      <c r="D10" s="92" t="s">
        <v>1356</v>
      </c>
      <c r="E10" s="92" t="s">
        <v>2908</v>
      </c>
    </row>
    <row r="11" spans="1:6" x14ac:dyDescent="0.2">
      <c r="D11" s="92" t="s">
        <v>1364</v>
      </c>
      <c r="E11" s="92" t="s">
        <v>1220</v>
      </c>
    </row>
    <row r="12" spans="1:6" x14ac:dyDescent="0.2">
      <c r="D12" s="92" t="s">
        <v>1224</v>
      </c>
      <c r="E12" s="92" t="s">
        <v>2963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9"/>
      <c r="C18" s="2" t="s">
        <v>2965</v>
      </c>
    </row>
    <row r="19" spans="1:6" x14ac:dyDescent="0.2">
      <c r="C19" s="2"/>
    </row>
    <row r="20" spans="1:6" x14ac:dyDescent="0.2">
      <c r="A20" s="93" t="s">
        <v>2929</v>
      </c>
      <c r="B20" s="94" t="s">
        <v>2964</v>
      </c>
      <c r="C20" s="91" t="s">
        <v>2966</v>
      </c>
      <c r="F20" s="91">
        <v>800</v>
      </c>
    </row>
    <row r="21" spans="1:6" x14ac:dyDescent="0.2">
      <c r="A21" s="98"/>
      <c r="C21" s="91" t="s">
        <v>2967</v>
      </c>
    </row>
    <row r="22" spans="1:6" x14ac:dyDescent="0.2">
      <c r="A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</row>
    <row r="27" spans="1:6" x14ac:dyDescent="0.2">
      <c r="A27" s="93"/>
      <c r="B27" s="99"/>
    </row>
    <row r="28" spans="1:6" x14ac:dyDescent="0.2">
      <c r="A28" s="93"/>
      <c r="C28" s="2"/>
    </row>
    <row r="29" spans="1:6" x14ac:dyDescent="0.2">
      <c r="A29" s="93"/>
    </row>
    <row r="30" spans="1:6" x14ac:dyDescent="0.2">
      <c r="A30" s="93"/>
    </row>
    <row r="31" spans="1:6" x14ac:dyDescent="0.2">
      <c r="A31" s="93"/>
    </row>
    <row r="32" spans="1:6" x14ac:dyDescent="0.2">
      <c r="A32" s="93"/>
      <c r="B32" s="99"/>
    </row>
    <row r="33" spans="1:6" x14ac:dyDescent="0.2">
      <c r="A33" s="93"/>
    </row>
    <row r="34" spans="1:6" ht="13.5" thickBot="1" x14ac:dyDescent="0.25">
      <c r="A34" s="93"/>
      <c r="F34" s="107"/>
    </row>
    <row r="35" spans="1:6" ht="14.25" thickTop="1" thickBot="1" x14ac:dyDescent="0.25">
      <c r="A35" s="93"/>
      <c r="F35" s="107">
        <f>SUM(F18:F34)</f>
        <v>800</v>
      </c>
    </row>
    <row r="36" spans="1:6" ht="26.25" thickTop="1" x14ac:dyDescent="0.2">
      <c r="A36" s="106"/>
      <c r="D36" s="218" t="s">
        <v>3975</v>
      </c>
      <c r="E36" s="219"/>
      <c r="F36" s="220"/>
    </row>
    <row r="37" spans="1:6" ht="20.100000000000001" customHeight="1" x14ac:dyDescent="0.2">
      <c r="A37" s="96" t="s">
        <v>1248</v>
      </c>
      <c r="B37" s="185" t="s">
        <v>2906</v>
      </c>
      <c r="C37" s="97"/>
      <c r="D37" s="222"/>
      <c r="E37" s="222"/>
      <c r="F37" s="222"/>
    </row>
    <row r="38" spans="1:6" ht="20.100000000000001" customHeight="1" x14ac:dyDescent="0.2">
      <c r="A38" s="113"/>
      <c r="B38" s="103"/>
      <c r="C38" s="61"/>
      <c r="D38" s="222"/>
      <c r="E38" s="222"/>
      <c r="F38" s="222"/>
    </row>
    <row r="39" spans="1:6" x14ac:dyDescent="0.2">
      <c r="A39" s="94"/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120</v>
      </c>
      <c r="C42" s="99"/>
    </row>
    <row r="43" spans="1:6" x14ac:dyDescent="0.2">
      <c r="A43" s="101"/>
      <c r="B43" s="101"/>
    </row>
    <row r="45" spans="1:6" x14ac:dyDescent="0.2">
      <c r="A45" s="91" t="s">
        <v>8</v>
      </c>
      <c r="D45" s="98" t="s">
        <v>7</v>
      </c>
      <c r="F45" s="102"/>
    </row>
    <row r="47" spans="1:6" x14ac:dyDescent="0.2">
      <c r="A47" s="91" t="s">
        <v>3972</v>
      </c>
    </row>
    <row r="49" spans="1:6" x14ac:dyDescent="0.2">
      <c r="A49" s="101" t="s">
        <v>4066</v>
      </c>
      <c r="B49" s="101"/>
      <c r="D49" s="101"/>
      <c r="E49" s="101"/>
      <c r="F49" s="101"/>
    </row>
    <row r="50" spans="1:6" s="61" customFormat="1" ht="17.100000000000001" customHeight="1" x14ac:dyDescent="0.2">
      <c r="A50" s="61" t="s">
        <v>35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hiddenRows="1" topLeftCell="A4">
      <selection activeCell="E9" sqref="E9"/>
      <pageMargins left="0.74803149606299213" right="0.74803149606299213" top="0.59055118110236227" bottom="0.78740157480314965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0" orientation="portrait" r:id="rId2"/>
  <headerFooter alignWithMargins="0"/>
</worksheet>
</file>

<file path=xl/worksheets/sheet7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2-000000000000}">
  <sheetPr codeName="Sheet207">
    <pageSetUpPr fitToPage="1"/>
  </sheetPr>
  <dimension ref="A1:F52"/>
  <sheetViews>
    <sheetView workbookViewId="0">
      <selection activeCell="D24" sqref="D2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2269</v>
      </c>
      <c r="D9" s="92" t="s">
        <v>1300</v>
      </c>
      <c r="E9" s="91" t="s">
        <v>2267</v>
      </c>
    </row>
    <row r="10" spans="1:6" x14ac:dyDescent="0.2">
      <c r="A10" s="91" t="s">
        <v>2270</v>
      </c>
      <c r="D10" s="92" t="s">
        <v>1356</v>
      </c>
      <c r="E10" s="92" t="s">
        <v>2245</v>
      </c>
    </row>
    <row r="11" spans="1:6" x14ac:dyDescent="0.2">
      <c r="A11" s="91" t="s">
        <v>1973</v>
      </c>
      <c r="D11" s="92" t="s">
        <v>1364</v>
      </c>
      <c r="E11" s="92" t="s">
        <v>1220</v>
      </c>
    </row>
    <row r="12" spans="1:6" x14ac:dyDescent="0.2">
      <c r="A12" s="91" t="s">
        <v>2271</v>
      </c>
      <c r="D12" s="92" t="s">
        <v>1224</v>
      </c>
      <c r="E12" s="92" t="s">
        <v>2268</v>
      </c>
    </row>
    <row r="13" spans="1:6" x14ac:dyDescent="0.2">
      <c r="A13" s="91" t="s">
        <v>2272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2273</v>
      </c>
    </row>
    <row r="19" spans="1:6" x14ac:dyDescent="0.2">
      <c r="A19" s="106"/>
      <c r="C19" s="2"/>
    </row>
    <row r="20" spans="1:6" x14ac:dyDescent="0.2">
      <c r="A20" s="137" t="s">
        <v>2274</v>
      </c>
      <c r="B20" s="99" t="s">
        <v>2275</v>
      </c>
      <c r="C20" s="91" t="s">
        <v>2276</v>
      </c>
      <c r="F20" s="91">
        <v>3750</v>
      </c>
    </row>
    <row r="21" spans="1:6" x14ac:dyDescent="0.2">
      <c r="A21" s="106"/>
      <c r="C21" s="91" t="s">
        <v>2277</v>
      </c>
    </row>
    <row r="22" spans="1:6" x14ac:dyDescent="0.2">
      <c r="A22" s="137"/>
      <c r="C22" s="91" t="s">
        <v>2278</v>
      </c>
    </row>
    <row r="23" spans="1:6" x14ac:dyDescent="0.2">
      <c r="A23" s="106"/>
      <c r="C23" s="91" t="s">
        <v>2279</v>
      </c>
    </row>
    <row r="24" spans="1:6" x14ac:dyDescent="0.2">
      <c r="A24" s="137"/>
      <c r="C24" s="91" t="s">
        <v>2280</v>
      </c>
    </row>
    <row r="25" spans="1:6" x14ac:dyDescent="0.2">
      <c r="A25" s="106"/>
      <c r="C25" s="143"/>
    </row>
    <row r="26" spans="1:6" x14ac:dyDescent="0.2">
      <c r="A26" s="106"/>
    </row>
    <row r="28" spans="1:6" x14ac:dyDescent="0.2">
      <c r="A28" s="106"/>
    </row>
    <row r="29" spans="1:6" x14ac:dyDescent="0.2">
      <c r="A29" s="106"/>
    </row>
    <row r="31" spans="1:6" x14ac:dyDescent="0.2">
      <c r="A31" s="106"/>
    </row>
    <row r="32" spans="1:6" ht="13.5" thickBot="1" x14ac:dyDescent="0.25">
      <c r="A32" s="106"/>
      <c r="F32" s="107">
        <f>SUM(F19:F31)</f>
        <v>3750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96" t="s">
        <v>2281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7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2-000000000000}">
  <sheetPr codeName="Sheet208">
    <pageSetUpPr fitToPage="1"/>
  </sheetPr>
  <dimension ref="A1:F50"/>
  <sheetViews>
    <sheetView topLeftCell="A13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1358</v>
      </c>
      <c r="E9" s="91" t="s">
        <v>2186</v>
      </c>
    </row>
    <row r="10" spans="1:6" x14ac:dyDescent="0.2">
      <c r="A10" s="91" t="s">
        <v>2188</v>
      </c>
      <c r="D10" s="92" t="s">
        <v>1357</v>
      </c>
      <c r="E10" s="92" t="s">
        <v>2175</v>
      </c>
    </row>
    <row r="11" spans="1:6" x14ac:dyDescent="0.2">
      <c r="A11" s="91" t="s">
        <v>2189</v>
      </c>
      <c r="D11" s="92" t="s">
        <v>1330</v>
      </c>
      <c r="E11" s="92" t="s">
        <v>1220</v>
      </c>
    </row>
    <row r="12" spans="1:6" x14ac:dyDescent="0.2">
      <c r="A12" s="91" t="s">
        <v>2190</v>
      </c>
      <c r="D12" s="92" t="s">
        <v>1224</v>
      </c>
      <c r="E12" s="92" t="s">
        <v>2187</v>
      </c>
    </row>
    <row r="13" spans="1:6" x14ac:dyDescent="0.2">
      <c r="A13" s="91" t="s">
        <v>2191</v>
      </c>
    </row>
    <row r="14" spans="1:6" x14ac:dyDescent="0.2">
      <c r="A14" s="91" t="s">
        <v>2192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 t="s">
        <v>2174</v>
      </c>
      <c r="B18" s="93" t="s">
        <v>2193</v>
      </c>
      <c r="C18" s="146" t="s">
        <v>2194</v>
      </c>
    </row>
    <row r="19" spans="1:6" x14ac:dyDescent="0.2">
      <c r="A19" s="94"/>
      <c r="C19" s="91" t="s">
        <v>2195</v>
      </c>
      <c r="F19" s="91">
        <v>588</v>
      </c>
    </row>
    <row r="20" spans="1:6" x14ac:dyDescent="0.2">
      <c r="C20" s="91" t="s">
        <v>1622</v>
      </c>
      <c r="F20" s="91">
        <v>588</v>
      </c>
    </row>
    <row r="21" spans="1:6" x14ac:dyDescent="0.2">
      <c r="A21" s="93"/>
      <c r="B21" s="93"/>
      <c r="C21" s="91" t="s">
        <v>2196</v>
      </c>
      <c r="F21" s="91">
        <v>588</v>
      </c>
    </row>
    <row r="27" spans="1:6" x14ac:dyDescent="0.2">
      <c r="F27" s="2"/>
    </row>
    <row r="28" spans="1:6" x14ac:dyDescent="0.2">
      <c r="B28" s="94"/>
    </row>
    <row r="29" spans="1:6" x14ac:dyDescent="0.2">
      <c r="B29" s="94"/>
    </row>
    <row r="31" spans="1:6" ht="13.5" thickBot="1" x14ac:dyDescent="0.25">
      <c r="F31" s="95">
        <f>SUM(F18:F30)</f>
        <v>1764</v>
      </c>
    </row>
    <row r="32" spans="1:6" ht="13.5" thickTop="1" x14ac:dyDescent="0.2"/>
    <row r="33" spans="1:6" ht="20.100000000000001" customHeight="1" x14ac:dyDescent="0.2">
      <c r="A33" s="96" t="s">
        <v>1075</v>
      </c>
      <c r="B33" s="96" t="s">
        <v>2197</v>
      </c>
      <c r="C33" s="97"/>
      <c r="D33" s="97"/>
      <c r="E33" s="97"/>
      <c r="F33" s="97"/>
    </row>
    <row r="34" spans="1:6" ht="13.5" thickBot="1" x14ac:dyDescent="0.25">
      <c r="A34" s="94"/>
      <c r="F34" s="107"/>
    </row>
    <row r="35" spans="1:6" ht="13.5" thickTop="1" x14ac:dyDescent="0.2">
      <c r="A35" s="98" t="s">
        <v>10</v>
      </c>
    </row>
    <row r="36" spans="1:6" ht="25.5" x14ac:dyDescent="0.2">
      <c r="A36" s="98"/>
      <c r="D36" s="218" t="s">
        <v>3975</v>
      </c>
      <c r="E36" s="219"/>
      <c r="F36" s="220"/>
    </row>
    <row r="37" spans="1:6" x14ac:dyDescent="0.2">
      <c r="A37" s="98"/>
    </row>
    <row r="38" spans="1:6" x14ac:dyDescent="0.2">
      <c r="A38" s="98"/>
    </row>
    <row r="39" spans="1:6" x14ac:dyDescent="0.2">
      <c r="A39" s="98"/>
      <c r="C39" s="99"/>
      <c r="D39" s="227"/>
      <c r="E39" s="227"/>
      <c r="F39" s="227"/>
    </row>
    <row r="40" spans="1:6" x14ac:dyDescent="0.2">
      <c r="A40" s="98"/>
      <c r="D40" s="228"/>
      <c r="E40" s="229"/>
      <c r="F40" s="229"/>
    </row>
    <row r="42" spans="1:6" x14ac:dyDescent="0.2">
      <c r="A42" s="98"/>
    </row>
    <row r="43" spans="1:6" x14ac:dyDescent="0.2">
      <c r="A43" s="98"/>
    </row>
    <row r="44" spans="1:6" x14ac:dyDescent="0.2">
      <c r="A44" s="98"/>
    </row>
    <row r="45" spans="1:6" x14ac:dyDescent="0.2">
      <c r="A45" s="100"/>
      <c r="B45" s="101"/>
      <c r="D45" s="101"/>
      <c r="E45" s="101"/>
      <c r="F45" s="101"/>
    </row>
    <row r="46" spans="1:6" s="61" customFormat="1" ht="17.100000000000001" customHeight="1" x14ac:dyDescent="0.2">
      <c r="A46" s="103" t="s">
        <v>35</v>
      </c>
      <c r="B46" s="104"/>
      <c r="D46" s="61" t="s">
        <v>3</v>
      </c>
    </row>
    <row r="47" spans="1:6" x14ac:dyDescent="0.2">
      <c r="A47" s="98" t="s">
        <v>3972</v>
      </c>
      <c r="D47" s="91" t="s">
        <v>2</v>
      </c>
    </row>
    <row r="48" spans="1:6" x14ac:dyDescent="0.2">
      <c r="A48" s="98"/>
    </row>
    <row r="49" spans="1:4" x14ac:dyDescent="0.2">
      <c r="A49" s="91" t="s">
        <v>4066</v>
      </c>
      <c r="D49" s="2" t="s">
        <v>1</v>
      </c>
    </row>
    <row r="50" spans="1:4" x14ac:dyDescent="0.2">
      <c r="D50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2-000000000000}">
  <sheetPr codeName="Sheet199">
    <pageSetUpPr fitToPage="1"/>
  </sheetPr>
  <dimension ref="A1:G55"/>
  <sheetViews>
    <sheetView topLeftCell="A19"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28515625" style="120" customWidth="1"/>
    <col min="3" max="3" width="21" style="120" customWidth="1"/>
    <col min="4" max="4" width="16.42578125" style="120" customWidth="1"/>
    <col min="5" max="5" width="8.7109375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/>
      <c r="B9" s="61"/>
      <c r="C9" s="61"/>
      <c r="D9" s="113" t="s">
        <v>1353</v>
      </c>
      <c r="E9" s="61" t="s">
        <v>3804</v>
      </c>
      <c r="F9" s="61"/>
    </row>
    <row r="10" spans="1:7" s="38" customFormat="1" ht="12.75" customHeight="1" x14ac:dyDescent="0.2">
      <c r="A10" s="61" t="s">
        <v>2140</v>
      </c>
      <c r="B10" s="61"/>
      <c r="C10" s="61"/>
      <c r="D10" s="113" t="s">
        <v>1335</v>
      </c>
      <c r="E10" s="113" t="s">
        <v>3786</v>
      </c>
      <c r="F10" s="61"/>
    </row>
    <row r="11" spans="1:7" s="38" customFormat="1" ht="12.75" customHeight="1" x14ac:dyDescent="0.2">
      <c r="A11" s="61" t="s">
        <v>2141</v>
      </c>
      <c r="B11" s="61"/>
      <c r="C11" s="61"/>
      <c r="D11" s="113" t="s">
        <v>1354</v>
      </c>
      <c r="E11" s="113" t="s">
        <v>1220</v>
      </c>
      <c r="F11" s="61"/>
    </row>
    <row r="12" spans="1:7" s="38" customFormat="1" ht="12.75" customHeight="1" x14ac:dyDescent="0.2">
      <c r="A12" s="61" t="s">
        <v>2142</v>
      </c>
      <c r="B12" s="61"/>
      <c r="C12" s="61"/>
      <c r="D12" s="113" t="s">
        <v>1377</v>
      </c>
      <c r="E12" s="113" t="s">
        <v>3805</v>
      </c>
      <c r="F12" s="61"/>
    </row>
    <row r="13" spans="1:7" s="38" customFormat="1" ht="12.75" customHeight="1" x14ac:dyDescent="0.2">
      <c r="A13" s="61" t="s">
        <v>1611</v>
      </c>
      <c r="B13" s="61"/>
      <c r="C13" s="61"/>
      <c r="D13" s="61"/>
      <c r="E13" s="61"/>
      <c r="F13" s="61"/>
    </row>
    <row r="14" spans="1:7" s="38" customFormat="1" ht="12.75" customHeight="1" x14ac:dyDescent="0.2"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 t="s">
        <v>2143</v>
      </c>
      <c r="D18" s="61"/>
      <c r="E18" s="61"/>
      <c r="F18" s="61"/>
      <c r="G18" s="55"/>
    </row>
    <row r="19" spans="1:7" s="38" customFormat="1" ht="12.75" customHeight="1" x14ac:dyDescent="0.2">
      <c r="C19" s="14"/>
      <c r="E19" s="61"/>
      <c r="F19" s="61"/>
      <c r="G19" s="55"/>
    </row>
    <row r="20" spans="1:7" s="38" customFormat="1" ht="12.75" customHeight="1" x14ac:dyDescent="0.2">
      <c r="A20" s="140" t="s">
        <v>2144</v>
      </c>
      <c r="B20" s="142" t="s">
        <v>2145</v>
      </c>
      <c r="C20" s="61" t="s">
        <v>2146</v>
      </c>
      <c r="F20" s="61">
        <v>2000</v>
      </c>
      <c r="G20" s="55"/>
    </row>
    <row r="21" spans="1:7" s="38" customFormat="1" ht="12.75" customHeight="1" x14ac:dyDescent="0.2">
      <c r="A21" s="129"/>
      <c r="B21" s="103"/>
      <c r="C21" s="61"/>
      <c r="D21" s="61"/>
      <c r="E21" s="61"/>
      <c r="F21" s="61"/>
      <c r="G21" s="55"/>
    </row>
    <row r="22" spans="1:7" s="38" customFormat="1" ht="12.75" customHeight="1" x14ac:dyDescent="0.2">
      <c r="A22" s="118"/>
      <c r="B22" s="103"/>
      <c r="C22" s="61" t="s">
        <v>2147</v>
      </c>
      <c r="D22" s="61"/>
      <c r="E22" s="61"/>
      <c r="F22" s="61">
        <f>F20*6%</f>
        <v>120</v>
      </c>
      <c r="G22" s="55"/>
    </row>
    <row r="23" spans="1:7" s="38" customFormat="1" ht="12.75" customHeight="1" x14ac:dyDescent="0.2">
      <c r="A23" s="118"/>
      <c r="B23" s="103"/>
      <c r="C23" s="61"/>
      <c r="D23" s="61"/>
      <c r="E23" s="61"/>
      <c r="F23" s="61"/>
      <c r="G23" s="55"/>
    </row>
    <row r="24" spans="1:7" s="38" customFormat="1" ht="12.75" customHeight="1" x14ac:dyDescent="0.2">
      <c r="A24" s="118"/>
      <c r="B24" s="103"/>
      <c r="C24" s="61"/>
      <c r="D24" s="61"/>
      <c r="E24" s="61"/>
      <c r="F24" s="61"/>
      <c r="G24" s="55"/>
    </row>
    <row r="25" spans="1:7" s="38" customFormat="1" ht="12.75" customHeight="1" x14ac:dyDescent="0.2">
      <c r="A25" s="118"/>
      <c r="B25" s="103"/>
      <c r="D25" s="61"/>
      <c r="E25" s="61"/>
      <c r="F25" s="61"/>
      <c r="G25" s="55"/>
    </row>
    <row r="26" spans="1:7" ht="12.75" customHeight="1" x14ac:dyDescent="0.3">
      <c r="A26" s="118"/>
      <c r="B26" s="103"/>
      <c r="C26" s="61"/>
      <c r="D26" s="91"/>
      <c r="E26" s="91"/>
      <c r="F26" s="91"/>
    </row>
    <row r="27" spans="1:7" ht="12.75" customHeight="1" x14ac:dyDescent="0.3">
      <c r="A27" s="91"/>
      <c r="B27" s="91"/>
      <c r="C27" s="61"/>
      <c r="D27" s="91"/>
      <c r="E27" s="91"/>
      <c r="F27" s="91"/>
    </row>
    <row r="28" spans="1:7" ht="12.75" customHeight="1" x14ac:dyDescent="0.3">
      <c r="A28" s="91"/>
      <c r="B28" s="91"/>
      <c r="C28" s="61"/>
      <c r="D28" s="91"/>
      <c r="E28" s="91"/>
      <c r="F28" s="91"/>
    </row>
    <row r="29" spans="1:7" s="38" customFormat="1" ht="12.75" customHeight="1" x14ac:dyDescent="0.2">
      <c r="A29" s="52"/>
      <c r="B29" s="52"/>
      <c r="C29" s="52"/>
      <c r="D29" s="52"/>
      <c r="E29" s="52"/>
      <c r="F29" s="52"/>
      <c r="G29" s="55"/>
    </row>
    <row r="30" spans="1:7" s="38" customFormat="1" ht="12.75" customHeight="1" x14ac:dyDescent="0.2">
      <c r="A30" s="118"/>
      <c r="B30" s="103"/>
      <c r="C30" s="61"/>
      <c r="D30" s="61"/>
      <c r="E30" s="61"/>
      <c r="F30" s="61"/>
      <c r="G30" s="55"/>
    </row>
    <row r="31" spans="1:7" s="38" customFormat="1" ht="12.75" customHeight="1" x14ac:dyDescent="0.2">
      <c r="A31" s="118"/>
      <c r="B31" s="103"/>
      <c r="C31" s="61"/>
      <c r="D31" s="61"/>
      <c r="E31" s="61"/>
      <c r="F31" s="61"/>
      <c r="G31" s="55"/>
    </row>
    <row r="32" spans="1:7" s="38" customFormat="1" ht="15.75" customHeight="1" thickBot="1" x14ac:dyDescent="0.25">
      <c r="A32" s="131"/>
      <c r="B32" s="126"/>
      <c r="C32" s="126"/>
      <c r="D32" s="126"/>
      <c r="E32" s="126"/>
      <c r="F32" s="141">
        <f>SUM(F18:F31)</f>
        <v>2120</v>
      </c>
      <c r="G32" s="55"/>
    </row>
    <row r="33" spans="1:7" s="38" customFormat="1" ht="12.75" customHeight="1" thickTop="1" x14ac:dyDescent="0.2">
      <c r="A33" s="131"/>
      <c r="B33" s="126"/>
      <c r="C33" s="126"/>
      <c r="D33" s="126"/>
      <c r="E33" s="126"/>
      <c r="F33" s="126"/>
      <c r="G33" s="55"/>
    </row>
    <row r="34" spans="1:7" ht="20.100000000000001" customHeight="1" thickBot="1" x14ac:dyDescent="0.35">
      <c r="A34" s="96" t="s">
        <v>122</v>
      </c>
      <c r="B34" s="96" t="s">
        <v>2080</v>
      </c>
      <c r="C34" s="121"/>
      <c r="D34" s="121"/>
      <c r="E34" s="121"/>
      <c r="F34" s="203"/>
    </row>
    <row r="35" spans="1:7" ht="12.75" customHeight="1" thickTop="1" x14ac:dyDescent="0.3">
      <c r="A35" s="122"/>
    </row>
    <row r="36" spans="1:7" ht="12.75" customHeight="1" x14ac:dyDescent="0.3">
      <c r="D36" s="218" t="s">
        <v>3975</v>
      </c>
      <c r="E36" s="219"/>
      <c r="F36" s="220"/>
    </row>
    <row r="37" spans="1:7" ht="12.75" customHeight="1" x14ac:dyDescent="0.3"/>
    <row r="38" spans="1:7" ht="12.75" customHeight="1" x14ac:dyDescent="0.3"/>
    <row r="39" spans="1:7" x14ac:dyDescent="0.3">
      <c r="A39" s="120" t="s">
        <v>10</v>
      </c>
      <c r="D39" s="227"/>
      <c r="E39" s="227"/>
      <c r="F39" s="227"/>
    </row>
    <row r="40" spans="1:7" x14ac:dyDescent="0.3">
      <c r="A40" s="119"/>
      <c r="D40" s="228"/>
      <c r="E40" s="229"/>
      <c r="F40" s="229"/>
    </row>
    <row r="41" spans="1:7" ht="12.75" customHeight="1" x14ac:dyDescent="0.3">
      <c r="A41" s="37"/>
      <c r="B41" s="124"/>
      <c r="F41" s="125"/>
    </row>
    <row r="42" spans="1:7" ht="12.75" customHeight="1" x14ac:dyDescent="0.3">
      <c r="A42" s="123"/>
      <c r="F42" s="125"/>
    </row>
    <row r="43" spans="1:7" ht="12.75" customHeight="1" x14ac:dyDescent="0.3">
      <c r="A43" s="119"/>
    </row>
    <row r="44" spans="1:7" ht="12.75" customHeight="1" x14ac:dyDescent="0.3">
      <c r="A44" s="119" t="s">
        <v>8</v>
      </c>
      <c r="D44" s="119" t="s">
        <v>7</v>
      </c>
    </row>
    <row r="45" spans="1:7" ht="12.75" customHeight="1" x14ac:dyDescent="0.3">
      <c r="A45" s="119"/>
    </row>
    <row r="46" spans="1:7" ht="12.75" customHeight="1" x14ac:dyDescent="0.3">
      <c r="A46" s="119"/>
    </row>
    <row r="47" spans="1:7" s="38" customFormat="1" ht="12.75" customHeight="1" x14ac:dyDescent="0.2">
      <c r="A47" s="119" t="s">
        <v>3972</v>
      </c>
      <c r="B47" s="120"/>
      <c r="C47" s="120"/>
      <c r="D47" s="120"/>
      <c r="E47" s="126"/>
      <c r="F47" s="126"/>
    </row>
    <row r="48" spans="1:7" ht="12.75" customHeight="1" x14ac:dyDescent="0.3">
      <c r="A48" s="123"/>
      <c r="B48" s="124"/>
      <c r="D48" s="124"/>
      <c r="E48" s="124"/>
      <c r="F48" s="124"/>
    </row>
    <row r="49" spans="1:4" ht="12.75" customHeight="1" x14ac:dyDescent="0.3">
      <c r="A49" s="127" t="s">
        <v>4066</v>
      </c>
      <c r="B49" s="128"/>
      <c r="C49" s="126"/>
      <c r="D49" s="126" t="s">
        <v>3</v>
      </c>
    </row>
    <row r="50" spans="1:4" ht="12.75" customHeight="1" x14ac:dyDescent="0.3">
      <c r="A50" s="119"/>
      <c r="D50" s="120" t="s">
        <v>2</v>
      </c>
    </row>
    <row r="51" spans="1:4" ht="12.75" customHeight="1" x14ac:dyDescent="0.3"/>
    <row r="52" spans="1:4" ht="12.75" customHeight="1" x14ac:dyDescent="0.3">
      <c r="D52" s="89" t="s">
        <v>1</v>
      </c>
    </row>
    <row r="53" spans="1:4" ht="12.75" customHeight="1" x14ac:dyDescent="0.3">
      <c r="D53" s="89" t="s">
        <v>0</v>
      </c>
    </row>
    <row r="54" spans="1:4" ht="12.75" customHeight="1" x14ac:dyDescent="0.3"/>
    <row r="55" spans="1:4" ht="12.75" customHeight="1" x14ac:dyDescent="0.3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7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2-000000000000}">
  <sheetPr codeName="Sheet189">
    <pageSetUpPr fitToPage="1"/>
  </sheetPr>
  <dimension ref="A1:F52"/>
  <sheetViews>
    <sheetView topLeftCell="A16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285156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2086</v>
      </c>
    </row>
    <row r="10" spans="1:6" x14ac:dyDescent="0.2">
      <c r="A10" s="91" t="s">
        <v>2088</v>
      </c>
      <c r="D10" s="92" t="s">
        <v>1444</v>
      </c>
      <c r="E10" s="92" t="s">
        <v>2085</v>
      </c>
    </row>
    <row r="11" spans="1:6" x14ac:dyDescent="0.2">
      <c r="A11" s="91" t="s">
        <v>2089</v>
      </c>
      <c r="D11" s="92" t="s">
        <v>1431</v>
      </c>
      <c r="E11" s="92" t="s">
        <v>1220</v>
      </c>
    </row>
    <row r="12" spans="1:6" x14ac:dyDescent="0.2">
      <c r="A12" s="91" t="s">
        <v>2090</v>
      </c>
      <c r="D12" s="92" t="s">
        <v>1268</v>
      </c>
      <c r="E12" s="92" t="s">
        <v>2087</v>
      </c>
    </row>
    <row r="13" spans="1:6" x14ac:dyDescent="0.2">
      <c r="A13" s="91" t="s">
        <v>2091</v>
      </c>
    </row>
    <row r="14" spans="1:6" x14ac:dyDescent="0.2">
      <c r="A14" s="91" t="s">
        <v>2092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111"/>
      <c r="C18" s="2" t="s">
        <v>2093</v>
      </c>
      <c r="F18" s="110"/>
    </row>
    <row r="19" spans="1:6" x14ac:dyDescent="0.2">
      <c r="B19" s="150"/>
      <c r="F19" s="110"/>
    </row>
    <row r="20" spans="1:6" x14ac:dyDescent="0.2">
      <c r="C20" s="91" t="s">
        <v>2094</v>
      </c>
      <c r="F20" s="110">
        <v>500</v>
      </c>
    </row>
    <row r="22" spans="1:6" x14ac:dyDescent="0.2">
      <c r="F22" s="110"/>
    </row>
    <row r="23" spans="1:6" x14ac:dyDescent="0.2">
      <c r="F23" s="110"/>
    </row>
    <row r="25" spans="1:6" x14ac:dyDescent="0.2">
      <c r="C25" s="2"/>
      <c r="F25" s="110"/>
    </row>
    <row r="27" spans="1:6" x14ac:dyDescent="0.2">
      <c r="A27" s="111"/>
      <c r="B27" s="93"/>
    </row>
    <row r="29" spans="1:6" x14ac:dyDescent="0.2">
      <c r="A29" s="108"/>
    </row>
    <row r="32" spans="1:6" ht="13.5" thickBot="1" x14ac:dyDescent="0.25">
      <c r="F32" s="95">
        <f>SUM(F18:F31)</f>
        <v>500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1437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121</v>
      </c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2-000000000000}">
  <sheetPr codeName="Sheet190">
    <pageSetUpPr fitToPage="1"/>
  </sheetPr>
  <dimension ref="A1:F54"/>
  <sheetViews>
    <sheetView topLeftCell="A10" workbookViewId="0">
      <selection activeCell="F34" sqref="F34"/>
    </sheetView>
  </sheetViews>
  <sheetFormatPr defaultRowHeight="12.75" x14ac:dyDescent="0.2"/>
  <cols>
    <col min="1" max="1" width="15.28515625" style="91" customWidth="1"/>
    <col min="2" max="2" width="14.42578125" style="91" customWidth="1"/>
    <col min="3" max="3" width="21" style="91" customWidth="1"/>
    <col min="4" max="4" width="16.42578125" style="91" customWidth="1"/>
    <col min="5" max="5" width="8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1434</v>
      </c>
      <c r="E9" s="61" t="s">
        <v>4903</v>
      </c>
    </row>
    <row r="10" spans="1:6" x14ac:dyDescent="0.2">
      <c r="A10" s="91" t="s">
        <v>2013</v>
      </c>
      <c r="D10" s="92" t="s">
        <v>1433</v>
      </c>
      <c r="E10" s="113" t="s">
        <v>4893</v>
      </c>
    </row>
    <row r="11" spans="1:6" x14ac:dyDescent="0.2">
      <c r="A11" s="91" t="s">
        <v>2014</v>
      </c>
      <c r="D11" s="92" t="s">
        <v>1431</v>
      </c>
      <c r="E11" s="113" t="s">
        <v>1220</v>
      </c>
    </row>
    <row r="12" spans="1:6" x14ac:dyDescent="0.2">
      <c r="A12" s="91" t="s">
        <v>1862</v>
      </c>
      <c r="D12" s="92" t="s">
        <v>1268</v>
      </c>
      <c r="E12" s="113" t="s">
        <v>4904</v>
      </c>
    </row>
    <row r="13" spans="1:6" x14ac:dyDescent="0.2">
      <c r="A13" s="91" t="s">
        <v>2015</v>
      </c>
    </row>
    <row r="14" spans="1:6" x14ac:dyDescent="0.2">
      <c r="A14" s="91" t="s">
        <v>2016</v>
      </c>
    </row>
    <row r="16" spans="1:6" s="14" customFormat="1" ht="20.100000000000001" customHeight="1" x14ac:dyDescent="0.2">
      <c r="A16" s="17" t="s">
        <v>1429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108"/>
      <c r="C18" s="2" t="s">
        <v>4905</v>
      </c>
    </row>
    <row r="19" spans="1:6" x14ac:dyDescent="0.2">
      <c r="A19" s="136"/>
      <c r="B19" s="93"/>
      <c r="C19" s="2"/>
    </row>
    <row r="20" spans="1:6" x14ac:dyDescent="0.2">
      <c r="A20" s="93" t="s">
        <v>4906</v>
      </c>
      <c r="B20" s="99" t="s">
        <v>4907</v>
      </c>
      <c r="C20" s="91" t="s">
        <v>4908</v>
      </c>
      <c r="F20" s="91">
        <v>600</v>
      </c>
    </row>
    <row r="21" spans="1:6" x14ac:dyDescent="0.2">
      <c r="A21" s="111"/>
      <c r="B21" s="93"/>
      <c r="C21" s="91" t="s">
        <v>4909</v>
      </c>
      <c r="F21" s="110"/>
    </row>
    <row r="22" spans="1:6" x14ac:dyDescent="0.2">
      <c r="A22" s="108"/>
      <c r="B22" s="138"/>
      <c r="F22" s="110"/>
    </row>
    <row r="23" spans="1:6" x14ac:dyDescent="0.2">
      <c r="A23" s="108"/>
      <c r="B23" s="138"/>
      <c r="F23" s="110"/>
    </row>
    <row r="24" spans="1:6" x14ac:dyDescent="0.2">
      <c r="A24" s="108"/>
      <c r="B24" s="94"/>
    </row>
    <row r="25" spans="1:6" x14ac:dyDescent="0.2">
      <c r="A25" s="108"/>
    </row>
    <row r="26" spans="1:6" x14ac:dyDescent="0.2">
      <c r="A26" s="108"/>
    </row>
    <row r="35" spans="1:6" ht="13.5" thickBot="1" x14ac:dyDescent="0.25">
      <c r="F35" s="95">
        <f>SUM(F18:F34)</f>
        <v>600</v>
      </c>
    </row>
    <row r="36" spans="1:6" ht="13.5" thickTop="1" x14ac:dyDescent="0.2"/>
    <row r="37" spans="1:6" ht="20.100000000000001" customHeight="1" x14ac:dyDescent="0.2">
      <c r="A37" s="96" t="s">
        <v>336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Six Hundred and NO/100 -----------</v>
      </c>
      <c r="C37" s="97"/>
      <c r="D37" s="222"/>
      <c r="E37" s="222"/>
      <c r="F37" s="222"/>
    </row>
    <row r="38" spans="1:6" ht="20.100000000000001" customHeight="1" x14ac:dyDescent="0.2">
      <c r="A38" s="113"/>
      <c r="B38" s="113"/>
      <c r="C38" s="61"/>
      <c r="D38" s="222"/>
      <c r="E38" s="222"/>
      <c r="F38" s="222"/>
    </row>
    <row r="39" spans="1:6" ht="25.5" x14ac:dyDescent="0.2">
      <c r="A39" s="94" t="s">
        <v>3974</v>
      </c>
      <c r="D39" s="218" t="s">
        <v>3975</v>
      </c>
      <c r="E39" s="219"/>
      <c r="F39" s="220"/>
    </row>
    <row r="40" spans="1:6" x14ac:dyDescent="0.2">
      <c r="D40" s="228"/>
      <c r="E40" s="229"/>
      <c r="F40" s="229"/>
    </row>
    <row r="41" spans="1:6" x14ac:dyDescent="0.2">
      <c r="C41" s="99"/>
    </row>
    <row r="42" spans="1:6" x14ac:dyDescent="0.2">
      <c r="A42" s="91" t="s">
        <v>121</v>
      </c>
      <c r="C42" s="9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F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91" t="s">
        <v>4066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 topLeftCell="A10">
      <selection activeCell="E9" sqref="E9"/>
      <pageMargins left="0.74803149606299213" right="0.74803149606299213" top="0.78740157480314965" bottom="0.78740157480314965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2"/>
  <headerFooter alignWithMargins="0"/>
</worksheet>
</file>

<file path=xl/worksheets/sheet7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2-000000000000}">
  <sheetPr codeName="Sheet157">
    <pageSetUpPr fitToPage="1"/>
  </sheetPr>
  <dimension ref="A1:F52"/>
  <sheetViews>
    <sheetView topLeftCell="A19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61" t="s">
        <v>1985</v>
      </c>
    </row>
    <row r="10" spans="1:6" x14ac:dyDescent="0.2">
      <c r="A10" s="91" t="s">
        <v>1941</v>
      </c>
      <c r="D10" s="92" t="s">
        <v>1356</v>
      </c>
      <c r="E10" s="113" t="s">
        <v>1984</v>
      </c>
    </row>
    <row r="11" spans="1:6" x14ac:dyDescent="0.2">
      <c r="A11" s="91" t="s">
        <v>1942</v>
      </c>
      <c r="D11" s="92" t="s">
        <v>1364</v>
      </c>
      <c r="E11" s="113" t="s">
        <v>1220</v>
      </c>
    </row>
    <row r="12" spans="1:6" x14ac:dyDescent="0.2">
      <c r="A12" s="94" t="s">
        <v>1943</v>
      </c>
      <c r="D12" s="92" t="s">
        <v>1224</v>
      </c>
      <c r="E12" s="113" t="s">
        <v>1986</v>
      </c>
    </row>
    <row r="13" spans="1:6" x14ac:dyDescent="0.2">
      <c r="A13" s="91" t="s">
        <v>1944</v>
      </c>
    </row>
    <row r="14" spans="1:6" x14ac:dyDescent="0.2">
      <c r="A14" s="91" t="s">
        <v>658</v>
      </c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1945</v>
      </c>
      <c r="B19" s="93" t="s">
        <v>1946</v>
      </c>
      <c r="C19" s="91" t="s">
        <v>1947</v>
      </c>
      <c r="F19" s="91">
        <v>120</v>
      </c>
    </row>
    <row r="20" spans="1:6" x14ac:dyDescent="0.2">
      <c r="C20" s="94" t="s">
        <v>1948</v>
      </c>
    </row>
    <row r="22" spans="1:6" x14ac:dyDescent="0.2">
      <c r="A22" s="93"/>
      <c r="B22" s="93"/>
    </row>
    <row r="23" spans="1:6" x14ac:dyDescent="0.2">
      <c r="C23" s="94"/>
    </row>
    <row r="29" spans="1:6" x14ac:dyDescent="0.2">
      <c r="B29" s="94"/>
    </row>
    <row r="30" spans="1:6" x14ac:dyDescent="0.2">
      <c r="B30" s="94"/>
    </row>
    <row r="31" spans="1:6" x14ac:dyDescent="0.2">
      <c r="B31" s="94"/>
    </row>
    <row r="33" spans="1:6" ht="13.5" thickBot="1" x14ac:dyDescent="0.25">
      <c r="F33" s="95">
        <f>SUM(F19:F32)</f>
        <v>120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1465</v>
      </c>
      <c r="B35" s="96" t="s">
        <v>1879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45">
    <pageSetUpPr fitToPage="1"/>
  </sheetPr>
  <dimension ref="A1:H56"/>
  <sheetViews>
    <sheetView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2.42578125" style="91" customWidth="1"/>
    <col min="3" max="3" width="1" style="91" customWidth="1"/>
    <col min="4" max="4" width="21" style="91" customWidth="1"/>
    <col min="5" max="5" width="1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6319</v>
      </c>
    </row>
    <row r="10" spans="1:8" x14ac:dyDescent="0.2">
      <c r="A10" s="91" t="s">
        <v>5360</v>
      </c>
      <c r="F10" s="92" t="s">
        <v>1357</v>
      </c>
      <c r="G10" s="91" t="s">
        <v>6309</v>
      </c>
    </row>
    <row r="11" spans="1:8" x14ac:dyDescent="0.2">
      <c r="A11" s="91" t="s">
        <v>5361</v>
      </c>
      <c r="F11" s="92" t="s">
        <v>1330</v>
      </c>
      <c r="G11" s="91" t="s">
        <v>1220</v>
      </c>
    </row>
    <row r="12" spans="1:8" x14ac:dyDescent="0.2">
      <c r="A12" s="91" t="s">
        <v>5362</v>
      </c>
      <c r="F12" s="92" t="s">
        <v>1224</v>
      </c>
      <c r="G12" s="94" t="s">
        <v>6320</v>
      </c>
    </row>
    <row r="13" spans="1:8" x14ac:dyDescent="0.2">
      <c r="A13" s="91" t="s">
        <v>5363</v>
      </c>
    </row>
    <row r="14" spans="1:8" x14ac:dyDescent="0.2">
      <c r="A14" s="91" t="s">
        <v>5364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5365</v>
      </c>
      <c r="E18" s="2"/>
    </row>
    <row r="20" spans="1:8" x14ac:dyDescent="0.2">
      <c r="A20" s="93" t="s">
        <v>6324</v>
      </c>
      <c r="B20" s="93" t="s">
        <v>6321</v>
      </c>
      <c r="C20" s="93"/>
      <c r="D20" s="91" t="s">
        <v>6322</v>
      </c>
      <c r="H20" s="91">
        <v>75000</v>
      </c>
    </row>
    <row r="21" spans="1:8" x14ac:dyDescent="0.2">
      <c r="D21" s="91" t="s">
        <v>6323</v>
      </c>
      <c r="H21" s="91">
        <v>75000</v>
      </c>
    </row>
    <row r="22" spans="1:8" x14ac:dyDescent="0.2">
      <c r="A22" s="93"/>
      <c r="B22" s="99"/>
      <c r="C22" s="99"/>
    </row>
    <row r="23" spans="1:8" x14ac:dyDescent="0.2">
      <c r="A23" s="93" t="s">
        <v>6229</v>
      </c>
      <c r="B23" s="93" t="s">
        <v>6325</v>
      </c>
      <c r="C23" s="99"/>
      <c r="D23" s="91" t="s">
        <v>6326</v>
      </c>
      <c r="E23" s="279"/>
      <c r="H23" s="91">
        <v>45000</v>
      </c>
    </row>
    <row r="24" spans="1:8" x14ac:dyDescent="0.2">
      <c r="A24" s="93"/>
      <c r="B24" s="99"/>
      <c r="C24" s="99"/>
    </row>
    <row r="25" spans="1:8" x14ac:dyDescent="0.2">
      <c r="A25" s="93"/>
      <c r="B25" s="93"/>
      <c r="C25" s="93"/>
    </row>
    <row r="26" spans="1:8" x14ac:dyDescent="0.2">
      <c r="A26" s="93"/>
    </row>
    <row r="28" spans="1:8" x14ac:dyDescent="0.2">
      <c r="D28" s="2"/>
      <c r="E28" s="2"/>
    </row>
    <row r="29" spans="1:8" x14ac:dyDescent="0.2">
      <c r="A29" s="93"/>
      <c r="B29" s="99"/>
      <c r="C29" s="99"/>
      <c r="D29" s="2"/>
      <c r="E29" s="2"/>
    </row>
    <row r="30" spans="1:8" x14ac:dyDescent="0.2">
      <c r="A30" s="93"/>
      <c r="B30" s="99"/>
      <c r="C30" s="99"/>
    </row>
    <row r="31" spans="1:8" x14ac:dyDescent="0.2">
      <c r="A31" s="93"/>
      <c r="B31" s="99"/>
      <c r="C31" s="99"/>
    </row>
    <row r="32" spans="1:8" x14ac:dyDescent="0.2">
      <c r="D32" s="2"/>
      <c r="E32" s="2"/>
    </row>
    <row r="34" spans="1:8" x14ac:dyDescent="0.2">
      <c r="A34" s="93"/>
      <c r="B34" s="99"/>
      <c r="C34" s="99"/>
    </row>
    <row r="36" spans="1:8" ht="13.5" thickBot="1" x14ac:dyDescent="0.25">
      <c r="H36" s="95">
        <f>SUM(H18:H35)</f>
        <v>195000</v>
      </c>
    </row>
    <row r="37" spans="1:8" ht="13.5" thickTop="1" x14ac:dyDescent="0.2"/>
    <row r="38" spans="1:8" ht="20.100000000000001" customHeight="1" x14ac:dyDescent="0.2">
      <c r="A38" s="96" t="s">
        <v>1075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>One Hundred Ninety-Five Thousand and NO/100 -----------</v>
      </c>
      <c r="C38" s="185"/>
      <c r="D38" s="97"/>
      <c r="E38" s="222"/>
      <c r="F38" s="222"/>
      <c r="G38" s="222"/>
      <c r="H38" s="222"/>
    </row>
    <row r="39" spans="1:8" ht="20.100000000000001" customHeight="1" x14ac:dyDescent="0.2">
      <c r="A39" s="113"/>
      <c r="B39" s="103"/>
      <c r="C39" s="103"/>
      <c r="D39" s="61"/>
      <c r="E39" s="61"/>
      <c r="F39" s="222"/>
      <c r="G39" s="222"/>
      <c r="H39" s="222"/>
    </row>
    <row r="40" spans="1:8" ht="25.5" x14ac:dyDescent="0.2">
      <c r="A40" s="235" t="s">
        <v>3973</v>
      </c>
      <c r="D40" s="98" t="s">
        <v>8</v>
      </c>
      <c r="F40" s="218" t="s">
        <v>3975</v>
      </c>
      <c r="G40" s="219"/>
      <c r="H40" s="220"/>
    </row>
    <row r="41" spans="1:8" x14ac:dyDescent="0.2">
      <c r="A41" s="98"/>
      <c r="D41" s="98"/>
      <c r="F41" s="228"/>
      <c r="G41" s="229"/>
      <c r="H41" s="229"/>
    </row>
    <row r="42" spans="1:8" x14ac:dyDescent="0.2">
      <c r="D42" s="98"/>
      <c r="E42" s="99"/>
    </row>
    <row r="43" spans="1:8" x14ac:dyDescent="0.2">
      <c r="A43" s="98"/>
      <c r="D43" s="98"/>
      <c r="E43" s="99"/>
    </row>
    <row r="44" spans="1:8" x14ac:dyDescent="0.2">
      <c r="A44" s="100"/>
      <c r="B44" s="101"/>
      <c r="D44" s="100"/>
    </row>
    <row r="45" spans="1:8" x14ac:dyDescent="0.2">
      <c r="A45" s="98"/>
      <c r="D45" s="98" t="s">
        <v>50</v>
      </c>
    </row>
    <row r="46" spans="1:8" x14ac:dyDescent="0.2">
      <c r="A46" s="98"/>
      <c r="D46" s="98"/>
    </row>
    <row r="47" spans="1:8" x14ac:dyDescent="0.2">
      <c r="A47" s="98" t="s">
        <v>8</v>
      </c>
      <c r="D47" s="98" t="s">
        <v>8</v>
      </c>
      <c r="F47" s="98" t="s">
        <v>7</v>
      </c>
      <c r="H47" s="102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98"/>
      <c r="D50" s="98"/>
    </row>
    <row r="51" spans="1:8" x14ac:dyDescent="0.2">
      <c r="A51" s="100"/>
      <c r="B51" s="101"/>
      <c r="D51" s="100"/>
      <c r="F51" s="101"/>
      <c r="G51" s="101"/>
      <c r="H51" s="101"/>
    </row>
    <row r="52" spans="1:8" s="61" customFormat="1" ht="17.100000000000001" customHeight="1" x14ac:dyDescent="0.2">
      <c r="A52" s="98" t="s">
        <v>4047</v>
      </c>
      <c r="B52" s="104"/>
      <c r="C52" s="104"/>
      <c r="D52" s="98" t="s">
        <v>50</v>
      </c>
      <c r="F52" s="61" t="s">
        <v>3</v>
      </c>
    </row>
    <row r="53" spans="1:8" x14ac:dyDescent="0.2">
      <c r="A53" s="98"/>
      <c r="F53" s="91" t="s">
        <v>2</v>
      </c>
    </row>
    <row r="54" spans="1:8" x14ac:dyDescent="0.2">
      <c r="A54" s="98"/>
    </row>
    <row r="55" spans="1:8" x14ac:dyDescent="0.2">
      <c r="F55" s="2" t="s">
        <v>1</v>
      </c>
    </row>
    <row r="56" spans="1:8" x14ac:dyDescent="0.2">
      <c r="F56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5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2"/>
  <headerFooter alignWithMargins="0"/>
</worksheet>
</file>

<file path=xl/worksheets/sheet7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2-000000000000}">
  <sheetPr codeName="Sheet158">
    <pageSetUpPr fitToPage="1"/>
  </sheetPr>
  <dimension ref="A1:G55"/>
  <sheetViews>
    <sheetView zoomScaleSheetLayoutView="100" workbookViewId="0">
      <selection activeCell="F34" sqref="F34"/>
    </sheetView>
  </sheetViews>
  <sheetFormatPr defaultRowHeight="16.5" x14ac:dyDescent="0.3"/>
  <cols>
    <col min="1" max="1" width="15.85546875" style="120" customWidth="1"/>
    <col min="2" max="2" width="15.42578125" style="120" customWidth="1"/>
    <col min="3" max="3" width="21" style="120" customWidth="1"/>
    <col min="4" max="4" width="16.42578125" style="120" customWidth="1"/>
    <col min="5" max="5" width="10" style="120" customWidth="1"/>
    <col min="6" max="6" width="13.28515625" style="120" customWidth="1"/>
    <col min="7" max="7" width="16.140625" style="37" customWidth="1"/>
    <col min="8" max="16384" width="9.140625" style="37"/>
  </cols>
  <sheetData>
    <row r="1" spans="1:7" ht="15" customHeight="1" x14ac:dyDescent="0.3">
      <c r="A1" s="521" t="s">
        <v>34</v>
      </c>
      <c r="B1" s="521"/>
      <c r="C1" s="521"/>
      <c r="D1" s="521"/>
      <c r="E1" s="521"/>
      <c r="F1" s="521"/>
    </row>
    <row r="2" spans="1:7" ht="12.75" customHeight="1" x14ac:dyDescent="0.3">
      <c r="A2" s="522" t="s">
        <v>33</v>
      </c>
      <c r="B2" s="522"/>
      <c r="C2" s="522"/>
      <c r="D2" s="522"/>
      <c r="E2" s="522"/>
      <c r="F2" s="522"/>
    </row>
    <row r="3" spans="1:7" ht="12.75" customHeight="1" x14ac:dyDescent="0.3">
      <c r="A3" s="522" t="s">
        <v>1829</v>
      </c>
      <c r="B3" s="522"/>
      <c r="C3" s="522"/>
      <c r="D3" s="522"/>
      <c r="E3" s="522"/>
      <c r="F3" s="522"/>
    </row>
    <row r="4" spans="1:7" ht="12.75" customHeight="1" x14ac:dyDescent="0.3">
      <c r="A4" s="522" t="s">
        <v>1828</v>
      </c>
      <c r="B4" s="522"/>
      <c r="C4" s="522"/>
      <c r="D4" s="522"/>
      <c r="E4" s="522"/>
      <c r="F4" s="522"/>
    </row>
    <row r="5" spans="1:7" ht="12.75" customHeight="1" x14ac:dyDescent="0.3">
      <c r="A5" s="91"/>
      <c r="B5" s="91"/>
      <c r="C5" s="91"/>
      <c r="D5" s="91"/>
      <c r="E5" s="91"/>
      <c r="F5" s="91"/>
    </row>
    <row r="6" spans="1:7" ht="12.75" customHeight="1" x14ac:dyDescent="0.3">
      <c r="A6" s="91"/>
      <c r="B6" s="91"/>
      <c r="C6" s="91"/>
      <c r="D6" s="91"/>
      <c r="E6" s="91"/>
      <c r="F6" s="91"/>
    </row>
    <row r="7" spans="1:7" ht="12.75" customHeight="1" x14ac:dyDescent="0.3">
      <c r="A7" s="91"/>
      <c r="B7" s="91"/>
      <c r="C7" s="91"/>
      <c r="D7" s="91"/>
      <c r="E7" s="91"/>
      <c r="F7" s="91"/>
    </row>
    <row r="8" spans="1:7" s="38" customFormat="1" ht="12.75" customHeight="1" x14ac:dyDescent="0.2">
      <c r="A8" s="61" t="s">
        <v>32</v>
      </c>
      <c r="B8" s="61"/>
      <c r="C8" s="61"/>
      <c r="D8" s="57" t="s">
        <v>31</v>
      </c>
      <c r="E8" s="61"/>
      <c r="F8" s="61"/>
    </row>
    <row r="9" spans="1:7" s="38" customFormat="1" ht="12.75" customHeight="1" x14ac:dyDescent="0.2">
      <c r="A9" s="61" t="s">
        <v>1897</v>
      </c>
      <c r="B9" s="61"/>
      <c r="C9" s="61"/>
      <c r="D9" s="113" t="s">
        <v>1353</v>
      </c>
      <c r="E9" s="91" t="s">
        <v>1885</v>
      </c>
      <c r="F9" s="91"/>
    </row>
    <row r="10" spans="1:7" s="38" customFormat="1" ht="12.75" customHeight="1" x14ac:dyDescent="0.2">
      <c r="A10" s="61" t="s">
        <v>1887</v>
      </c>
      <c r="B10" s="61"/>
      <c r="C10" s="61"/>
      <c r="D10" s="113" t="s">
        <v>1335</v>
      </c>
      <c r="E10" s="92" t="s">
        <v>1878</v>
      </c>
      <c r="F10" s="91"/>
    </row>
    <row r="11" spans="1:7" s="38" customFormat="1" ht="12.75" customHeight="1" x14ac:dyDescent="0.2">
      <c r="A11" s="61" t="s">
        <v>1888</v>
      </c>
      <c r="B11" s="61"/>
      <c r="C11" s="61"/>
      <c r="D11" s="113" t="s">
        <v>1354</v>
      </c>
      <c r="E11" s="92" t="s">
        <v>1220</v>
      </c>
      <c r="F11" s="91"/>
    </row>
    <row r="12" spans="1:7" s="38" customFormat="1" ht="12.75" customHeight="1" x14ac:dyDescent="0.2">
      <c r="A12" s="61" t="s">
        <v>1889</v>
      </c>
      <c r="B12" s="61"/>
      <c r="C12" s="61"/>
      <c r="D12" s="113" t="s">
        <v>1355</v>
      </c>
      <c r="E12" s="92" t="s">
        <v>1886</v>
      </c>
      <c r="F12" s="91"/>
    </row>
    <row r="13" spans="1:7" s="38" customFormat="1" ht="12.75" customHeight="1" x14ac:dyDescent="0.2">
      <c r="A13" s="61" t="s">
        <v>1314</v>
      </c>
      <c r="B13" s="61"/>
      <c r="C13" s="61"/>
      <c r="D13" s="61"/>
      <c r="E13" s="91"/>
      <c r="F13" s="61"/>
    </row>
    <row r="14" spans="1:7" s="38" customFormat="1" ht="12.75" customHeight="1" x14ac:dyDescent="0.2">
      <c r="A14" s="61"/>
      <c r="B14" s="61"/>
      <c r="C14" s="61"/>
      <c r="D14" s="61"/>
      <c r="E14" s="61"/>
      <c r="F14" s="61"/>
    </row>
    <row r="15" spans="1:7" s="46" customFormat="1" ht="12.75" customHeight="1" x14ac:dyDescent="0.2">
      <c r="A15" s="61"/>
      <c r="B15" s="61"/>
      <c r="C15" s="61"/>
      <c r="D15" s="61"/>
      <c r="E15" s="61"/>
      <c r="F15" s="61"/>
    </row>
    <row r="16" spans="1:7" s="46" customFormat="1" x14ac:dyDescent="0.2">
      <c r="A16" s="31" t="s">
        <v>129</v>
      </c>
      <c r="B16" s="31" t="s">
        <v>128</v>
      </c>
      <c r="C16" s="18" t="s">
        <v>19</v>
      </c>
      <c r="D16" s="17"/>
      <c r="E16" s="31"/>
      <c r="F16" s="15" t="s">
        <v>18</v>
      </c>
      <c r="G16" s="56"/>
    </row>
    <row r="17" spans="1:7" s="46" customFormat="1" ht="12.75" customHeight="1" x14ac:dyDescent="0.2">
      <c r="A17" s="130"/>
      <c r="B17" s="114"/>
      <c r="C17" s="115"/>
      <c r="D17" s="114"/>
      <c r="E17" s="116"/>
      <c r="F17" s="117"/>
      <c r="G17" s="56"/>
    </row>
    <row r="18" spans="1:7" s="38" customFormat="1" ht="12.75" customHeight="1" x14ac:dyDescent="0.2">
      <c r="A18" s="129"/>
      <c r="B18" s="103"/>
      <c r="C18" s="14" t="s">
        <v>1777</v>
      </c>
      <c r="D18" s="61"/>
      <c r="E18" s="61"/>
      <c r="F18" s="61"/>
      <c r="G18" s="55"/>
    </row>
    <row r="19" spans="1:7" s="38" customFormat="1" ht="12.75" customHeight="1" x14ac:dyDescent="0.2">
      <c r="A19" s="129"/>
      <c r="B19" s="103"/>
      <c r="C19" s="61"/>
      <c r="D19" s="61"/>
      <c r="E19" s="61"/>
      <c r="F19" s="61"/>
      <c r="G19" s="55"/>
    </row>
    <row r="20" spans="1:7" s="38" customFormat="1" ht="12.75" customHeight="1" x14ac:dyDescent="0.2">
      <c r="A20" s="140" t="s">
        <v>1890</v>
      </c>
      <c r="B20" s="113" t="s">
        <v>1891</v>
      </c>
      <c r="C20" s="61" t="s">
        <v>1892</v>
      </c>
      <c r="D20" s="61"/>
      <c r="E20" s="61"/>
      <c r="F20" s="61"/>
      <c r="G20" s="55"/>
    </row>
    <row r="21" spans="1:7" s="38" customFormat="1" ht="12.75" customHeight="1" x14ac:dyDescent="0.2">
      <c r="A21" s="118"/>
      <c r="B21" s="103"/>
      <c r="C21" s="61" t="s">
        <v>1893</v>
      </c>
      <c r="D21" s="61"/>
      <c r="E21" s="61"/>
      <c r="F21" s="61">
        <v>546.20000000000005</v>
      </c>
      <c r="G21" s="55"/>
    </row>
    <row r="22" spans="1:7" s="126" customFormat="1" ht="12.75" customHeight="1" x14ac:dyDescent="0.2">
      <c r="C22" s="61" t="s">
        <v>1894</v>
      </c>
      <c r="D22" s="61"/>
      <c r="E22" s="61"/>
      <c r="F22" s="61">
        <v>255</v>
      </c>
    </row>
    <row r="23" spans="1:7" s="126" customFormat="1" ht="12.75" customHeight="1" x14ac:dyDescent="0.2">
      <c r="A23" s="118"/>
      <c r="B23" s="103"/>
      <c r="C23" s="61" t="s">
        <v>1895</v>
      </c>
      <c r="D23" s="61"/>
      <c r="E23" s="61"/>
      <c r="F23" s="61">
        <v>623.04999999999995</v>
      </c>
    </row>
    <row r="24" spans="1:7" s="126" customFormat="1" ht="12.75" customHeight="1" x14ac:dyDescent="0.2">
      <c r="A24" s="140"/>
      <c r="B24" s="103"/>
      <c r="C24" s="61"/>
      <c r="D24" s="61"/>
      <c r="E24" s="61"/>
      <c r="F24" s="61"/>
    </row>
    <row r="25" spans="1:7" s="126" customFormat="1" ht="12.75" customHeight="1" x14ac:dyDescent="0.2">
      <c r="A25" s="118"/>
      <c r="B25" s="103"/>
      <c r="D25" s="61"/>
      <c r="E25" s="61"/>
      <c r="F25" s="61"/>
    </row>
    <row r="26" spans="1:7" s="120" customFormat="1" ht="12.75" customHeight="1" x14ac:dyDescent="0.2">
      <c r="A26" s="118"/>
      <c r="B26" s="103"/>
      <c r="C26" s="61"/>
      <c r="D26" s="91"/>
      <c r="E26" s="91"/>
      <c r="F26" s="91"/>
    </row>
    <row r="27" spans="1:7" s="120" customFormat="1" ht="12.75" customHeight="1" x14ac:dyDescent="0.2">
      <c r="A27" s="91"/>
      <c r="B27" s="91"/>
      <c r="C27" s="61"/>
      <c r="D27" s="91"/>
      <c r="E27" s="91"/>
      <c r="F27" s="91"/>
    </row>
    <row r="28" spans="1:7" ht="12.75" customHeight="1" x14ac:dyDescent="0.3">
      <c r="A28" s="91"/>
      <c r="B28" s="91"/>
      <c r="C28" s="61"/>
      <c r="D28" s="91"/>
      <c r="E28" s="91"/>
      <c r="F28" s="91"/>
    </row>
    <row r="29" spans="1:7" s="38" customFormat="1" ht="12.75" customHeight="1" x14ac:dyDescent="0.2">
      <c r="A29" s="52"/>
      <c r="B29" s="52"/>
      <c r="C29" s="52"/>
      <c r="D29" s="52"/>
      <c r="E29" s="52"/>
      <c r="F29" s="52"/>
      <c r="G29" s="55"/>
    </row>
    <row r="30" spans="1:7" s="38" customFormat="1" ht="12.75" customHeight="1" x14ac:dyDescent="0.2">
      <c r="A30" s="118"/>
      <c r="B30" s="103"/>
      <c r="C30" s="61"/>
      <c r="D30" s="61"/>
      <c r="E30" s="61"/>
      <c r="F30" s="61"/>
      <c r="G30" s="55"/>
    </row>
    <row r="31" spans="1:7" s="38" customFormat="1" ht="12.75" customHeight="1" x14ac:dyDescent="0.2">
      <c r="A31" s="118"/>
      <c r="B31" s="103"/>
      <c r="C31" s="61"/>
      <c r="D31" s="61"/>
      <c r="E31" s="61"/>
      <c r="F31" s="61"/>
      <c r="G31" s="55"/>
    </row>
    <row r="32" spans="1:7" s="38" customFormat="1" ht="15.75" customHeight="1" thickBot="1" x14ac:dyDescent="0.25">
      <c r="A32" s="131"/>
      <c r="B32" s="126"/>
      <c r="C32" s="126"/>
      <c r="D32" s="126"/>
      <c r="E32" s="126"/>
      <c r="F32" s="132">
        <f>SUM(F18:F31)</f>
        <v>1424.25</v>
      </c>
      <c r="G32" s="55"/>
    </row>
    <row r="33" spans="1:7" s="38" customFormat="1" ht="12.75" customHeight="1" thickTop="1" x14ac:dyDescent="0.2">
      <c r="A33" s="131"/>
      <c r="B33" s="126"/>
      <c r="C33" s="126"/>
      <c r="D33" s="126"/>
      <c r="E33" s="126"/>
      <c r="F33" s="126"/>
      <c r="G33" s="55"/>
    </row>
    <row r="34" spans="1:7" ht="20.100000000000001" customHeight="1" thickBot="1" x14ac:dyDescent="0.35">
      <c r="A34" s="96" t="s">
        <v>122</v>
      </c>
      <c r="B34" s="96" t="s">
        <v>1896</v>
      </c>
      <c r="C34" s="121"/>
      <c r="D34" s="121"/>
      <c r="E34" s="121"/>
      <c r="F34" s="203"/>
    </row>
    <row r="35" spans="1:7" ht="12.75" customHeight="1" thickTop="1" x14ac:dyDescent="0.3">
      <c r="A35" s="122"/>
    </row>
    <row r="36" spans="1:7" ht="12.75" customHeight="1" x14ac:dyDescent="0.3">
      <c r="D36" s="218" t="s">
        <v>3975</v>
      </c>
      <c r="E36" s="219"/>
      <c r="F36" s="220"/>
    </row>
    <row r="37" spans="1:7" ht="12.75" customHeight="1" x14ac:dyDescent="0.3"/>
    <row r="38" spans="1:7" ht="12.75" customHeight="1" x14ac:dyDescent="0.3"/>
    <row r="39" spans="1:7" x14ac:dyDescent="0.3">
      <c r="A39" s="120" t="s">
        <v>10</v>
      </c>
      <c r="D39" s="227"/>
      <c r="E39" s="227"/>
      <c r="F39" s="227"/>
    </row>
    <row r="40" spans="1:7" x14ac:dyDescent="0.3">
      <c r="A40" s="119"/>
      <c r="D40" s="228"/>
      <c r="E40" s="229"/>
      <c r="F40" s="229"/>
    </row>
    <row r="41" spans="1:7" ht="12.75" customHeight="1" x14ac:dyDescent="0.3">
      <c r="A41" s="37"/>
      <c r="B41" s="124"/>
      <c r="F41" s="125"/>
    </row>
    <row r="42" spans="1:7" ht="12.75" customHeight="1" x14ac:dyDescent="0.3">
      <c r="A42" s="123"/>
      <c r="F42" s="125"/>
    </row>
    <row r="43" spans="1:7" ht="12.75" customHeight="1" x14ac:dyDescent="0.3">
      <c r="A43" s="119"/>
    </row>
    <row r="44" spans="1:7" ht="12.75" customHeight="1" x14ac:dyDescent="0.3">
      <c r="A44" s="119" t="s">
        <v>8</v>
      </c>
      <c r="D44" s="119" t="s">
        <v>7</v>
      </c>
    </row>
    <row r="45" spans="1:7" ht="12.75" customHeight="1" x14ac:dyDescent="0.3">
      <c r="A45" s="119"/>
    </row>
    <row r="46" spans="1:7" ht="12.75" customHeight="1" x14ac:dyDescent="0.3">
      <c r="A46" s="119"/>
    </row>
    <row r="47" spans="1:7" s="38" customFormat="1" ht="12.75" customHeight="1" x14ac:dyDescent="0.2">
      <c r="A47" s="119" t="s">
        <v>3972</v>
      </c>
      <c r="B47" s="120"/>
      <c r="C47" s="120"/>
      <c r="D47" s="120"/>
      <c r="E47" s="126"/>
      <c r="F47" s="126"/>
    </row>
    <row r="48" spans="1:7" ht="12.75" customHeight="1" x14ac:dyDescent="0.3">
      <c r="A48" s="123"/>
      <c r="B48" s="124"/>
      <c r="D48" s="124"/>
      <c r="E48" s="124"/>
      <c r="F48" s="124"/>
    </row>
    <row r="49" spans="1:4" ht="12.75" customHeight="1" x14ac:dyDescent="0.3">
      <c r="A49" s="127" t="s">
        <v>4066</v>
      </c>
      <c r="B49" s="128"/>
      <c r="C49" s="126"/>
      <c r="D49" s="126" t="s">
        <v>3</v>
      </c>
    </row>
    <row r="50" spans="1:4" ht="12.75" customHeight="1" x14ac:dyDescent="0.3">
      <c r="A50" s="119"/>
      <c r="D50" s="120" t="s">
        <v>2</v>
      </c>
    </row>
    <row r="51" spans="1:4" ht="12.75" customHeight="1" x14ac:dyDescent="0.3"/>
    <row r="52" spans="1:4" ht="12.75" customHeight="1" x14ac:dyDescent="0.3">
      <c r="D52" s="89" t="s">
        <v>1</v>
      </c>
    </row>
    <row r="53" spans="1:4" ht="12.75" customHeight="1" x14ac:dyDescent="0.3">
      <c r="D53" s="89" t="s">
        <v>0</v>
      </c>
    </row>
    <row r="54" spans="1:4" ht="12.75" customHeight="1" x14ac:dyDescent="0.3"/>
    <row r="55" spans="1:4" ht="12.75" customHeight="1" x14ac:dyDescent="0.3"/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3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2"/>
  <headerFooter alignWithMargins="0"/>
</worksheet>
</file>

<file path=xl/worksheets/sheet7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2-000000000000}">
  <sheetPr codeName="Sheet159">
    <pageSetUpPr fitToPage="1"/>
  </sheetPr>
  <dimension ref="A1:F52"/>
  <sheetViews>
    <sheetView topLeftCell="A19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3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1517</v>
      </c>
      <c r="E9" s="91" t="s">
        <v>1799</v>
      </c>
    </row>
    <row r="10" spans="1:6" x14ac:dyDescent="0.2">
      <c r="A10" s="91" t="s">
        <v>1802</v>
      </c>
      <c r="D10" s="92" t="s">
        <v>1357</v>
      </c>
      <c r="E10" s="92" t="s">
        <v>1800</v>
      </c>
    </row>
    <row r="11" spans="1:6" x14ac:dyDescent="0.2">
      <c r="A11" s="91" t="s">
        <v>1803</v>
      </c>
      <c r="D11" s="92" t="s">
        <v>1330</v>
      </c>
      <c r="E11" s="92" t="s">
        <v>1220</v>
      </c>
    </row>
    <row r="12" spans="1:6" x14ac:dyDescent="0.2">
      <c r="D12" s="92" t="s">
        <v>1224</v>
      </c>
      <c r="E12" s="92" t="s">
        <v>1801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 t="s">
        <v>1806</v>
      </c>
    </row>
    <row r="19" spans="1:6" x14ac:dyDescent="0.2">
      <c r="A19" s="93"/>
      <c r="B19" s="93"/>
    </row>
    <row r="20" spans="1:6" x14ac:dyDescent="0.2">
      <c r="A20" s="93" t="s">
        <v>1804</v>
      </c>
      <c r="B20" s="93" t="s">
        <v>1805</v>
      </c>
      <c r="C20" s="91" t="s">
        <v>1807</v>
      </c>
      <c r="F20" s="91">
        <f>60*5.016</f>
        <v>300.95999999999998</v>
      </c>
    </row>
    <row r="21" spans="1:6" x14ac:dyDescent="0.2">
      <c r="C21" s="91" t="s">
        <v>1808</v>
      </c>
    </row>
    <row r="22" spans="1:6" x14ac:dyDescent="0.2">
      <c r="C22" s="91" t="s">
        <v>1809</v>
      </c>
    </row>
    <row r="32" spans="1:6" ht="13.5" thickBot="1" x14ac:dyDescent="0.25">
      <c r="F32" s="107">
        <f>SUM(F18:F31)</f>
        <v>300.95999999999998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1810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2-000000000000}">
  <sheetPr codeName="Sheet16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5.5703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1813</v>
      </c>
      <c r="D9" s="92" t="s">
        <v>1517</v>
      </c>
      <c r="E9" s="91" t="s">
        <v>1811</v>
      </c>
    </row>
    <row r="10" spans="1:6" x14ac:dyDescent="0.2">
      <c r="A10" s="91" t="s">
        <v>1814</v>
      </c>
      <c r="D10" s="92" t="s">
        <v>1357</v>
      </c>
      <c r="E10" s="92" t="s">
        <v>1800</v>
      </c>
    </row>
    <row r="11" spans="1:6" x14ac:dyDescent="0.2">
      <c r="A11" s="91" t="s">
        <v>1815</v>
      </c>
      <c r="D11" s="92" t="s">
        <v>1330</v>
      </c>
      <c r="E11" s="92" t="s">
        <v>1220</v>
      </c>
    </row>
    <row r="12" spans="1:6" x14ac:dyDescent="0.2">
      <c r="A12" s="91" t="s">
        <v>1015</v>
      </c>
      <c r="D12" s="92" t="s">
        <v>1224</v>
      </c>
      <c r="E12" s="92" t="s">
        <v>1812</v>
      </c>
    </row>
    <row r="13" spans="1:6" x14ac:dyDescent="0.2">
      <c r="A13" s="91" t="s">
        <v>1816</v>
      </c>
    </row>
    <row r="14" spans="1:6" x14ac:dyDescent="0.2">
      <c r="A14" s="91" t="s">
        <v>1817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8" spans="1:6" x14ac:dyDescent="0.2">
      <c r="C18" s="2"/>
    </row>
    <row r="19" spans="1:6" x14ac:dyDescent="0.2">
      <c r="A19" s="93" t="s">
        <v>1818</v>
      </c>
      <c r="B19" s="93" t="s">
        <v>1819</v>
      </c>
      <c r="C19" s="91" t="s">
        <v>1820</v>
      </c>
      <c r="F19" s="91">
        <v>3000</v>
      </c>
    </row>
    <row r="20" spans="1:6" x14ac:dyDescent="0.2">
      <c r="A20" s="93"/>
      <c r="B20" s="93"/>
      <c r="C20" s="91" t="s">
        <v>1821</v>
      </c>
    </row>
    <row r="21" spans="1:6" x14ac:dyDescent="0.2">
      <c r="C21" s="91" t="s">
        <v>1822</v>
      </c>
    </row>
    <row r="22" spans="1:6" x14ac:dyDescent="0.2">
      <c r="C22" s="91" t="s">
        <v>1823</v>
      </c>
    </row>
    <row r="23" spans="1:6" x14ac:dyDescent="0.2">
      <c r="C23" s="91" t="s">
        <v>1824</v>
      </c>
    </row>
    <row r="24" spans="1:6" x14ac:dyDescent="0.2">
      <c r="C24" s="91" t="s">
        <v>1825</v>
      </c>
    </row>
    <row r="26" spans="1:6" x14ac:dyDescent="0.2">
      <c r="C26" s="91" t="s">
        <v>1826</v>
      </c>
      <c r="F26" s="91">
        <f>F19*6%</f>
        <v>180</v>
      </c>
    </row>
    <row r="32" spans="1:6" ht="13.5" thickBot="1" x14ac:dyDescent="0.25">
      <c r="F32" s="107">
        <f>SUM(F18:F31)</f>
        <v>3180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1827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2-000000000000}">
  <sheetPr codeName="Sheet162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1710</v>
      </c>
      <c r="D9" s="92" t="s">
        <v>1300</v>
      </c>
      <c r="E9" s="91" t="s">
        <v>1708</v>
      </c>
    </row>
    <row r="10" spans="1:6" x14ac:dyDescent="0.2">
      <c r="A10" s="91" t="s">
        <v>1711</v>
      </c>
      <c r="D10" s="92" t="s">
        <v>1356</v>
      </c>
      <c r="E10" s="92" t="s">
        <v>1670</v>
      </c>
    </row>
    <row r="11" spans="1:6" x14ac:dyDescent="0.2">
      <c r="A11" s="91" t="s">
        <v>1712</v>
      </c>
      <c r="D11" s="92" t="s">
        <v>1364</v>
      </c>
      <c r="E11" s="92" t="s">
        <v>1220</v>
      </c>
    </row>
    <row r="12" spans="1:6" x14ac:dyDescent="0.2">
      <c r="A12" s="91" t="s">
        <v>1245</v>
      </c>
      <c r="D12" s="92" t="s">
        <v>1224</v>
      </c>
      <c r="E12" s="92" t="s">
        <v>1709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1713</v>
      </c>
    </row>
    <row r="19" spans="1:6" x14ac:dyDescent="0.2">
      <c r="A19" s="106"/>
    </row>
    <row r="20" spans="1:6" x14ac:dyDescent="0.2">
      <c r="A20" s="137" t="s">
        <v>11</v>
      </c>
      <c r="B20" s="99"/>
      <c r="C20" s="91" t="s">
        <v>1714</v>
      </c>
      <c r="F20" s="91">
        <v>8000</v>
      </c>
    </row>
    <row r="21" spans="1:6" x14ac:dyDescent="0.2">
      <c r="A21" s="106"/>
      <c r="C21" s="91" t="s">
        <v>1715</v>
      </c>
    </row>
    <row r="22" spans="1:6" x14ac:dyDescent="0.2">
      <c r="A22" s="106"/>
      <c r="C22" s="91" t="s">
        <v>1716</v>
      </c>
    </row>
    <row r="23" spans="1:6" x14ac:dyDescent="0.2">
      <c r="A23" s="106"/>
    </row>
    <row r="24" spans="1:6" x14ac:dyDescent="0.2">
      <c r="A24" s="106"/>
    </row>
    <row r="25" spans="1:6" x14ac:dyDescent="0.2">
      <c r="A25" s="137"/>
      <c r="B25" s="99"/>
    </row>
    <row r="26" spans="1:6" x14ac:dyDescent="0.2">
      <c r="A26" s="106"/>
      <c r="C26" s="143"/>
    </row>
    <row r="27" spans="1:6" x14ac:dyDescent="0.2">
      <c r="A27" s="106"/>
    </row>
    <row r="28" spans="1:6" x14ac:dyDescent="0.2">
      <c r="A28" s="106"/>
    </row>
    <row r="29" spans="1:6" x14ac:dyDescent="0.2">
      <c r="A29" s="106"/>
    </row>
    <row r="31" spans="1:6" x14ac:dyDescent="0.2">
      <c r="A31" s="106"/>
    </row>
    <row r="32" spans="1:6" ht="13.5" thickBot="1" x14ac:dyDescent="0.25">
      <c r="A32" s="106"/>
      <c r="F32" s="107">
        <f>SUM(F19:F31)</f>
        <v>8000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96" t="s">
        <v>1418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61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2-000000000000}">
  <sheetPr codeName="Sheet163">
    <pageSetUpPr fitToPage="1"/>
  </sheetPr>
  <dimension ref="A1:F52"/>
  <sheetViews>
    <sheetView topLeftCell="A16" workbookViewId="0">
      <selection activeCell="B35" sqref="B35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1638</v>
      </c>
      <c r="D9" s="92" t="s">
        <v>1300</v>
      </c>
      <c r="E9" s="61" t="s">
        <v>5172</v>
      </c>
    </row>
    <row r="10" spans="1:6" x14ac:dyDescent="0.2">
      <c r="A10" s="91" t="s">
        <v>1639</v>
      </c>
      <c r="D10" s="92" t="s">
        <v>1356</v>
      </c>
      <c r="E10" s="113" t="s">
        <v>5170</v>
      </c>
    </row>
    <row r="11" spans="1:6" x14ac:dyDescent="0.2">
      <c r="A11" s="91" t="s">
        <v>1640</v>
      </c>
      <c r="D11" s="92" t="s">
        <v>1364</v>
      </c>
      <c r="E11" s="113" t="s">
        <v>1220</v>
      </c>
    </row>
    <row r="12" spans="1:6" x14ac:dyDescent="0.2">
      <c r="A12" s="91" t="s">
        <v>1641</v>
      </c>
      <c r="D12" s="92" t="s">
        <v>1224</v>
      </c>
      <c r="E12" s="91" t="s">
        <v>5171</v>
      </c>
    </row>
    <row r="13" spans="1:6" x14ac:dyDescent="0.2">
      <c r="A13" s="91" t="s">
        <v>1642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5173</v>
      </c>
    </row>
    <row r="19" spans="1:6" x14ac:dyDescent="0.2">
      <c r="A19" s="106"/>
      <c r="C19" s="2"/>
    </row>
    <row r="20" spans="1:6" x14ac:dyDescent="0.2">
      <c r="A20" s="137"/>
      <c r="B20" s="93"/>
      <c r="C20" s="91" t="s">
        <v>5206</v>
      </c>
      <c r="F20" s="91">
        <v>1322.17</v>
      </c>
    </row>
    <row r="21" spans="1:6" x14ac:dyDescent="0.2">
      <c r="A21" s="137"/>
    </row>
    <row r="22" spans="1:6" x14ac:dyDescent="0.2">
      <c r="A22" s="106"/>
      <c r="C22" s="91" t="s">
        <v>52</v>
      </c>
      <c r="F22" s="91">
        <v>20</v>
      </c>
    </row>
    <row r="23" spans="1:6" x14ac:dyDescent="0.2">
      <c r="A23" s="137"/>
    </row>
    <row r="24" spans="1:6" x14ac:dyDescent="0.2">
      <c r="A24" s="106"/>
      <c r="C24" s="91" t="s">
        <v>2147</v>
      </c>
      <c r="F24" s="91">
        <v>1.2</v>
      </c>
    </row>
    <row r="25" spans="1:6" x14ac:dyDescent="0.2">
      <c r="A25" s="137"/>
    </row>
    <row r="26" spans="1:6" x14ac:dyDescent="0.2">
      <c r="A26" s="106"/>
      <c r="C26" s="143"/>
    </row>
    <row r="27" spans="1:6" x14ac:dyDescent="0.2">
      <c r="A27" s="106"/>
    </row>
    <row r="28" spans="1:6" x14ac:dyDescent="0.2">
      <c r="A28" s="106"/>
    </row>
    <row r="29" spans="1:6" x14ac:dyDescent="0.2">
      <c r="A29" s="106"/>
    </row>
    <row r="31" spans="1:6" x14ac:dyDescent="0.2">
      <c r="A31" s="106"/>
    </row>
    <row r="32" spans="1:6" x14ac:dyDescent="0.2">
      <c r="A32" s="106"/>
    </row>
    <row r="33" spans="1:6" ht="13.5" thickBot="1" x14ac:dyDescent="0.25">
      <c r="A33" s="106"/>
      <c r="F33" s="107">
        <f>SUM(F20:F32)</f>
        <v>1343.3700000000001</v>
      </c>
    </row>
    <row r="34" spans="1:6" ht="13.5" thickTop="1" x14ac:dyDescent="0.2">
      <c r="A34" s="106"/>
      <c r="F34" s="101"/>
    </row>
    <row r="35" spans="1:6" ht="20.100000000000001" customHeight="1" x14ac:dyDescent="0.2">
      <c r="A35" s="96" t="s">
        <v>1248</v>
      </c>
      <c r="B35" s="96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Three Hundred Forty-Three and 37/100 -----------</v>
      </c>
      <c r="C35" s="97"/>
      <c r="D35" s="97"/>
      <c r="E35" s="97"/>
      <c r="F35" s="207"/>
    </row>
    <row r="36" spans="1:6" x14ac:dyDescent="0.2">
      <c r="A36" s="94"/>
    </row>
    <row r="37" spans="1:6" ht="25.5" x14ac:dyDescent="0.2">
      <c r="A37" s="91" t="s">
        <v>10</v>
      </c>
      <c r="D37" s="218" t="s">
        <v>3975</v>
      </c>
      <c r="E37" s="219"/>
      <c r="F37" s="220"/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01"/>
      <c r="B41" s="10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2-000000000000}">
  <sheetPr codeName="Sheet165">
    <pageSetUpPr fitToPage="1"/>
  </sheetPr>
  <dimension ref="A1:H55"/>
  <sheetViews>
    <sheetView topLeftCell="A7" workbookViewId="0">
      <selection activeCell="G9" sqref="G9:G12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1.140625" style="91" customWidth="1"/>
    <col min="4" max="4" width="21" style="91" customWidth="1"/>
    <col min="5" max="5" width="1.28515625" style="91" customWidth="1"/>
    <col min="6" max="6" width="16.42578125" style="91" customWidth="1"/>
    <col min="7" max="7" width="9.28515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1358</v>
      </c>
      <c r="G9" s="91" t="s">
        <v>7517</v>
      </c>
    </row>
    <row r="10" spans="1:8" x14ac:dyDescent="0.2">
      <c r="A10" s="91" t="s">
        <v>1567</v>
      </c>
      <c r="F10" s="92" t="s">
        <v>1357</v>
      </c>
      <c r="G10" s="92" t="s">
        <v>7501</v>
      </c>
    </row>
    <row r="11" spans="1:8" x14ac:dyDescent="0.2">
      <c r="A11" s="91" t="s">
        <v>1568</v>
      </c>
      <c r="F11" s="92" t="s">
        <v>1330</v>
      </c>
      <c r="G11" s="92" t="s">
        <v>1220</v>
      </c>
    </row>
    <row r="12" spans="1:8" x14ac:dyDescent="0.2">
      <c r="A12" s="91" t="s">
        <v>1569</v>
      </c>
      <c r="F12" s="92" t="s">
        <v>1224</v>
      </c>
      <c r="G12" s="92" t="s">
        <v>7518</v>
      </c>
    </row>
    <row r="13" spans="1:8" x14ac:dyDescent="0.2">
      <c r="A13" s="91" t="s">
        <v>1570</v>
      </c>
    </row>
    <row r="16" spans="1:8" s="14" customFormat="1" ht="20.100000000000001" customHeight="1" x14ac:dyDescent="0.2">
      <c r="A16" s="17" t="s">
        <v>1261</v>
      </c>
      <c r="B16" s="17" t="s">
        <v>1262</v>
      </c>
      <c r="C16" s="17"/>
      <c r="D16" s="18" t="s">
        <v>19</v>
      </c>
      <c r="E16" s="18"/>
      <c r="F16" s="17"/>
      <c r="G16" s="16"/>
      <c r="H16" s="15" t="s">
        <v>18</v>
      </c>
    </row>
    <row r="18" spans="1:8" x14ac:dyDescent="0.2">
      <c r="D18" s="2" t="s">
        <v>7519</v>
      </c>
      <c r="E18" s="2"/>
    </row>
    <row r="19" spans="1:8" x14ac:dyDescent="0.2">
      <c r="A19" s="93"/>
      <c r="B19" s="93"/>
      <c r="C19" s="93"/>
    </row>
    <row r="20" spans="1:8" x14ac:dyDescent="0.2">
      <c r="A20" s="93" t="s">
        <v>7456</v>
      </c>
      <c r="B20" s="93" t="s">
        <v>7520</v>
      </c>
      <c r="C20" s="93"/>
      <c r="D20" s="91" t="s">
        <v>7521</v>
      </c>
      <c r="H20" s="91">
        <v>33018.870000000003</v>
      </c>
    </row>
    <row r="21" spans="1:8" x14ac:dyDescent="0.2">
      <c r="A21" s="93"/>
      <c r="B21" s="93"/>
      <c r="C21" s="93"/>
      <c r="D21" s="91" t="s">
        <v>6886</v>
      </c>
      <c r="H21" s="91">
        <v>1981.13</v>
      </c>
    </row>
    <row r="22" spans="1:8" x14ac:dyDescent="0.2">
      <c r="A22" s="93"/>
      <c r="B22" s="93"/>
      <c r="C22" s="93"/>
    </row>
    <row r="23" spans="1:8" x14ac:dyDescent="0.2">
      <c r="A23" s="93"/>
      <c r="B23" s="93"/>
      <c r="C23" s="93"/>
    </row>
    <row r="31" spans="1:8" x14ac:dyDescent="0.2">
      <c r="H31" s="2"/>
    </row>
    <row r="32" spans="1:8" x14ac:dyDescent="0.2">
      <c r="B32" s="94"/>
      <c r="C32" s="94"/>
    </row>
    <row r="33" spans="1:8" x14ac:dyDescent="0.2">
      <c r="B33" s="94"/>
      <c r="C33" s="94"/>
    </row>
    <row r="35" spans="1:8" ht="13.5" thickBot="1" x14ac:dyDescent="0.25">
      <c r="H35" s="95">
        <f>SUM(H18:H34)</f>
        <v>35000</v>
      </c>
    </row>
    <row r="36" spans="1:8" ht="13.5" thickTop="1" x14ac:dyDescent="0.2"/>
    <row r="37" spans="1:8" ht="20.100000000000001" customHeight="1" x14ac:dyDescent="0.2">
      <c r="A37" s="96" t="s">
        <v>122</v>
      </c>
      <c r="B37" s="96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Thirty-Five Thousand and NO/100 -----------</v>
      </c>
      <c r="C37" s="96"/>
      <c r="D37" s="97"/>
      <c r="E37" s="97"/>
      <c r="F37" s="97"/>
      <c r="G37" s="97"/>
      <c r="H37" s="97"/>
    </row>
    <row r="38" spans="1:8" x14ac:dyDescent="0.2">
      <c r="A38" s="94"/>
      <c r="H38" s="209"/>
    </row>
    <row r="39" spans="1:8" ht="25.5" x14ac:dyDescent="0.2">
      <c r="A39" s="98" t="s">
        <v>10</v>
      </c>
      <c r="F39" s="218" t="s">
        <v>3975</v>
      </c>
      <c r="G39" s="219"/>
      <c r="H39" s="220"/>
    </row>
    <row r="40" spans="1:8" x14ac:dyDescent="0.2">
      <c r="A40" s="98"/>
    </row>
    <row r="41" spans="1:8" x14ac:dyDescent="0.2">
      <c r="A41" s="98"/>
    </row>
    <row r="42" spans="1:8" x14ac:dyDescent="0.2">
      <c r="A42" s="98"/>
    </row>
    <row r="43" spans="1:8" x14ac:dyDescent="0.2">
      <c r="A43" s="100"/>
      <c r="B43" s="101"/>
      <c r="C43" s="386"/>
      <c r="D43" s="99"/>
      <c r="E43" s="402"/>
      <c r="F43" s="227"/>
      <c r="G43" s="227"/>
      <c r="H43" s="227"/>
    </row>
    <row r="44" spans="1:8" x14ac:dyDescent="0.2">
      <c r="A44" s="98"/>
      <c r="F44" s="228"/>
      <c r="G44" s="229"/>
      <c r="H44" s="229"/>
    </row>
    <row r="45" spans="1:8" x14ac:dyDescent="0.2">
      <c r="A45" s="98" t="s">
        <v>4302</v>
      </c>
      <c r="D45" s="98" t="s">
        <v>4302</v>
      </c>
      <c r="F45" s="228"/>
      <c r="G45" s="229"/>
      <c r="H45" s="229"/>
    </row>
    <row r="47" spans="1:8" x14ac:dyDescent="0.2">
      <c r="A47" s="98"/>
      <c r="D47" s="98"/>
    </row>
    <row r="48" spans="1:8" x14ac:dyDescent="0.2">
      <c r="A48" s="98"/>
      <c r="D48" s="98"/>
    </row>
    <row r="49" spans="1:8" x14ac:dyDescent="0.2">
      <c r="A49" s="98"/>
      <c r="D49" s="98"/>
    </row>
    <row r="50" spans="1:8" x14ac:dyDescent="0.2">
      <c r="A50" s="100"/>
      <c r="B50" s="101"/>
      <c r="C50" s="386"/>
      <c r="D50" s="100"/>
      <c r="F50" s="101"/>
      <c r="G50" s="101"/>
      <c r="H50" s="101"/>
    </row>
    <row r="51" spans="1:8" s="61" customFormat="1" ht="17.100000000000001" customHeight="1" x14ac:dyDescent="0.2">
      <c r="A51" s="91" t="s">
        <v>4066</v>
      </c>
      <c r="B51" s="104"/>
      <c r="C51" s="104"/>
      <c r="D51" s="91" t="s">
        <v>50</v>
      </c>
      <c r="F51" s="61" t="s">
        <v>3</v>
      </c>
    </row>
    <row r="52" spans="1:8" x14ac:dyDescent="0.2">
      <c r="A52" s="98"/>
      <c r="F52" s="91" t="s">
        <v>2</v>
      </c>
    </row>
    <row r="53" spans="1:8" x14ac:dyDescent="0.2">
      <c r="A53" s="98"/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5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2-000000000000}">
  <sheetPr codeName="Sheet166">
    <pageSetUpPr fitToPage="1"/>
  </sheetPr>
  <dimension ref="A1:I57"/>
  <sheetViews>
    <sheetView zoomScaleSheetLayoutView="100" workbookViewId="0">
      <selection activeCell="D23" sqref="D23"/>
    </sheetView>
  </sheetViews>
  <sheetFormatPr defaultRowHeight="16.5" x14ac:dyDescent="0.3"/>
  <cols>
    <col min="1" max="1" width="15.5703125" style="120" customWidth="1"/>
    <col min="2" max="2" width="17.28515625" style="120" customWidth="1"/>
    <col min="3" max="3" width="1.28515625" style="120" customWidth="1"/>
    <col min="4" max="4" width="21" style="120" customWidth="1"/>
    <col min="5" max="5" width="1.28515625" style="120" customWidth="1"/>
    <col min="6" max="6" width="16.42578125" style="120" customWidth="1"/>
    <col min="7" max="7" width="8.7109375" style="120" customWidth="1"/>
    <col min="8" max="8" width="13.28515625" style="120" customWidth="1"/>
    <col min="9" max="9" width="16.140625" style="37" customWidth="1"/>
    <col min="10" max="16384" width="9.140625" style="37"/>
  </cols>
  <sheetData>
    <row r="1" spans="1:9" ht="15" customHeight="1" x14ac:dyDescent="0.3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ht="12.75" customHeight="1" x14ac:dyDescent="0.3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ht="12.75" customHeight="1" x14ac:dyDescent="0.3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ht="12.75" customHeight="1" x14ac:dyDescent="0.3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9" ht="12.75" customHeight="1" x14ac:dyDescent="0.3">
      <c r="A5" s="91"/>
      <c r="B5" s="91"/>
      <c r="C5" s="91"/>
      <c r="D5" s="91"/>
      <c r="E5" s="91"/>
      <c r="F5" s="91"/>
      <c r="G5" s="91"/>
      <c r="H5" s="91"/>
    </row>
    <row r="6" spans="1:9" ht="12.75" customHeight="1" x14ac:dyDescent="0.3">
      <c r="A6" s="91"/>
      <c r="B6" s="91"/>
      <c r="C6" s="91"/>
      <c r="D6" s="91"/>
      <c r="E6" s="91"/>
      <c r="F6" s="91"/>
      <c r="G6" s="91"/>
      <c r="H6" s="91"/>
    </row>
    <row r="7" spans="1:9" ht="12.75" customHeight="1" x14ac:dyDescent="0.3">
      <c r="A7" s="91"/>
      <c r="B7" s="91"/>
      <c r="C7" s="91"/>
      <c r="D7" s="91"/>
      <c r="E7" s="91"/>
      <c r="F7" s="91"/>
      <c r="G7" s="91"/>
      <c r="H7" s="91"/>
    </row>
    <row r="8" spans="1:9" s="38" customFormat="1" ht="12.75" customHeight="1" x14ac:dyDescent="0.2">
      <c r="A8" s="61" t="s">
        <v>32</v>
      </c>
      <c r="B8" s="61"/>
      <c r="C8" s="61"/>
      <c r="D8" s="61"/>
      <c r="E8" s="61"/>
      <c r="F8" s="57" t="s">
        <v>31</v>
      </c>
      <c r="G8" s="61"/>
      <c r="H8" s="61"/>
    </row>
    <row r="9" spans="1:9" s="38" customFormat="1" ht="12.75" customHeight="1" x14ac:dyDescent="0.2">
      <c r="A9" s="61"/>
      <c r="B9" s="61"/>
      <c r="C9" s="61"/>
      <c r="D9" s="61"/>
      <c r="E9" s="61"/>
      <c r="F9" s="113" t="s">
        <v>1353</v>
      </c>
      <c r="G9" s="91" t="s">
        <v>8259</v>
      </c>
      <c r="H9" s="61"/>
    </row>
    <row r="10" spans="1:9" s="38" customFormat="1" ht="12.75" customHeight="1" x14ac:dyDescent="0.2">
      <c r="A10" s="61" t="s">
        <v>5130</v>
      </c>
      <c r="B10" s="61"/>
      <c r="C10" s="61"/>
      <c r="D10" s="61"/>
      <c r="E10" s="61"/>
      <c r="F10" s="113" t="s">
        <v>1335</v>
      </c>
      <c r="G10" s="92" t="s">
        <v>8255</v>
      </c>
      <c r="H10" s="61"/>
    </row>
    <row r="11" spans="1:9" s="38" customFormat="1" ht="12.75" customHeight="1" x14ac:dyDescent="0.2">
      <c r="A11" s="61" t="s">
        <v>2137</v>
      </c>
      <c r="B11" s="61"/>
      <c r="C11" s="61"/>
      <c r="D11" s="61"/>
      <c r="E11" s="61"/>
      <c r="F11" s="113" t="s">
        <v>1354</v>
      </c>
      <c r="G11" s="92" t="s">
        <v>1220</v>
      </c>
      <c r="H11" s="61"/>
    </row>
    <row r="12" spans="1:9" s="38" customFormat="1" ht="12.75" customHeight="1" x14ac:dyDescent="0.2">
      <c r="A12" s="61" t="s">
        <v>2138</v>
      </c>
      <c r="B12" s="61"/>
      <c r="C12" s="61"/>
      <c r="D12" s="61"/>
      <c r="E12" s="61"/>
      <c r="F12" s="113" t="s">
        <v>1377</v>
      </c>
      <c r="G12" s="92" t="s">
        <v>8260</v>
      </c>
      <c r="H12" s="61"/>
    </row>
    <row r="13" spans="1:9" s="38" customFormat="1" ht="12.75" customHeight="1" x14ac:dyDescent="0.2">
      <c r="A13" s="61" t="s">
        <v>2139</v>
      </c>
      <c r="B13" s="61"/>
      <c r="C13" s="61"/>
      <c r="D13" s="61"/>
      <c r="E13" s="61"/>
      <c r="F13" s="61"/>
      <c r="G13" s="61"/>
      <c r="H13" s="61"/>
    </row>
    <row r="14" spans="1:9" s="38" customFormat="1" ht="12.75" customHeight="1" x14ac:dyDescent="0.2">
      <c r="B14" s="61"/>
      <c r="C14" s="61"/>
      <c r="D14" s="61"/>
      <c r="E14" s="61"/>
      <c r="F14" s="61"/>
      <c r="G14" s="61"/>
      <c r="H14" s="61"/>
    </row>
    <row r="15" spans="1:9" s="46" customFormat="1" ht="12.75" customHeight="1" x14ac:dyDescent="0.2">
      <c r="A15" s="61"/>
      <c r="B15" s="61"/>
      <c r="C15" s="61"/>
      <c r="D15" s="61"/>
      <c r="E15" s="61"/>
      <c r="F15" s="61"/>
      <c r="G15" s="61"/>
      <c r="H15" s="61"/>
    </row>
    <row r="16" spans="1:9" s="46" customFormat="1" x14ac:dyDescent="0.2">
      <c r="A16" s="31" t="s">
        <v>129</v>
      </c>
      <c r="B16" s="31" t="s">
        <v>128</v>
      </c>
      <c r="C16" s="31"/>
      <c r="D16" s="18" t="s">
        <v>19</v>
      </c>
      <c r="E16" s="18"/>
      <c r="F16" s="17"/>
      <c r="G16" s="31"/>
      <c r="H16" s="15" t="s">
        <v>18</v>
      </c>
      <c r="I16" s="56"/>
    </row>
    <row r="17" spans="1:9" s="46" customFormat="1" ht="12.75" customHeight="1" x14ac:dyDescent="0.2">
      <c r="A17" s="130"/>
      <c r="B17" s="114"/>
      <c r="C17" s="114"/>
      <c r="D17" s="115"/>
      <c r="E17" s="115"/>
      <c r="F17" s="114"/>
      <c r="G17" s="116"/>
      <c r="H17" s="117"/>
      <c r="I17" s="56"/>
    </row>
    <row r="18" spans="1:9" s="38" customFormat="1" ht="12.75" customHeight="1" x14ac:dyDescent="0.2">
      <c r="A18" s="129"/>
      <c r="B18" s="103"/>
      <c r="C18" s="103"/>
      <c r="D18" s="14" t="s">
        <v>2133</v>
      </c>
      <c r="E18" s="14"/>
      <c r="F18" s="61"/>
      <c r="G18" s="61"/>
      <c r="H18" s="61"/>
      <c r="I18" s="55"/>
    </row>
    <row r="19" spans="1:9" s="38" customFormat="1" ht="12.75" customHeight="1" x14ac:dyDescent="0.2">
      <c r="D19" s="14" t="s">
        <v>2134</v>
      </c>
      <c r="E19" s="14"/>
      <c r="G19" s="61"/>
      <c r="H19" s="61"/>
      <c r="I19" s="55"/>
    </row>
    <row r="20" spans="1:9" s="38" customFormat="1" ht="12.75" customHeight="1" x14ac:dyDescent="0.2">
      <c r="I20" s="55"/>
    </row>
    <row r="21" spans="1:9" s="38" customFormat="1" ht="12.75" customHeight="1" x14ac:dyDescent="0.2">
      <c r="A21" s="129" t="s">
        <v>8261</v>
      </c>
      <c r="B21" s="142" t="s">
        <v>8262</v>
      </c>
      <c r="C21" s="142"/>
      <c r="D21" s="61" t="s">
        <v>2135</v>
      </c>
      <c r="E21" s="61"/>
      <c r="F21" s="61"/>
      <c r="G21" s="61"/>
      <c r="H21" s="61">
        <v>180</v>
      </c>
      <c r="I21" s="55"/>
    </row>
    <row r="22" spans="1:9" s="38" customFormat="1" ht="12.75" customHeight="1" x14ac:dyDescent="0.2">
      <c r="A22" s="118"/>
      <c r="B22" s="103"/>
      <c r="C22" s="103"/>
      <c r="D22" s="61" t="s">
        <v>8263</v>
      </c>
      <c r="E22" s="61"/>
      <c r="F22" s="61"/>
      <c r="G22" s="61"/>
      <c r="H22" s="61"/>
      <c r="I22" s="55"/>
    </row>
    <row r="23" spans="1:9" s="38" customFormat="1" ht="12.75" customHeight="1" x14ac:dyDescent="0.2">
      <c r="A23" s="118"/>
      <c r="B23" s="103"/>
      <c r="C23" s="103"/>
      <c r="D23" s="61"/>
      <c r="E23" s="61"/>
      <c r="F23" s="61"/>
      <c r="G23" s="61"/>
      <c r="H23" s="61"/>
      <c r="I23" s="55"/>
    </row>
    <row r="24" spans="1:9" s="38" customFormat="1" ht="12.75" customHeight="1" x14ac:dyDescent="0.2">
      <c r="A24" s="118"/>
      <c r="B24" s="103"/>
      <c r="C24" s="103"/>
      <c r="D24" s="14" t="s">
        <v>2710</v>
      </c>
      <c r="E24" s="14"/>
      <c r="F24" s="61"/>
      <c r="G24" s="61"/>
      <c r="H24" s="61"/>
      <c r="I24" s="55"/>
    </row>
    <row r="25" spans="1:9" s="38" customFormat="1" ht="12.75" customHeight="1" x14ac:dyDescent="0.2">
      <c r="A25" s="118"/>
      <c r="B25" s="103"/>
      <c r="C25" s="103"/>
      <c r="D25" s="14"/>
      <c r="E25" s="14"/>
      <c r="G25" s="61"/>
      <c r="H25" s="61"/>
      <c r="I25" s="55"/>
    </row>
    <row r="26" spans="1:9" ht="12.75" customHeight="1" x14ac:dyDescent="0.3">
      <c r="A26" s="118"/>
      <c r="B26" s="103"/>
      <c r="C26" s="103"/>
      <c r="D26" s="61" t="s">
        <v>2135</v>
      </c>
      <c r="E26" s="61"/>
      <c r="F26" s="61"/>
      <c r="G26" s="61"/>
      <c r="H26" s="61">
        <v>150</v>
      </c>
      <c r="I26" s="55"/>
    </row>
    <row r="27" spans="1:9" ht="12.75" customHeight="1" x14ac:dyDescent="0.3">
      <c r="A27" s="91"/>
      <c r="B27" s="91"/>
      <c r="C27" s="91"/>
      <c r="D27" s="61" t="s">
        <v>8263</v>
      </c>
      <c r="E27" s="61"/>
      <c r="F27" s="61"/>
      <c r="G27" s="61"/>
      <c r="H27" s="61"/>
      <c r="I27" s="55"/>
    </row>
    <row r="28" spans="1:9" ht="12.75" customHeight="1" x14ac:dyDescent="0.3">
      <c r="A28" s="91"/>
      <c r="B28" s="91"/>
      <c r="C28" s="91"/>
      <c r="D28" s="61"/>
      <c r="E28" s="61"/>
      <c r="F28" s="91"/>
      <c r="G28" s="91"/>
      <c r="H28" s="91"/>
    </row>
    <row r="29" spans="1:9" ht="12.75" customHeight="1" x14ac:dyDescent="0.3">
      <c r="A29" s="91"/>
      <c r="B29" s="91"/>
      <c r="C29" s="91"/>
      <c r="D29" s="61"/>
      <c r="E29" s="61"/>
      <c r="F29" s="91"/>
      <c r="G29" s="91"/>
      <c r="H29" s="91"/>
    </row>
    <row r="30" spans="1:9" ht="12.75" customHeight="1" x14ac:dyDescent="0.3">
      <c r="A30" s="91"/>
      <c r="B30" s="91"/>
      <c r="C30" s="91"/>
      <c r="D30" s="61"/>
      <c r="E30" s="61"/>
      <c r="F30" s="91"/>
      <c r="G30" s="91"/>
      <c r="H30" s="91"/>
    </row>
    <row r="31" spans="1:9" s="38" customFormat="1" ht="12.75" customHeight="1" x14ac:dyDescent="0.2">
      <c r="A31" s="52"/>
      <c r="B31" s="52"/>
      <c r="C31" s="52"/>
      <c r="D31" s="52"/>
      <c r="E31" s="52"/>
      <c r="F31" s="52"/>
      <c r="G31" s="52"/>
      <c r="H31" s="52"/>
      <c r="I31" s="55"/>
    </row>
    <row r="32" spans="1:9" s="38" customFormat="1" ht="12.75" customHeight="1" x14ac:dyDescent="0.2">
      <c r="A32" s="118"/>
      <c r="B32" s="103"/>
      <c r="C32" s="103"/>
      <c r="D32" s="61"/>
      <c r="E32" s="61"/>
      <c r="F32" s="61"/>
      <c r="G32" s="61"/>
      <c r="H32" s="61"/>
      <c r="I32" s="55"/>
    </row>
    <row r="33" spans="1:9" s="38" customFormat="1" ht="12.75" customHeight="1" x14ac:dyDescent="0.2">
      <c r="A33" s="118"/>
      <c r="B33" s="103"/>
      <c r="C33" s="103"/>
      <c r="D33" s="61"/>
      <c r="E33" s="61"/>
      <c r="F33" s="61"/>
      <c r="G33" s="61"/>
      <c r="H33" s="61"/>
      <c r="I33" s="55"/>
    </row>
    <row r="34" spans="1:9" s="38" customFormat="1" ht="15.75" customHeight="1" thickBot="1" x14ac:dyDescent="0.25">
      <c r="A34" s="131"/>
      <c r="B34" s="126"/>
      <c r="C34" s="126"/>
      <c r="D34" s="126"/>
      <c r="E34" s="126"/>
      <c r="F34" s="126"/>
      <c r="G34" s="126"/>
      <c r="H34" s="141">
        <f>SUM(H18:H33)</f>
        <v>330</v>
      </c>
      <c r="I34" s="55"/>
    </row>
    <row r="35" spans="1:9" s="38" customFormat="1" ht="12.75" customHeight="1" thickTop="1" x14ac:dyDescent="0.2">
      <c r="A35" s="131"/>
      <c r="B35" s="126"/>
      <c r="C35" s="126"/>
      <c r="D35" s="126"/>
      <c r="E35" s="126"/>
      <c r="F35" s="126"/>
      <c r="G35" s="126"/>
      <c r="H35" s="126"/>
      <c r="I35" s="55"/>
    </row>
    <row r="36" spans="1:9" s="239" customFormat="1" ht="20.100000000000001" customHeight="1" x14ac:dyDescent="0.2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Hundred Thirty and NO/100 -----------</v>
      </c>
      <c r="C36" s="185"/>
      <c r="D36" s="97"/>
      <c r="E36" s="97"/>
      <c r="F36" s="97"/>
      <c r="G36" s="97"/>
      <c r="H36" s="97"/>
    </row>
    <row r="37" spans="1:9" s="239" customFormat="1" ht="12.75" customHeight="1" x14ac:dyDescent="0.2">
      <c r="A37" s="94"/>
      <c r="B37" s="91"/>
      <c r="C37" s="91"/>
      <c r="D37" s="91"/>
      <c r="E37" s="91"/>
      <c r="F37" s="91"/>
      <c r="G37" s="91"/>
      <c r="H37" s="91"/>
    </row>
    <row r="38" spans="1:9" s="239" customFormat="1" ht="27" customHeight="1" x14ac:dyDescent="0.2">
      <c r="A38" s="91" t="s">
        <v>10</v>
      </c>
      <c r="B38" s="91"/>
      <c r="C38" s="91"/>
      <c r="D38" s="91"/>
      <c r="E38" s="91"/>
      <c r="F38" s="218" t="s">
        <v>3975</v>
      </c>
      <c r="G38" s="219"/>
      <c r="H38" s="220"/>
    </row>
    <row r="39" spans="1:9" s="239" customFormat="1" ht="12.75" customHeight="1" x14ac:dyDescent="0.2">
      <c r="A39" s="91"/>
      <c r="B39" s="91"/>
      <c r="C39" s="91"/>
      <c r="D39" s="91"/>
      <c r="E39" s="91"/>
      <c r="F39" s="91"/>
      <c r="G39" s="91"/>
      <c r="H39" s="91"/>
    </row>
    <row r="40" spans="1:9" s="239" customFormat="1" ht="12.75" customHeight="1" x14ac:dyDescent="0.2">
      <c r="A40" s="91"/>
      <c r="B40" s="91"/>
      <c r="C40" s="91"/>
      <c r="D40" s="91"/>
      <c r="E40" s="91"/>
      <c r="F40" s="91"/>
      <c r="G40" s="91"/>
      <c r="H40" s="91"/>
    </row>
    <row r="41" spans="1:9" s="239" customFormat="1" ht="12.75" x14ac:dyDescent="0.2">
      <c r="B41" s="91"/>
      <c r="C41" s="91"/>
      <c r="D41" s="91"/>
      <c r="E41" s="91"/>
      <c r="F41" s="227"/>
      <c r="G41" s="227"/>
      <c r="H41" s="227"/>
    </row>
    <row r="42" spans="1:9" s="239" customFormat="1" ht="12.75" x14ac:dyDescent="0.2">
      <c r="A42" s="98"/>
      <c r="B42" s="91"/>
      <c r="C42" s="91"/>
      <c r="D42" s="91"/>
      <c r="E42" s="91"/>
      <c r="F42" s="228"/>
      <c r="G42" s="229"/>
      <c r="H42" s="229"/>
    </row>
    <row r="43" spans="1:9" s="239" customFormat="1" ht="12.75" customHeight="1" x14ac:dyDescent="0.2">
      <c r="B43" s="91"/>
      <c r="C43" s="91"/>
      <c r="D43" s="91"/>
      <c r="E43" s="91"/>
      <c r="F43" s="91"/>
      <c r="G43" s="91"/>
      <c r="H43" s="102"/>
    </row>
    <row r="44" spans="1:9" s="239" customFormat="1" ht="12.75" customHeight="1" x14ac:dyDescent="0.2">
      <c r="A44" s="100"/>
      <c r="B44" s="101"/>
      <c r="C44" s="91"/>
      <c r="D44" s="91"/>
      <c r="E44" s="91"/>
      <c r="F44" s="91"/>
      <c r="G44" s="91"/>
      <c r="H44" s="102"/>
    </row>
    <row r="45" spans="1:9" s="239" customFormat="1" ht="12.75" customHeight="1" x14ac:dyDescent="0.2">
      <c r="A45" s="98"/>
      <c r="B45" s="91"/>
      <c r="C45" s="91"/>
      <c r="D45" s="91"/>
      <c r="E45" s="91"/>
      <c r="F45" s="91"/>
      <c r="G45" s="91"/>
      <c r="H45" s="91"/>
    </row>
    <row r="46" spans="1:9" s="239" customFormat="1" ht="12.75" customHeight="1" x14ac:dyDescent="0.2">
      <c r="A46" s="98" t="s">
        <v>8</v>
      </c>
      <c r="B46" s="91"/>
      <c r="C46" s="91"/>
      <c r="D46" s="98" t="s">
        <v>8</v>
      </c>
      <c r="E46" s="91"/>
      <c r="F46" s="98" t="s">
        <v>7</v>
      </c>
      <c r="G46" s="91"/>
      <c r="H46" s="91"/>
    </row>
    <row r="47" spans="1:9" s="239" customFormat="1" ht="12.75" customHeight="1" x14ac:dyDescent="0.2">
      <c r="A47" s="98"/>
      <c r="B47" s="91"/>
      <c r="C47" s="91"/>
      <c r="D47" s="98"/>
      <c r="E47" s="91"/>
      <c r="F47" s="91"/>
      <c r="G47" s="91"/>
      <c r="H47" s="91"/>
    </row>
    <row r="48" spans="1:9" s="239" customFormat="1" ht="12.75" customHeight="1" x14ac:dyDescent="0.2">
      <c r="A48" s="98"/>
      <c r="B48" s="91"/>
      <c r="C48" s="91"/>
      <c r="D48" s="98"/>
      <c r="E48" s="91"/>
      <c r="F48" s="91"/>
      <c r="G48" s="91"/>
      <c r="H48" s="91"/>
    </row>
    <row r="49" spans="1:8" s="52" customFormat="1" ht="12.75" customHeight="1" x14ac:dyDescent="0.2">
      <c r="A49" s="98"/>
      <c r="B49" s="91"/>
      <c r="C49" s="91"/>
      <c r="D49" s="98"/>
      <c r="E49" s="91"/>
      <c r="F49" s="91"/>
      <c r="G49" s="61"/>
      <c r="H49" s="61"/>
    </row>
    <row r="50" spans="1:8" s="239" customFormat="1" ht="12.75" customHeight="1" x14ac:dyDescent="0.2">
      <c r="A50" s="100"/>
      <c r="B50" s="101"/>
      <c r="C50" s="91"/>
      <c r="D50" s="100"/>
      <c r="E50" s="91"/>
      <c r="F50" s="101"/>
      <c r="G50" s="101"/>
      <c r="H50" s="101"/>
    </row>
    <row r="51" spans="1:8" s="239" customFormat="1" ht="12.75" customHeight="1" x14ac:dyDescent="0.2">
      <c r="A51" s="103" t="s">
        <v>4066</v>
      </c>
      <c r="B51" s="104"/>
      <c r="C51" s="104"/>
      <c r="D51" s="103" t="s">
        <v>50</v>
      </c>
      <c r="E51" s="61"/>
      <c r="F51" s="61" t="s">
        <v>3</v>
      </c>
      <c r="G51" s="91"/>
      <c r="H51" s="91"/>
    </row>
    <row r="52" spans="1:8" s="239" customFormat="1" ht="12.75" customHeight="1" x14ac:dyDescent="0.2">
      <c r="A52" s="98"/>
      <c r="B52" s="91"/>
      <c r="C52" s="91"/>
      <c r="D52" s="98"/>
      <c r="E52" s="91"/>
      <c r="F52" s="91" t="s">
        <v>2</v>
      </c>
      <c r="G52" s="91"/>
      <c r="H52" s="91"/>
    </row>
    <row r="53" spans="1:8" s="239" customFormat="1" ht="12.75" customHeight="1" x14ac:dyDescent="0.2">
      <c r="A53" s="91"/>
      <c r="B53" s="91"/>
      <c r="C53" s="91"/>
      <c r="D53" s="91"/>
      <c r="E53" s="91"/>
      <c r="F53" s="91"/>
      <c r="G53" s="91"/>
      <c r="H53" s="91"/>
    </row>
    <row r="54" spans="1:8" s="239" customFormat="1" ht="12.75" customHeight="1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s="239" customFormat="1" ht="12.75" customHeight="1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s="239" customFormat="1" ht="12.75" customHeight="1" x14ac:dyDescent="0.2">
      <c r="A56" s="91"/>
      <c r="B56" s="91"/>
      <c r="C56" s="91"/>
      <c r="D56" s="91"/>
      <c r="E56" s="91"/>
      <c r="F56" s="91"/>
      <c r="G56" s="91"/>
      <c r="H56" s="91"/>
    </row>
    <row r="57" spans="1:8" s="239" customFormat="1" ht="12.75" customHeight="1" x14ac:dyDescent="0.2">
      <c r="A57" s="91"/>
      <c r="B57" s="91"/>
      <c r="C57" s="91"/>
      <c r="D57" s="91"/>
      <c r="E57" s="91"/>
      <c r="F57" s="91"/>
      <c r="G57" s="91"/>
      <c r="H57" s="91"/>
    </row>
  </sheetData>
  <customSheetViews>
    <customSheetView guid="{6428A7A0-B31B-40C1-A13E-AD0DCC619E51}" fitToPage="1" topLeftCell="A3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7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2-000000000000}">
  <sheetPr codeName="Sheet273">
    <pageSetUpPr fitToPage="1"/>
  </sheetPr>
  <dimension ref="A1:I58"/>
  <sheetViews>
    <sheetView zoomScaleSheetLayoutView="100" workbookViewId="0">
      <selection activeCell="F34" sqref="F34"/>
    </sheetView>
  </sheetViews>
  <sheetFormatPr defaultRowHeight="16.5" x14ac:dyDescent="0.3"/>
  <cols>
    <col min="1" max="1" width="15.5703125" style="120" customWidth="1"/>
    <col min="2" max="2" width="17.28515625" style="120" customWidth="1"/>
    <col min="3" max="3" width="1.5703125" style="120" customWidth="1"/>
    <col min="4" max="4" width="21" style="120" customWidth="1"/>
    <col min="5" max="5" width="1.5703125" style="120" customWidth="1"/>
    <col min="6" max="6" width="16.42578125" style="120" customWidth="1"/>
    <col min="7" max="7" width="8.7109375" style="120" customWidth="1"/>
    <col min="8" max="8" width="13.28515625" style="120" customWidth="1"/>
    <col min="9" max="9" width="16.140625" style="37" customWidth="1"/>
    <col min="10" max="16384" width="9.140625" style="37"/>
  </cols>
  <sheetData>
    <row r="1" spans="1:9" ht="15" customHeight="1" x14ac:dyDescent="0.3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ht="12.75" customHeight="1" x14ac:dyDescent="0.3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ht="12.75" customHeight="1" x14ac:dyDescent="0.3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ht="12.75" customHeight="1" x14ac:dyDescent="0.3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9" ht="12.75" customHeight="1" x14ac:dyDescent="0.3">
      <c r="A5" s="91"/>
      <c r="B5" s="91"/>
      <c r="C5" s="91"/>
      <c r="D5" s="91"/>
      <c r="E5" s="91"/>
      <c r="F5" s="91"/>
      <c r="G5" s="91"/>
      <c r="H5" s="91"/>
    </row>
    <row r="6" spans="1:9" ht="12.75" customHeight="1" x14ac:dyDescent="0.3">
      <c r="A6" s="91"/>
      <c r="B6" s="91"/>
      <c r="C6" s="91"/>
      <c r="D6" s="91"/>
      <c r="E6" s="91"/>
      <c r="F6" s="91"/>
      <c r="G6" s="91"/>
      <c r="H6" s="91"/>
    </row>
    <row r="7" spans="1:9" ht="12.75" customHeight="1" x14ac:dyDescent="0.3">
      <c r="A7" s="91"/>
      <c r="B7" s="91"/>
      <c r="C7" s="91"/>
      <c r="D7" s="91"/>
      <c r="E7" s="91"/>
      <c r="F7" s="91"/>
      <c r="G7" s="91"/>
      <c r="H7" s="91"/>
    </row>
    <row r="8" spans="1:9" s="52" customFormat="1" ht="12.75" customHeight="1" x14ac:dyDescent="0.2">
      <c r="A8" s="61" t="s">
        <v>32</v>
      </c>
      <c r="B8" s="61"/>
      <c r="C8" s="61"/>
      <c r="D8" s="61"/>
      <c r="E8" s="61"/>
      <c r="F8" s="57" t="s">
        <v>31</v>
      </c>
      <c r="G8" s="61"/>
      <c r="H8" s="61"/>
    </row>
    <row r="9" spans="1:9" s="52" customFormat="1" ht="12.75" customHeight="1" x14ac:dyDescent="0.2">
      <c r="A9" s="61"/>
      <c r="B9" s="61"/>
      <c r="C9" s="61"/>
      <c r="D9" s="61"/>
      <c r="E9" s="61"/>
      <c r="F9" s="113" t="s">
        <v>1353</v>
      </c>
      <c r="G9" s="91" t="s">
        <v>6585</v>
      </c>
      <c r="H9" s="61"/>
    </row>
    <row r="10" spans="1:9" s="52" customFormat="1" ht="12.75" customHeight="1" x14ac:dyDescent="0.2">
      <c r="A10" s="61" t="s">
        <v>5130</v>
      </c>
      <c r="B10" s="61"/>
      <c r="C10" s="61"/>
      <c r="D10" s="61"/>
      <c r="E10" s="61"/>
      <c r="F10" s="113" t="s">
        <v>1335</v>
      </c>
      <c r="G10" s="98" t="s">
        <v>6587</v>
      </c>
      <c r="H10" s="61"/>
    </row>
    <row r="11" spans="1:9" s="52" customFormat="1" ht="12.75" customHeight="1" x14ac:dyDescent="0.2">
      <c r="A11" s="61" t="s">
        <v>6588</v>
      </c>
      <c r="B11" s="61"/>
      <c r="C11" s="61"/>
      <c r="D11" s="61"/>
      <c r="E11" s="61"/>
      <c r="F11" s="113" t="s">
        <v>1354</v>
      </c>
      <c r="G11" s="92" t="s">
        <v>1220</v>
      </c>
      <c r="H11" s="61"/>
    </row>
    <row r="12" spans="1:9" s="52" customFormat="1" ht="12.75" customHeight="1" x14ac:dyDescent="0.2">
      <c r="A12" s="61" t="s">
        <v>6589</v>
      </c>
      <c r="B12" s="61"/>
      <c r="C12" s="61"/>
      <c r="D12" s="61"/>
      <c r="E12" s="61"/>
      <c r="F12" s="113" t="s">
        <v>1377</v>
      </c>
      <c r="G12" s="92" t="s">
        <v>6586</v>
      </c>
      <c r="H12" s="61"/>
    </row>
    <row r="13" spans="1:9" s="52" customFormat="1" ht="12.75" customHeight="1" x14ac:dyDescent="0.2">
      <c r="A13" s="61" t="s">
        <v>6590</v>
      </c>
      <c r="B13" s="61"/>
      <c r="C13" s="61"/>
      <c r="D13" s="61"/>
      <c r="E13" s="61"/>
      <c r="F13" s="61"/>
      <c r="G13" s="61"/>
      <c r="H13" s="61"/>
    </row>
    <row r="14" spans="1:9" s="52" customFormat="1" ht="12.75" customHeight="1" x14ac:dyDescent="0.2">
      <c r="B14" s="61"/>
      <c r="C14" s="61"/>
      <c r="D14" s="61"/>
      <c r="E14" s="61"/>
      <c r="F14" s="61"/>
      <c r="G14" s="61"/>
      <c r="H14" s="61"/>
    </row>
    <row r="15" spans="1:9" s="252" customFormat="1" ht="12.75" customHeight="1" x14ac:dyDescent="0.2">
      <c r="A15" s="61"/>
      <c r="B15" s="61"/>
      <c r="C15" s="61"/>
      <c r="D15" s="61"/>
      <c r="E15" s="61"/>
      <c r="F15" s="61"/>
      <c r="G15" s="61"/>
      <c r="H15" s="61"/>
    </row>
    <row r="16" spans="1:9" s="252" customFormat="1" ht="23.25" customHeight="1" x14ac:dyDescent="0.2">
      <c r="A16" s="31" t="s">
        <v>129</v>
      </c>
      <c r="B16" s="31" t="s">
        <v>128</v>
      </c>
      <c r="C16" s="31"/>
      <c r="D16" s="18" t="s">
        <v>19</v>
      </c>
      <c r="E16" s="18"/>
      <c r="F16" s="17"/>
      <c r="G16" s="31"/>
      <c r="H16" s="15" t="s">
        <v>18</v>
      </c>
      <c r="I16" s="253"/>
    </row>
    <row r="17" spans="1:9" s="252" customFormat="1" ht="12.75" customHeight="1" x14ac:dyDescent="0.2">
      <c r="A17" s="254"/>
      <c r="B17" s="34"/>
      <c r="C17" s="34"/>
      <c r="D17" s="35"/>
      <c r="E17" s="35"/>
      <c r="F17" s="34"/>
      <c r="G17" s="255"/>
      <c r="H17" s="32"/>
      <c r="I17" s="253"/>
    </row>
    <row r="18" spans="1:9" s="52" customFormat="1" ht="12.75" customHeight="1" x14ac:dyDescent="0.2">
      <c r="A18" s="129"/>
      <c r="B18" s="103"/>
      <c r="C18" s="103"/>
      <c r="D18" s="14" t="s">
        <v>6581</v>
      </c>
      <c r="E18" s="14"/>
      <c r="F18" s="61"/>
      <c r="G18" s="61"/>
      <c r="H18" s="61"/>
      <c r="I18" s="256"/>
    </row>
    <row r="19" spans="1:9" s="52" customFormat="1" ht="12.75" customHeight="1" x14ac:dyDescent="0.2">
      <c r="D19" s="14"/>
      <c r="E19" s="14"/>
      <c r="G19" s="61"/>
      <c r="H19" s="61"/>
      <c r="I19" s="256"/>
    </row>
    <row r="20" spans="1:9" s="52" customFormat="1" ht="12.75" customHeight="1" x14ac:dyDescent="0.2">
      <c r="A20" s="129" t="s">
        <v>6591</v>
      </c>
      <c r="B20" s="103"/>
      <c r="C20" s="103"/>
      <c r="D20" s="61" t="s">
        <v>6592</v>
      </c>
      <c r="E20" s="61"/>
      <c r="F20" s="61"/>
      <c r="G20" s="61"/>
      <c r="H20" s="61">
        <v>100</v>
      </c>
      <c r="I20" s="256"/>
    </row>
    <row r="21" spans="1:9" s="52" customFormat="1" ht="12.75" customHeight="1" x14ac:dyDescent="0.2">
      <c r="A21" s="118"/>
      <c r="B21" s="103"/>
      <c r="C21" s="103"/>
      <c r="D21" s="61" t="s">
        <v>6593</v>
      </c>
      <c r="E21" s="61"/>
      <c r="F21" s="61"/>
      <c r="G21" s="61"/>
      <c r="H21" s="61"/>
      <c r="I21" s="256"/>
    </row>
    <row r="22" spans="1:9" s="52" customFormat="1" ht="12.75" customHeight="1" x14ac:dyDescent="0.2">
      <c r="A22" s="129"/>
      <c r="D22" s="61"/>
      <c r="E22" s="61"/>
      <c r="H22" s="61"/>
      <c r="I22" s="256"/>
    </row>
    <row r="23" spans="1:9" s="52" customFormat="1" ht="12.75" customHeight="1" x14ac:dyDescent="0.2">
      <c r="I23" s="256"/>
    </row>
    <row r="24" spans="1:9" s="52" customFormat="1" ht="12.75" customHeight="1" x14ac:dyDescent="0.2">
      <c r="I24" s="256"/>
    </row>
    <row r="25" spans="1:9" s="52" customFormat="1" ht="12.75" customHeight="1" x14ac:dyDescent="0.2">
      <c r="I25" s="256"/>
    </row>
    <row r="26" spans="1:9" s="52" customFormat="1" ht="12.75" customHeight="1" x14ac:dyDescent="0.2">
      <c r="A26" s="118"/>
      <c r="B26" s="103"/>
      <c r="C26" s="103"/>
      <c r="D26" s="61"/>
      <c r="E26" s="61"/>
      <c r="F26" s="61"/>
      <c r="G26" s="61"/>
      <c r="H26" s="61"/>
      <c r="I26" s="256"/>
    </row>
    <row r="27" spans="1:9" s="52" customFormat="1" ht="12.75" customHeight="1" x14ac:dyDescent="0.2">
      <c r="A27" s="118"/>
      <c r="B27" s="103"/>
      <c r="C27" s="103"/>
      <c r="D27" s="61"/>
      <c r="E27" s="61"/>
      <c r="F27" s="61"/>
      <c r="G27" s="61"/>
      <c r="H27" s="61"/>
      <c r="I27" s="256"/>
    </row>
    <row r="28" spans="1:9" s="52" customFormat="1" ht="12.75" customHeight="1" x14ac:dyDescent="0.2">
      <c r="A28" s="118"/>
      <c r="B28" s="103"/>
      <c r="C28" s="103"/>
      <c r="F28" s="61"/>
      <c r="G28" s="61"/>
      <c r="H28" s="61"/>
      <c r="I28" s="256"/>
    </row>
    <row r="29" spans="1:9" s="239" customFormat="1" ht="12.75" customHeight="1" x14ac:dyDescent="0.2">
      <c r="A29" s="118"/>
      <c r="B29" s="103"/>
      <c r="C29" s="103"/>
      <c r="D29" s="61"/>
      <c r="E29" s="61"/>
      <c r="F29" s="91"/>
      <c r="G29" s="91"/>
      <c r="H29" s="91"/>
    </row>
    <row r="30" spans="1:9" s="239" customFormat="1" ht="12.75" customHeight="1" x14ac:dyDescent="0.2">
      <c r="A30" s="91"/>
      <c r="B30" s="91"/>
      <c r="C30" s="91"/>
      <c r="D30" s="61"/>
      <c r="E30" s="61"/>
      <c r="F30" s="91"/>
      <c r="G30" s="91"/>
      <c r="H30" s="91"/>
    </row>
    <row r="31" spans="1:9" s="239" customFormat="1" ht="12.75" customHeight="1" x14ac:dyDescent="0.2">
      <c r="A31" s="91"/>
      <c r="B31" s="91"/>
      <c r="C31" s="91"/>
      <c r="D31" s="61"/>
      <c r="E31" s="61"/>
      <c r="F31" s="91"/>
      <c r="G31" s="91"/>
      <c r="H31" s="91"/>
    </row>
    <row r="32" spans="1:9" s="52" customFormat="1" ht="12.75" customHeight="1" x14ac:dyDescent="0.2">
      <c r="I32" s="256"/>
    </row>
    <row r="33" spans="1:9" s="52" customFormat="1" ht="12.75" customHeight="1" x14ac:dyDescent="0.2">
      <c r="A33" s="118"/>
      <c r="B33" s="103"/>
      <c r="C33" s="103"/>
      <c r="D33" s="61"/>
      <c r="E33" s="61"/>
      <c r="F33" s="61"/>
      <c r="G33" s="61"/>
      <c r="H33" s="61"/>
      <c r="I33" s="256"/>
    </row>
    <row r="34" spans="1:9" s="52" customFormat="1" ht="12.75" customHeight="1" x14ac:dyDescent="0.2">
      <c r="A34" s="118"/>
      <c r="B34" s="103"/>
      <c r="C34" s="103"/>
      <c r="D34" s="61"/>
      <c r="E34" s="61"/>
      <c r="F34" s="61"/>
      <c r="G34" s="61"/>
      <c r="H34" s="61"/>
      <c r="I34" s="256"/>
    </row>
    <row r="35" spans="1:9" s="52" customFormat="1" ht="15.75" customHeight="1" thickBot="1" x14ac:dyDescent="0.25">
      <c r="A35" s="257"/>
      <c r="B35" s="61"/>
      <c r="C35" s="61"/>
      <c r="D35" s="61"/>
      <c r="E35" s="61"/>
      <c r="F35" s="61"/>
      <c r="G35" s="61"/>
      <c r="H35" s="141">
        <f>SUM(H18:H34)</f>
        <v>100</v>
      </c>
      <c r="I35" s="256"/>
    </row>
    <row r="36" spans="1:9" s="52" customFormat="1" ht="12.75" customHeight="1" thickTop="1" x14ac:dyDescent="0.2">
      <c r="A36" s="257"/>
      <c r="B36" s="61"/>
      <c r="C36" s="61"/>
      <c r="D36" s="61"/>
      <c r="E36" s="61"/>
      <c r="F36" s="61"/>
      <c r="G36" s="61"/>
      <c r="H36" s="61"/>
      <c r="I36" s="256"/>
    </row>
    <row r="37" spans="1:9" s="239" customFormat="1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and NO/100 -----------</v>
      </c>
      <c r="C37" s="185"/>
      <c r="D37" s="97"/>
      <c r="E37" s="97"/>
      <c r="F37" s="97"/>
      <c r="G37" s="97"/>
      <c r="H37" s="97"/>
    </row>
    <row r="38" spans="1:9" s="239" customFormat="1" ht="12.75" customHeight="1" x14ac:dyDescent="0.2">
      <c r="A38" s="94"/>
      <c r="B38" s="91"/>
      <c r="C38" s="91"/>
      <c r="D38" s="91"/>
      <c r="E38" s="91"/>
      <c r="F38" s="91"/>
      <c r="G38" s="91"/>
      <c r="H38" s="91"/>
    </row>
    <row r="39" spans="1:9" s="239" customFormat="1" ht="23.25" customHeight="1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9" s="239" customFormat="1" ht="12.75" customHeight="1" x14ac:dyDescent="0.2">
      <c r="A40" s="91"/>
      <c r="B40" s="91"/>
      <c r="C40" s="91"/>
      <c r="D40" s="91"/>
      <c r="E40" s="91"/>
      <c r="F40" s="91"/>
      <c r="G40" s="91"/>
      <c r="H40" s="91"/>
    </row>
    <row r="41" spans="1:9" s="239" customFormat="1" ht="12.75" customHeight="1" x14ac:dyDescent="0.2">
      <c r="A41" s="91"/>
      <c r="B41" s="91"/>
      <c r="C41" s="91"/>
      <c r="D41" s="91"/>
      <c r="E41" s="91"/>
      <c r="F41" s="91"/>
      <c r="G41" s="91"/>
      <c r="H41" s="91"/>
    </row>
    <row r="42" spans="1:9" s="239" customFormat="1" ht="12.75" x14ac:dyDescent="0.2">
      <c r="B42" s="91"/>
      <c r="C42" s="91"/>
      <c r="D42" s="91"/>
      <c r="E42" s="91"/>
      <c r="F42" s="227"/>
      <c r="G42" s="227"/>
      <c r="H42" s="227"/>
    </row>
    <row r="43" spans="1:9" s="239" customFormat="1" ht="12.75" x14ac:dyDescent="0.2">
      <c r="A43" s="98"/>
      <c r="B43" s="91"/>
      <c r="C43" s="91"/>
      <c r="D43" s="91"/>
      <c r="E43" s="91"/>
      <c r="F43" s="228"/>
      <c r="G43" s="229"/>
      <c r="H43" s="229"/>
    </row>
    <row r="44" spans="1:9" s="239" customFormat="1" ht="12.75" customHeight="1" x14ac:dyDescent="0.2">
      <c r="A44" s="100"/>
      <c r="B44" s="101"/>
      <c r="C44" s="91"/>
      <c r="D44" s="91"/>
      <c r="E44" s="91"/>
      <c r="F44" s="91"/>
      <c r="G44" s="91"/>
      <c r="H44" s="102"/>
    </row>
    <row r="45" spans="1:9" s="239" customFormat="1" ht="12.75" customHeight="1" x14ac:dyDescent="0.2">
      <c r="D45" s="91"/>
      <c r="E45" s="91"/>
      <c r="F45" s="91"/>
      <c r="G45" s="91"/>
      <c r="H45" s="102"/>
    </row>
    <row r="46" spans="1:9" s="239" customFormat="1" ht="12.75" customHeight="1" x14ac:dyDescent="0.2">
      <c r="A46" s="98" t="s">
        <v>8</v>
      </c>
      <c r="B46" s="91"/>
      <c r="C46" s="91"/>
      <c r="D46" s="98" t="s">
        <v>8</v>
      </c>
      <c r="E46" s="91"/>
      <c r="F46" s="98" t="s">
        <v>7</v>
      </c>
      <c r="G46" s="91"/>
      <c r="H46" s="91"/>
    </row>
    <row r="47" spans="1:9" s="239" customFormat="1" ht="12.75" customHeight="1" x14ac:dyDescent="0.2">
      <c r="A47" s="98"/>
      <c r="B47" s="91"/>
      <c r="C47" s="91"/>
      <c r="D47" s="98"/>
      <c r="E47" s="91"/>
      <c r="F47" s="91"/>
      <c r="G47" s="91"/>
      <c r="H47" s="91"/>
    </row>
    <row r="48" spans="1:9" s="239" customFormat="1" ht="12.75" customHeight="1" x14ac:dyDescent="0.2">
      <c r="A48" s="98"/>
      <c r="B48" s="91"/>
      <c r="C48" s="91"/>
      <c r="D48" s="98"/>
      <c r="E48" s="91"/>
      <c r="F48" s="91"/>
      <c r="G48" s="91"/>
      <c r="H48" s="91"/>
    </row>
    <row r="49" spans="1:8" s="52" customFormat="1" ht="12.75" customHeight="1" x14ac:dyDescent="0.2">
      <c r="A49" s="98"/>
      <c r="B49" s="91"/>
      <c r="C49" s="91"/>
      <c r="D49" s="98"/>
      <c r="E49" s="91"/>
      <c r="F49" s="91"/>
      <c r="G49" s="61"/>
      <c r="H49" s="61"/>
    </row>
    <row r="50" spans="1:8" s="239" customFormat="1" ht="12.75" customHeight="1" x14ac:dyDescent="0.2">
      <c r="A50" s="100"/>
      <c r="B50" s="101"/>
      <c r="C50" s="91"/>
      <c r="D50" s="100"/>
      <c r="E50" s="91"/>
      <c r="F50" s="101"/>
      <c r="G50" s="101"/>
      <c r="H50" s="101"/>
    </row>
    <row r="51" spans="1:8" s="239" customFormat="1" ht="12.75" customHeight="1" x14ac:dyDescent="0.2">
      <c r="A51" s="103" t="s">
        <v>4066</v>
      </c>
      <c r="B51" s="104"/>
      <c r="C51" s="104"/>
      <c r="D51" s="103" t="s">
        <v>50</v>
      </c>
      <c r="E51" s="61"/>
      <c r="F51" s="61" t="s">
        <v>3</v>
      </c>
      <c r="G51" s="91"/>
      <c r="H51" s="91"/>
    </row>
    <row r="52" spans="1:8" s="239" customFormat="1" ht="12.75" customHeight="1" x14ac:dyDescent="0.2">
      <c r="A52" s="98"/>
      <c r="B52" s="91"/>
      <c r="C52" s="91"/>
      <c r="D52" s="91"/>
      <c r="E52" s="91"/>
      <c r="F52" s="91" t="s">
        <v>2</v>
      </c>
      <c r="G52" s="91"/>
      <c r="H52" s="91"/>
    </row>
    <row r="53" spans="1:8" s="239" customFormat="1" ht="12.75" customHeight="1" x14ac:dyDescent="0.2">
      <c r="A53" s="91"/>
      <c r="B53" s="91"/>
      <c r="C53" s="91"/>
      <c r="D53" s="91"/>
      <c r="E53" s="91"/>
      <c r="F53" s="91"/>
      <c r="G53" s="91"/>
      <c r="H53" s="91"/>
    </row>
    <row r="54" spans="1:8" s="239" customFormat="1" ht="12.75" customHeight="1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s="239" customFormat="1" ht="12.75" customHeight="1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s="239" customFormat="1" ht="12.75" customHeight="1" x14ac:dyDescent="0.2">
      <c r="A56" s="91"/>
      <c r="B56" s="91"/>
      <c r="C56" s="91"/>
      <c r="D56" s="91"/>
      <c r="E56" s="91"/>
      <c r="F56" s="91"/>
      <c r="G56" s="91"/>
      <c r="H56" s="91"/>
    </row>
    <row r="57" spans="1:8" s="239" customFormat="1" ht="12.75" customHeight="1" x14ac:dyDescent="0.2">
      <c r="A57" s="91"/>
      <c r="B57" s="91"/>
      <c r="C57" s="91"/>
      <c r="D57" s="91"/>
      <c r="E57" s="91"/>
      <c r="F57" s="91"/>
      <c r="G57" s="91"/>
      <c r="H57" s="91"/>
    </row>
    <row r="58" spans="1:8" s="239" customFormat="1" ht="12.75" x14ac:dyDescent="0.2">
      <c r="A58" s="91"/>
      <c r="B58" s="91"/>
      <c r="C58" s="91"/>
      <c r="D58" s="91"/>
      <c r="E58" s="91"/>
      <c r="F58" s="91"/>
      <c r="G58" s="91"/>
      <c r="H58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8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2"/>
  <headerFooter alignWithMargins="0"/>
</worksheet>
</file>

<file path=xl/worksheets/sheet7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2-000000000000}">
  <sheetPr codeName="Sheet167"/>
  <dimension ref="A1:F55"/>
  <sheetViews>
    <sheetView topLeftCell="A10" zoomScaleNormal="100"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10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1297</v>
      </c>
      <c r="D9" s="92" t="s">
        <v>1300</v>
      </c>
      <c r="E9" s="61" t="s">
        <v>4584</v>
      </c>
    </row>
    <row r="10" spans="1:6" x14ac:dyDescent="0.2">
      <c r="A10" s="91" t="s">
        <v>3618</v>
      </c>
      <c r="D10" s="92" t="s">
        <v>1356</v>
      </c>
      <c r="E10" s="113" t="s">
        <v>4486</v>
      </c>
    </row>
    <row r="11" spans="1:6" x14ac:dyDescent="0.2">
      <c r="A11" s="91" t="s">
        <v>1245</v>
      </c>
      <c r="D11" s="92" t="s">
        <v>1364</v>
      </c>
      <c r="E11" s="113" t="s">
        <v>1220</v>
      </c>
    </row>
    <row r="12" spans="1:6" x14ac:dyDescent="0.2">
      <c r="D12" s="92" t="s">
        <v>1224</v>
      </c>
      <c r="E12" s="113" t="s">
        <v>4585</v>
      </c>
    </row>
    <row r="14" spans="1:6" x14ac:dyDescent="0.2">
      <c r="A14" s="91" t="s">
        <v>1299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4586</v>
      </c>
    </row>
    <row r="20" spans="1:6" x14ac:dyDescent="0.2">
      <c r="A20" s="93" t="s">
        <v>4482</v>
      </c>
      <c r="B20" s="93" t="s">
        <v>4587</v>
      </c>
      <c r="C20" s="91" t="s">
        <v>4588</v>
      </c>
      <c r="F20" s="91">
        <v>216</v>
      </c>
    </row>
    <row r="24" spans="1:6" x14ac:dyDescent="0.2">
      <c r="A24" s="93"/>
      <c r="B24" s="99"/>
    </row>
    <row r="26" spans="1:6" x14ac:dyDescent="0.2">
      <c r="A26" s="93"/>
      <c r="B26" s="99"/>
    </row>
    <row r="28" spans="1:6" x14ac:dyDescent="0.2">
      <c r="A28" s="93"/>
      <c r="B28" s="99"/>
      <c r="C28" s="2"/>
    </row>
    <row r="29" spans="1:6" x14ac:dyDescent="0.2">
      <c r="A29" s="93"/>
      <c r="B29" s="99"/>
    </row>
    <row r="30" spans="1:6" x14ac:dyDescent="0.2">
      <c r="A30" s="93"/>
      <c r="B30" s="99"/>
    </row>
    <row r="31" spans="1:6" x14ac:dyDescent="0.2">
      <c r="A31" s="93"/>
      <c r="B31" s="99"/>
    </row>
    <row r="32" spans="1:6" x14ac:dyDescent="0.2">
      <c r="A32" s="93"/>
      <c r="B32" s="99"/>
      <c r="C32" s="2"/>
    </row>
    <row r="33" spans="1:6" x14ac:dyDescent="0.2">
      <c r="A33" s="93"/>
      <c r="B33" s="99"/>
    </row>
    <row r="34" spans="1:6" x14ac:dyDescent="0.2">
      <c r="A34" s="93"/>
      <c r="B34" s="99"/>
    </row>
    <row r="35" spans="1:6" x14ac:dyDescent="0.2">
      <c r="A35" s="93"/>
    </row>
    <row r="36" spans="1:6" ht="13.5" thickBot="1" x14ac:dyDescent="0.25">
      <c r="A36" s="93"/>
      <c r="F36" s="107">
        <f>SUM(F18:F35)</f>
        <v>216</v>
      </c>
    </row>
    <row r="37" spans="1:6" ht="13.5" thickTop="1" x14ac:dyDescent="0.2">
      <c r="A37" s="106"/>
    </row>
    <row r="38" spans="1:6" ht="20.100000000000001" customHeight="1" x14ac:dyDescent="0.2">
      <c r="A38" s="96" t="s">
        <v>1248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Hundred Sixteen and NO/100 -----------</v>
      </c>
      <c r="C38" s="97"/>
      <c r="D38" s="206"/>
      <c r="E38" s="206"/>
      <c r="F38" s="206"/>
    </row>
    <row r="39" spans="1:6" x14ac:dyDescent="0.2">
      <c r="A39" s="94"/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4" spans="1:6" x14ac:dyDescent="0.2">
      <c r="A44" s="101"/>
      <c r="B44" s="101"/>
    </row>
    <row r="46" spans="1:6" x14ac:dyDescent="0.2">
      <c r="A46" s="91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61" customFormat="1" ht="17.100000000000001" customHeight="1" x14ac:dyDescent="0.2">
      <c r="A51" s="91" t="s">
        <v>4066</v>
      </c>
      <c r="B51" s="104"/>
      <c r="D51" s="61" t="s">
        <v>3</v>
      </c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topLeftCell="A10">
      <selection activeCell="E9" sqref="E9"/>
      <pageMargins left="0.74803149606299213" right="0.74803149606299213" top="0.59055118110236227" bottom="0.78740157480314965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1" orientation="portrait" r:id="rId2"/>
  <headerFooter alignWithMargins="0"/>
</worksheet>
</file>

<file path=xl/worksheets/sheet7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2-000000000000}">
  <sheetPr codeName="Sheet168">
    <pageSetUpPr fitToPage="1"/>
  </sheetPr>
  <dimension ref="A1:H54"/>
  <sheetViews>
    <sheetView workbookViewId="0">
      <selection activeCell="G9" sqref="G9:G13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0.85546875" style="91" customWidth="1"/>
    <col min="4" max="4" width="21" style="91" customWidth="1"/>
    <col min="5" max="5" width="0.7109375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A9" s="91" t="s">
        <v>1636</v>
      </c>
      <c r="F9" s="92" t="s">
        <v>1300</v>
      </c>
      <c r="G9" s="91" t="s">
        <v>8366</v>
      </c>
    </row>
    <row r="10" spans="1:8" x14ac:dyDescent="0.2">
      <c r="A10" s="91" t="s">
        <v>2525</v>
      </c>
      <c r="F10" s="92" t="s">
        <v>1356</v>
      </c>
      <c r="G10" s="98" t="s">
        <v>8332</v>
      </c>
    </row>
    <row r="11" spans="1:8" x14ac:dyDescent="0.2">
      <c r="A11" s="91" t="s">
        <v>1245</v>
      </c>
      <c r="F11" s="92" t="s">
        <v>1364</v>
      </c>
      <c r="G11" s="92" t="s">
        <v>1220</v>
      </c>
    </row>
    <row r="12" spans="1:8" x14ac:dyDescent="0.2">
      <c r="A12" s="91" t="s">
        <v>2526</v>
      </c>
      <c r="F12" s="92" t="s">
        <v>1224</v>
      </c>
      <c r="G12" s="92" t="s">
        <v>8367</v>
      </c>
    </row>
    <row r="13" spans="1:8" x14ac:dyDescent="0.2">
      <c r="A13" s="91" t="s">
        <v>2527</v>
      </c>
      <c r="G13" s="91" t="s">
        <v>8348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433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106"/>
    </row>
    <row r="18" spans="1:8" x14ac:dyDescent="0.2">
      <c r="D18" s="2" t="s">
        <v>4311</v>
      </c>
      <c r="E18" s="2"/>
    </row>
    <row r="19" spans="1:8" x14ac:dyDescent="0.2">
      <c r="A19" s="106"/>
      <c r="D19" s="2"/>
      <c r="E19" s="2"/>
    </row>
    <row r="20" spans="1:8" x14ac:dyDescent="0.2">
      <c r="A20" s="137" t="s">
        <v>8349</v>
      </c>
      <c r="B20" s="94" t="s">
        <v>8368</v>
      </c>
      <c r="C20" s="94"/>
      <c r="D20" s="91" t="s">
        <v>8369</v>
      </c>
      <c r="H20" s="91">
        <v>9400</v>
      </c>
    </row>
    <row r="21" spans="1:8" x14ac:dyDescent="0.2">
      <c r="A21" s="106"/>
      <c r="D21" s="91" t="s">
        <v>8370</v>
      </c>
    </row>
    <row r="22" spans="1:8" x14ac:dyDescent="0.2">
      <c r="A22" s="106"/>
      <c r="D22" s="91" t="s">
        <v>6886</v>
      </c>
      <c r="H22" s="91">
        <f>H20*6%</f>
        <v>564</v>
      </c>
    </row>
    <row r="23" spans="1:8" x14ac:dyDescent="0.2">
      <c r="A23" s="137"/>
    </row>
    <row r="24" spans="1:8" x14ac:dyDescent="0.2">
      <c r="A24" s="137"/>
    </row>
    <row r="25" spans="1:8" x14ac:dyDescent="0.2">
      <c r="A25" s="106"/>
      <c r="D25" s="143"/>
      <c r="E25" s="143"/>
    </row>
    <row r="26" spans="1:8" x14ac:dyDescent="0.2">
      <c r="A26" s="106"/>
      <c r="D26" s="143"/>
      <c r="E26" s="143"/>
    </row>
    <row r="27" spans="1:8" x14ac:dyDescent="0.2">
      <c r="A27" s="106"/>
      <c r="D27" s="143"/>
      <c r="E27" s="143"/>
    </row>
    <row r="28" spans="1:8" x14ac:dyDescent="0.2">
      <c r="A28" s="106"/>
    </row>
    <row r="30" spans="1:8" x14ac:dyDescent="0.2">
      <c r="A30" s="106"/>
    </row>
    <row r="31" spans="1:8" x14ac:dyDescent="0.2">
      <c r="A31" s="106"/>
    </row>
    <row r="33" spans="1:8" x14ac:dyDescent="0.2">
      <c r="A33" s="106"/>
    </row>
    <row r="34" spans="1:8" x14ac:dyDescent="0.2">
      <c r="A34" s="106"/>
    </row>
    <row r="35" spans="1:8" ht="13.5" thickBot="1" x14ac:dyDescent="0.25">
      <c r="A35" s="106"/>
      <c r="H35" s="107">
        <f>SUM(H19:H33)</f>
        <v>9964</v>
      </c>
    </row>
    <row r="36" spans="1:8" ht="13.5" thickTop="1" x14ac:dyDescent="0.2">
      <c r="A36" s="106"/>
    </row>
    <row r="37" spans="1:8" ht="20.100000000000001" customHeight="1" x14ac:dyDescent="0.2">
      <c r="A37" s="96" t="s">
        <v>1248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 Thousand Nine Hundred Sixty-Four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/>
    </row>
    <row r="39" spans="1:8" ht="25.5" x14ac:dyDescent="0.2">
      <c r="A39" s="91" t="s">
        <v>10</v>
      </c>
      <c r="F39" s="218" t="s">
        <v>3975</v>
      </c>
      <c r="G39" s="219"/>
      <c r="H39" s="220"/>
    </row>
    <row r="41" spans="1:8" x14ac:dyDescent="0.2">
      <c r="F41" s="227"/>
      <c r="G41" s="227"/>
      <c r="H41" s="227"/>
    </row>
    <row r="42" spans="1:8" x14ac:dyDescent="0.2">
      <c r="A42" s="91" t="s">
        <v>120</v>
      </c>
      <c r="D42" s="99"/>
      <c r="E42" s="434"/>
      <c r="F42" s="228"/>
      <c r="G42" s="229"/>
      <c r="H42" s="229"/>
    </row>
    <row r="43" spans="1:8" x14ac:dyDescent="0.2">
      <c r="A43" s="101"/>
      <c r="B43" s="101"/>
      <c r="C43" s="386"/>
    </row>
    <row r="45" spans="1:8" x14ac:dyDescent="0.2">
      <c r="A45" s="91" t="s">
        <v>8</v>
      </c>
      <c r="D45" s="91" t="s">
        <v>8</v>
      </c>
      <c r="F45" s="98" t="s">
        <v>7</v>
      </c>
      <c r="H45" s="102"/>
    </row>
    <row r="49" spans="1:8" x14ac:dyDescent="0.2">
      <c r="A49" s="101"/>
      <c r="B49" s="101"/>
      <c r="C49" s="386"/>
      <c r="D49" s="101"/>
      <c r="F49" s="101"/>
      <c r="G49" s="101"/>
      <c r="H49" s="101"/>
    </row>
    <row r="50" spans="1:8" s="61" customFormat="1" ht="17.100000000000001" customHeight="1" x14ac:dyDescent="0.2">
      <c r="A50" s="61" t="s">
        <v>4066</v>
      </c>
      <c r="B50" s="104"/>
      <c r="C50" s="104"/>
      <c r="D50" s="61" t="s">
        <v>50</v>
      </c>
      <c r="F50" s="61" t="s">
        <v>3</v>
      </c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16">
    <pageSetUpPr fitToPage="1"/>
  </sheetPr>
  <dimension ref="A1:F56"/>
  <sheetViews>
    <sheetView workbookViewId="0">
      <selection activeCell="F34" sqref="F34"/>
    </sheetView>
  </sheetViews>
  <sheetFormatPr defaultRowHeight="12.75" x14ac:dyDescent="0.2"/>
  <cols>
    <col min="1" max="1" width="12.42578125" style="91" customWidth="1"/>
    <col min="2" max="2" width="15.5703125" style="91" customWidth="1"/>
    <col min="3" max="3" width="14.42578125" style="91" customWidth="1"/>
    <col min="4" max="4" width="16" style="91" customWidth="1"/>
    <col min="5" max="5" width="11.85546875" style="91" customWidth="1"/>
    <col min="6" max="6" width="13.425781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7327</v>
      </c>
    </row>
    <row r="10" spans="1:6" x14ac:dyDescent="0.2">
      <c r="A10" s="91" t="s">
        <v>5271</v>
      </c>
      <c r="D10" s="92" t="s">
        <v>1356</v>
      </c>
      <c r="E10" s="98" t="s">
        <v>7326</v>
      </c>
    </row>
    <row r="11" spans="1:6" x14ac:dyDescent="0.2">
      <c r="A11" s="91" t="s">
        <v>5272</v>
      </c>
      <c r="D11" s="92" t="s">
        <v>1364</v>
      </c>
      <c r="E11" s="92" t="s">
        <v>1220</v>
      </c>
    </row>
    <row r="12" spans="1:6" x14ac:dyDescent="0.2">
      <c r="A12" s="91" t="s">
        <v>1561</v>
      </c>
      <c r="D12" s="92" t="s">
        <v>1394</v>
      </c>
      <c r="E12" s="92" t="s">
        <v>7328</v>
      </c>
    </row>
    <row r="13" spans="1:6" x14ac:dyDescent="0.2">
      <c r="A13" s="91" t="s">
        <v>5273</v>
      </c>
      <c r="D13" s="92"/>
    </row>
    <row r="14" spans="1:6" x14ac:dyDescent="0.2">
      <c r="A14" s="91" t="s">
        <v>5274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  <c r="F16" s="205"/>
    </row>
    <row r="18" spans="1:6" x14ac:dyDescent="0.2">
      <c r="A18" s="93"/>
      <c r="B18" s="93"/>
      <c r="C18" s="2" t="s">
        <v>6689</v>
      </c>
    </row>
    <row r="19" spans="1:6" x14ac:dyDescent="0.2">
      <c r="A19" s="94"/>
      <c r="C19" s="2"/>
    </row>
    <row r="20" spans="1:6" x14ac:dyDescent="0.2">
      <c r="A20" s="93" t="s">
        <v>7065</v>
      </c>
      <c r="B20" s="93" t="s">
        <v>7329</v>
      </c>
      <c r="C20" s="91" t="s">
        <v>7330</v>
      </c>
      <c r="F20" s="91">
        <f>199.14</f>
        <v>199.14</v>
      </c>
    </row>
    <row r="21" spans="1:6" x14ac:dyDescent="0.2">
      <c r="A21" s="93"/>
      <c r="B21" s="93"/>
      <c r="C21" s="91" t="s">
        <v>6886</v>
      </c>
      <c r="F21" s="91">
        <v>10.86</v>
      </c>
    </row>
    <row r="22" spans="1:6" x14ac:dyDescent="0.2">
      <c r="A22" s="93"/>
      <c r="B22" s="93"/>
    </row>
    <row r="23" spans="1:6" x14ac:dyDescent="0.2">
      <c r="A23" s="93"/>
      <c r="B23" s="93"/>
    </row>
    <row r="24" spans="1:6" x14ac:dyDescent="0.2">
      <c r="A24" s="93"/>
      <c r="B24" s="93"/>
    </row>
    <row r="25" spans="1:6" x14ac:dyDescent="0.2">
      <c r="A25" s="93"/>
      <c r="B25" s="93"/>
    </row>
    <row r="26" spans="1:6" x14ac:dyDescent="0.2">
      <c r="A26" s="93"/>
      <c r="B26" s="93"/>
    </row>
    <row r="29" spans="1:6" x14ac:dyDescent="0.2">
      <c r="A29" s="93"/>
      <c r="B29" s="93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3"/>
    </row>
    <row r="34" spans="1:6" x14ac:dyDescent="0.2">
      <c r="B34" s="94"/>
    </row>
    <row r="35" spans="1:6" x14ac:dyDescent="0.2">
      <c r="B35" s="94"/>
    </row>
    <row r="36" spans="1:6" x14ac:dyDescent="0.2">
      <c r="B36" s="94"/>
    </row>
    <row r="37" spans="1:6" ht="13.5" thickBot="1" x14ac:dyDescent="0.25">
      <c r="F37" s="107">
        <f>SUM(F18:F35)</f>
        <v>210</v>
      </c>
    </row>
    <row r="38" spans="1:6" ht="13.5" thickTop="1" x14ac:dyDescent="0.2"/>
    <row r="39" spans="1:6" ht="20.100000000000001" customHeight="1" x14ac:dyDescent="0.2">
      <c r="A39" s="96" t="s">
        <v>1465</v>
      </c>
      <c r="B39" s="185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Two Hundred Ten and NO/100 -----------</v>
      </c>
      <c r="C39" s="97"/>
      <c r="D39" s="97"/>
      <c r="E39" s="97"/>
      <c r="F39" s="206"/>
    </row>
    <row r="40" spans="1:6" x14ac:dyDescent="0.2">
      <c r="A40" s="94" t="s">
        <v>11</v>
      </c>
    </row>
    <row r="41" spans="1:6" ht="24" customHeight="1" x14ac:dyDescent="0.2">
      <c r="A41" s="91" t="s">
        <v>10</v>
      </c>
      <c r="D41" s="218" t="s">
        <v>3975</v>
      </c>
      <c r="E41" s="219"/>
      <c r="F41" s="220"/>
    </row>
    <row r="43" spans="1:6" x14ac:dyDescent="0.2">
      <c r="D43" s="227"/>
      <c r="E43" s="227"/>
      <c r="F43" s="227"/>
    </row>
    <row r="44" spans="1:6" x14ac:dyDescent="0.2">
      <c r="C44" s="99"/>
      <c r="D44" s="228"/>
      <c r="E44" s="229"/>
      <c r="F44" s="229"/>
    </row>
    <row r="45" spans="1:6" x14ac:dyDescent="0.2">
      <c r="A45" s="101"/>
      <c r="B45" s="101"/>
    </row>
    <row r="47" spans="1:6" x14ac:dyDescent="0.2">
      <c r="A47" s="98" t="s">
        <v>8</v>
      </c>
      <c r="D47" s="98" t="s">
        <v>7</v>
      </c>
      <c r="E47" s="102"/>
    </row>
    <row r="51" spans="1:6" x14ac:dyDescent="0.2">
      <c r="A51" s="101"/>
      <c r="B51" s="101"/>
      <c r="D51" s="101"/>
      <c r="E51" s="101"/>
      <c r="F51" s="101"/>
    </row>
    <row r="52" spans="1:6" s="61" customFormat="1" ht="17.100000000000001" customHeight="1" x14ac:dyDescent="0.2">
      <c r="A52" s="209" t="s">
        <v>4047</v>
      </c>
      <c r="B52" s="104"/>
      <c r="D52" s="61" t="s">
        <v>3</v>
      </c>
    </row>
    <row r="53" spans="1:6" x14ac:dyDescent="0.2">
      <c r="D53" s="91" t="s">
        <v>2</v>
      </c>
    </row>
    <row r="55" spans="1:6" x14ac:dyDescent="0.2">
      <c r="D55" s="2" t="s">
        <v>1</v>
      </c>
    </row>
    <row r="56" spans="1:6" x14ac:dyDescent="0.2">
      <c r="D56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7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2-000000000000}">
  <sheetPr codeName="Sheet117">
    <pageSetUpPr fitToPage="1"/>
  </sheetPr>
  <dimension ref="A1:F51"/>
  <sheetViews>
    <sheetView topLeftCell="A13"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627</v>
      </c>
    </row>
    <row r="10" spans="1:6" x14ac:dyDescent="0.2">
      <c r="A10" s="1" t="s">
        <v>626</v>
      </c>
      <c r="D10" s="20" t="s">
        <v>27</v>
      </c>
      <c r="E10" s="20" t="s">
        <v>26</v>
      </c>
    </row>
    <row r="11" spans="1:6" x14ac:dyDescent="0.2">
      <c r="A11" s="1" t="s">
        <v>625</v>
      </c>
      <c r="D11" s="20" t="s">
        <v>24</v>
      </c>
      <c r="E11" s="20" t="s">
        <v>23</v>
      </c>
    </row>
    <row r="12" spans="1:6" x14ac:dyDescent="0.2">
      <c r="A12" s="1" t="s">
        <v>624</v>
      </c>
      <c r="D12" s="20" t="s">
        <v>22</v>
      </c>
      <c r="E12" s="19" t="s">
        <v>623</v>
      </c>
    </row>
    <row r="13" spans="1:6" x14ac:dyDescent="0.2">
      <c r="A13" s="1" t="s">
        <v>622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13" t="s">
        <v>621</v>
      </c>
    </row>
    <row r="20" spans="1:6" x14ac:dyDescent="0.2">
      <c r="C20" s="13"/>
    </row>
    <row r="22" spans="1:6" x14ac:dyDescent="0.2">
      <c r="A22" s="21" t="s">
        <v>620</v>
      </c>
      <c r="C22" s="1" t="s">
        <v>619</v>
      </c>
      <c r="F22" s="1">
        <v>8600</v>
      </c>
    </row>
    <row r="23" spans="1:6" x14ac:dyDescent="0.2">
      <c r="C23" s="1" t="s">
        <v>618</v>
      </c>
      <c r="F23" s="1">
        <v>500</v>
      </c>
    </row>
    <row r="31" spans="1:6" ht="13.5" thickBot="1" x14ac:dyDescent="0.25">
      <c r="F31" s="11">
        <f>SUM(F18:F30)</f>
        <v>9100</v>
      </c>
    </row>
    <row r="32" spans="1:6" ht="13.5" thickTop="1" x14ac:dyDescent="0.2"/>
    <row r="34" spans="1:6" ht="20.100000000000001" customHeight="1" thickBot="1" x14ac:dyDescent="0.25">
      <c r="A34" s="24" t="s">
        <v>617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 topLeftCell="A13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7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2-000000000000}">
  <sheetPr codeName="Sheet118"/>
  <dimension ref="A1:I58"/>
  <sheetViews>
    <sheetView view="pageBreakPreview" zoomScaleNormal="100" zoomScaleSheetLayoutView="100" workbookViewId="0">
      <selection activeCell="G9" sqref="G9:G13"/>
    </sheetView>
  </sheetViews>
  <sheetFormatPr defaultRowHeight="16.5" x14ac:dyDescent="0.3"/>
  <cols>
    <col min="1" max="1" width="15.5703125" style="120" customWidth="1"/>
    <col min="2" max="2" width="17.85546875" style="120" customWidth="1"/>
    <col min="3" max="3" width="0.7109375" style="120" customWidth="1"/>
    <col min="4" max="4" width="22.5703125" style="120" customWidth="1"/>
    <col min="5" max="5" width="1.140625" style="120" customWidth="1"/>
    <col min="6" max="6" width="16.42578125" style="120" customWidth="1"/>
    <col min="7" max="7" width="8.140625" style="120" customWidth="1"/>
    <col min="8" max="8" width="12.5703125" style="120" customWidth="1"/>
    <col min="9" max="9" width="16.140625" style="37" customWidth="1"/>
    <col min="10" max="16384" width="9.140625" style="37"/>
  </cols>
  <sheetData>
    <row r="1" spans="1:9" ht="15" customHeight="1" x14ac:dyDescent="0.3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ht="12.75" customHeight="1" x14ac:dyDescent="0.3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ht="12.75" customHeight="1" x14ac:dyDescent="0.3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ht="12.75" customHeight="1" x14ac:dyDescent="0.3">
      <c r="A4" s="522" t="s">
        <v>1828</v>
      </c>
      <c r="B4" s="522"/>
      <c r="C4" s="522"/>
      <c r="D4" s="522"/>
      <c r="E4" s="522"/>
      <c r="F4" s="522"/>
      <c r="G4" s="522"/>
      <c r="H4" s="522"/>
    </row>
    <row r="5" spans="1:9" ht="12.75" customHeight="1" x14ac:dyDescent="0.3">
      <c r="A5" s="91"/>
      <c r="B5" s="91"/>
      <c r="C5" s="91"/>
      <c r="D5" s="91"/>
      <c r="E5" s="91"/>
      <c r="F5" s="91"/>
      <c r="G5" s="91"/>
      <c r="H5" s="91"/>
    </row>
    <row r="6" spans="1:9" ht="12.75" customHeight="1" x14ac:dyDescent="0.3">
      <c r="A6" s="91"/>
      <c r="B6" s="91"/>
      <c r="C6" s="91"/>
      <c r="D6" s="91"/>
      <c r="E6" s="91"/>
      <c r="F6" s="91"/>
      <c r="G6" s="91"/>
      <c r="H6" s="91"/>
    </row>
    <row r="7" spans="1:9" ht="12.75" customHeight="1" x14ac:dyDescent="0.3">
      <c r="A7" s="91"/>
      <c r="B7" s="91"/>
      <c r="C7" s="91"/>
      <c r="D7" s="91"/>
      <c r="E7" s="91"/>
      <c r="F7" s="91"/>
      <c r="G7" s="91"/>
      <c r="H7" s="91"/>
    </row>
    <row r="8" spans="1:9" s="38" customFormat="1" ht="12.75" customHeight="1" x14ac:dyDescent="0.2">
      <c r="A8" s="61" t="s">
        <v>32</v>
      </c>
      <c r="B8" s="61"/>
      <c r="C8" s="61"/>
      <c r="D8" s="61"/>
      <c r="E8" s="61"/>
      <c r="F8" s="57" t="s">
        <v>31</v>
      </c>
      <c r="G8" s="61"/>
      <c r="H8" s="61"/>
    </row>
    <row r="9" spans="1:9" s="38" customFormat="1" ht="12.75" customHeight="1" x14ac:dyDescent="0.2">
      <c r="A9" s="61"/>
      <c r="B9" s="61"/>
      <c r="C9" s="61"/>
      <c r="D9" s="61"/>
      <c r="E9" s="61"/>
      <c r="F9" s="113" t="s">
        <v>1353</v>
      </c>
      <c r="G9" s="91" t="s">
        <v>8593</v>
      </c>
      <c r="H9" s="91"/>
    </row>
    <row r="10" spans="1:9" s="38" customFormat="1" ht="12.75" customHeight="1" x14ac:dyDescent="0.2">
      <c r="A10" s="61" t="s">
        <v>630</v>
      </c>
      <c r="B10" s="61"/>
      <c r="C10" s="61"/>
      <c r="D10" s="61"/>
      <c r="E10" s="61"/>
      <c r="F10" s="113" t="s">
        <v>1335</v>
      </c>
      <c r="G10" s="92" t="s">
        <v>8559</v>
      </c>
      <c r="H10" s="91"/>
    </row>
    <row r="11" spans="1:9" s="38" customFormat="1" ht="12.75" customHeight="1" x14ac:dyDescent="0.2">
      <c r="A11" s="61" t="s">
        <v>3619</v>
      </c>
      <c r="B11" s="61"/>
      <c r="C11" s="61"/>
      <c r="D11" s="61"/>
      <c r="E11" s="61"/>
      <c r="F11" s="113" t="s">
        <v>1354</v>
      </c>
      <c r="G11" s="92" t="s">
        <v>1220</v>
      </c>
      <c r="H11" s="91"/>
    </row>
    <row r="12" spans="1:9" s="38" customFormat="1" ht="12.75" customHeight="1" x14ac:dyDescent="0.2">
      <c r="A12" s="61" t="s">
        <v>629</v>
      </c>
      <c r="B12" s="61"/>
      <c r="C12" s="61"/>
      <c r="D12" s="61"/>
      <c r="E12" s="61"/>
      <c r="F12" s="113" t="s">
        <v>1355</v>
      </c>
      <c r="G12" s="92" t="s">
        <v>8594</v>
      </c>
      <c r="H12" s="91"/>
    </row>
    <row r="13" spans="1:9" s="38" customFormat="1" ht="12.75" customHeight="1" x14ac:dyDescent="0.2">
      <c r="A13" s="61" t="s">
        <v>628</v>
      </c>
      <c r="B13" s="61"/>
      <c r="C13" s="61"/>
      <c r="D13" s="61"/>
      <c r="E13" s="61"/>
      <c r="F13" s="61"/>
      <c r="G13" s="91" t="s">
        <v>7931</v>
      </c>
      <c r="H13" s="61"/>
    </row>
    <row r="14" spans="1:9" s="38" customFormat="1" ht="12.75" customHeight="1" x14ac:dyDescent="0.2">
      <c r="B14" s="61"/>
      <c r="C14" s="61"/>
      <c r="D14" s="61"/>
      <c r="E14" s="61"/>
      <c r="F14" s="61"/>
      <c r="G14" s="61"/>
      <c r="H14" s="61"/>
    </row>
    <row r="15" spans="1:9" s="46" customFormat="1" ht="12.75" customHeight="1" x14ac:dyDescent="0.2">
      <c r="A15" s="61"/>
      <c r="B15" s="61"/>
      <c r="C15" s="61"/>
      <c r="D15" s="61"/>
      <c r="E15" s="61"/>
      <c r="F15" s="61"/>
      <c r="G15" s="61"/>
      <c r="H15" s="61"/>
    </row>
    <row r="16" spans="1:9" s="46" customFormat="1" x14ac:dyDescent="0.2">
      <c r="A16" s="31" t="s">
        <v>129</v>
      </c>
      <c r="B16" s="31" t="s">
        <v>128</v>
      </c>
      <c r="C16" s="31"/>
      <c r="D16" s="18" t="s">
        <v>19</v>
      </c>
      <c r="E16" s="18"/>
      <c r="F16" s="17"/>
      <c r="G16" s="31"/>
      <c r="H16" s="15" t="s">
        <v>18</v>
      </c>
      <c r="I16" s="56"/>
    </row>
    <row r="17" spans="1:9" s="46" customFormat="1" ht="12.75" customHeight="1" x14ac:dyDescent="0.2">
      <c r="A17" s="130"/>
      <c r="B17" s="114"/>
      <c r="C17" s="114"/>
      <c r="D17" s="115"/>
      <c r="E17" s="115"/>
      <c r="F17" s="114"/>
      <c r="G17" s="116"/>
      <c r="H17" s="117"/>
      <c r="I17" s="56"/>
    </row>
    <row r="18" spans="1:9" s="38" customFormat="1" ht="12.75" customHeight="1" x14ac:dyDescent="0.2">
      <c r="D18" s="14" t="s">
        <v>4243</v>
      </c>
      <c r="E18" s="14"/>
      <c r="I18" s="55"/>
    </row>
    <row r="19" spans="1:9" s="38" customFormat="1" ht="12.75" customHeight="1" x14ac:dyDescent="0.2">
      <c r="A19" s="140"/>
      <c r="B19" s="248"/>
      <c r="C19" s="248"/>
      <c r="D19" s="61"/>
      <c r="E19" s="61"/>
      <c r="F19" s="126"/>
      <c r="G19" s="126"/>
      <c r="H19" s="61"/>
      <c r="I19" s="55"/>
    </row>
    <row r="20" spans="1:9" s="126" customFormat="1" ht="23.25" customHeight="1" x14ac:dyDescent="0.2">
      <c r="A20" s="140" t="s">
        <v>8540</v>
      </c>
      <c r="B20" s="502" t="s">
        <v>8595</v>
      </c>
      <c r="C20" s="248"/>
      <c r="D20" s="61" t="s">
        <v>8596</v>
      </c>
      <c r="E20" s="61"/>
      <c r="H20" s="61">
        <v>1000</v>
      </c>
    </row>
    <row r="21" spans="1:9" s="126" customFormat="1" ht="12.75" customHeight="1" x14ac:dyDescent="0.2">
      <c r="D21" s="61" t="s">
        <v>8597</v>
      </c>
      <c r="E21" s="61"/>
      <c r="H21" s="61">
        <v>1000</v>
      </c>
    </row>
    <row r="22" spans="1:9" s="38" customFormat="1" ht="12.75" customHeight="1" x14ac:dyDescent="0.2">
      <c r="A22" s="140"/>
      <c r="B22" s="248"/>
      <c r="C22" s="248"/>
      <c r="D22" s="61" t="s">
        <v>8598</v>
      </c>
      <c r="E22" s="61"/>
      <c r="H22" s="61">
        <v>1000</v>
      </c>
      <c r="I22" s="55"/>
    </row>
    <row r="23" spans="1:9" s="38" customFormat="1" ht="12.75" customHeight="1" x14ac:dyDescent="0.2">
      <c r="A23" s="140"/>
      <c r="B23" s="248"/>
      <c r="C23" s="248"/>
      <c r="D23" s="61" t="s">
        <v>8599</v>
      </c>
      <c r="E23" s="61"/>
      <c r="F23" s="126"/>
      <c r="G23" s="126"/>
      <c r="H23" s="61">
        <v>1000</v>
      </c>
      <c r="I23" s="55"/>
    </row>
    <row r="24" spans="1:9" s="120" customFormat="1" ht="12.75" customHeight="1" x14ac:dyDescent="0.2">
      <c r="A24" s="140"/>
      <c r="B24" s="248"/>
      <c r="C24" s="190"/>
      <c r="D24" s="61" t="s">
        <v>8601</v>
      </c>
      <c r="E24" s="61"/>
      <c r="F24" s="126"/>
      <c r="G24" s="126"/>
      <c r="H24" s="61">
        <v>1000</v>
      </c>
    </row>
    <row r="25" spans="1:9" s="120" customFormat="1" ht="12.75" customHeight="1" x14ac:dyDescent="0.2">
      <c r="A25" s="140"/>
      <c r="B25" s="190"/>
      <c r="C25" s="190"/>
      <c r="D25" s="61" t="s">
        <v>8600</v>
      </c>
      <c r="E25" s="61"/>
      <c r="F25" s="126"/>
      <c r="G25" s="126"/>
      <c r="H25" s="61">
        <v>1000</v>
      </c>
    </row>
    <row r="26" spans="1:9" ht="12.75" customHeight="1" x14ac:dyDescent="0.3">
      <c r="A26" s="118"/>
      <c r="B26" s="190"/>
      <c r="C26" s="190"/>
      <c r="D26" s="61"/>
      <c r="E26" s="61"/>
      <c r="F26" s="61"/>
      <c r="G26" s="61"/>
      <c r="H26" s="61"/>
    </row>
    <row r="27" spans="1:9" ht="12.75" customHeight="1" x14ac:dyDescent="0.3">
      <c r="A27" s="118"/>
      <c r="B27" s="190"/>
      <c r="C27" s="190"/>
      <c r="D27" s="61"/>
      <c r="E27" s="61"/>
      <c r="F27" s="61"/>
      <c r="G27" s="61"/>
      <c r="H27" s="61"/>
    </row>
    <row r="28" spans="1:9" ht="12.75" customHeight="1" x14ac:dyDescent="0.3">
      <c r="A28" s="118"/>
      <c r="B28" s="190"/>
      <c r="C28" s="190"/>
      <c r="D28" s="61"/>
      <c r="E28" s="61"/>
      <c r="F28" s="61"/>
      <c r="G28" s="61"/>
      <c r="H28" s="61"/>
    </row>
    <row r="29" spans="1:9" ht="12.75" customHeight="1" x14ac:dyDescent="0.3">
      <c r="A29" s="118"/>
      <c r="B29" s="190"/>
      <c r="C29" s="190"/>
      <c r="D29" s="61"/>
      <c r="E29" s="61"/>
      <c r="F29" s="61"/>
      <c r="G29" s="61"/>
      <c r="H29" s="61"/>
    </row>
    <row r="30" spans="1:9" ht="12.75" customHeight="1" x14ac:dyDescent="0.3">
      <c r="A30" s="118"/>
      <c r="B30" s="190"/>
      <c r="C30" s="190"/>
      <c r="D30" s="61"/>
      <c r="E30" s="61"/>
      <c r="F30" s="61"/>
      <c r="G30" s="61"/>
      <c r="H30" s="61"/>
    </row>
    <row r="31" spans="1:9" ht="12.75" customHeight="1" x14ac:dyDescent="0.3">
      <c r="A31" s="118"/>
      <c r="B31" s="190"/>
      <c r="C31" s="190"/>
      <c r="D31" s="61"/>
      <c r="E31" s="61"/>
      <c r="F31" s="61"/>
      <c r="G31" s="61"/>
      <c r="H31" s="61"/>
    </row>
    <row r="32" spans="1:9" ht="12.75" customHeight="1" x14ac:dyDescent="0.3">
      <c r="A32" s="140"/>
      <c r="B32" s="248"/>
      <c r="C32" s="248"/>
      <c r="D32" s="61"/>
      <c r="E32" s="61"/>
      <c r="F32" s="61"/>
      <c r="G32" s="61"/>
      <c r="H32" s="61"/>
    </row>
    <row r="33" spans="1:9" s="38" customFormat="1" ht="12.75" customHeight="1" x14ac:dyDescent="0.2">
      <c r="A33" s="118"/>
      <c r="B33" s="103"/>
      <c r="C33" s="103"/>
      <c r="D33" s="61"/>
      <c r="E33" s="61"/>
      <c r="F33" s="61"/>
      <c r="G33" s="61"/>
      <c r="H33" s="61"/>
      <c r="I33" s="55"/>
    </row>
    <row r="34" spans="1:9" s="38" customFormat="1" ht="15.75" customHeight="1" thickBot="1" x14ac:dyDescent="0.25">
      <c r="A34" s="131"/>
      <c r="B34" s="126"/>
      <c r="C34" s="126"/>
      <c r="D34" s="126"/>
      <c r="E34" s="126"/>
      <c r="F34" s="126"/>
      <c r="G34" s="126"/>
      <c r="H34" s="132">
        <f>SUM(H18:H33)</f>
        <v>6000</v>
      </c>
      <c r="I34" s="55"/>
    </row>
    <row r="35" spans="1:9" s="38" customFormat="1" ht="12.75" customHeight="1" thickTop="1" x14ac:dyDescent="0.2">
      <c r="A35" s="131"/>
      <c r="B35" s="126"/>
      <c r="C35" s="126"/>
      <c r="D35" s="126"/>
      <c r="E35" s="126"/>
      <c r="F35" s="126"/>
      <c r="G35" s="126"/>
      <c r="H35" s="126"/>
      <c r="I35" s="55"/>
    </row>
    <row r="36" spans="1:9" ht="20.100000000000001" customHeight="1" x14ac:dyDescent="0.3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Thousand and NO/100 -----------</v>
      </c>
      <c r="C36" s="185"/>
      <c r="D36" s="121"/>
      <c r="E36" s="121"/>
      <c r="F36" s="121"/>
      <c r="G36" s="121"/>
      <c r="H36" s="121"/>
    </row>
    <row r="37" spans="1:9" ht="12.75" customHeight="1" x14ac:dyDescent="0.3">
      <c r="A37" s="122"/>
    </row>
    <row r="38" spans="1:9" ht="27" customHeight="1" x14ac:dyDescent="0.3">
      <c r="A38" s="91" t="s">
        <v>10</v>
      </c>
      <c r="B38" s="91"/>
      <c r="C38" s="91"/>
      <c r="D38" s="91"/>
      <c r="E38" s="91"/>
      <c r="F38" s="218" t="s">
        <v>3975</v>
      </c>
      <c r="G38" s="219"/>
      <c r="H38" s="220"/>
    </row>
    <row r="39" spans="1:9" ht="12.75" customHeight="1" x14ac:dyDescent="0.3">
      <c r="A39" s="91"/>
      <c r="B39" s="91"/>
      <c r="C39" s="91"/>
      <c r="D39" s="91"/>
      <c r="E39" s="91"/>
      <c r="F39" s="91"/>
      <c r="G39" s="91"/>
      <c r="H39" s="91"/>
    </row>
    <row r="40" spans="1:9" ht="12.75" customHeight="1" x14ac:dyDescent="0.3">
      <c r="A40" s="91"/>
      <c r="B40" s="91"/>
      <c r="C40" s="91"/>
      <c r="D40" s="91"/>
      <c r="E40" s="91"/>
      <c r="F40" s="91"/>
      <c r="G40" s="91"/>
      <c r="H40" s="91"/>
    </row>
    <row r="41" spans="1:9" x14ac:dyDescent="0.3">
      <c r="A41" s="239"/>
      <c r="B41" s="91"/>
      <c r="C41" s="91"/>
      <c r="D41" s="91"/>
      <c r="E41" s="91"/>
      <c r="F41" s="227"/>
      <c r="G41" s="227"/>
      <c r="H41" s="227"/>
    </row>
    <row r="42" spans="1:9" x14ac:dyDescent="0.3">
      <c r="A42" s="100"/>
      <c r="B42" s="101"/>
      <c r="C42" s="91"/>
      <c r="D42" s="91"/>
      <c r="E42" s="91"/>
      <c r="F42" s="228"/>
      <c r="G42" s="229"/>
      <c r="H42" s="229"/>
    </row>
    <row r="43" spans="1:9" ht="12.75" customHeight="1" x14ac:dyDescent="0.3">
      <c r="A43" s="239"/>
      <c r="B43" s="239"/>
      <c r="C43" s="239"/>
      <c r="D43" s="91"/>
      <c r="E43" s="91"/>
      <c r="F43" s="91"/>
      <c r="G43" s="91"/>
      <c r="H43" s="102"/>
    </row>
    <row r="44" spans="1:9" ht="12.75" customHeight="1" x14ac:dyDescent="0.3">
      <c r="A44" s="98" t="s">
        <v>8</v>
      </c>
      <c r="B44" s="91"/>
      <c r="C44" s="91"/>
      <c r="D44" s="98" t="s">
        <v>8</v>
      </c>
      <c r="E44" s="91"/>
      <c r="F44" s="98" t="s">
        <v>7</v>
      </c>
      <c r="G44" s="91"/>
      <c r="H44" s="91"/>
    </row>
    <row r="45" spans="1:9" ht="12.75" customHeight="1" x14ac:dyDescent="0.3">
      <c r="A45" s="239"/>
      <c r="B45" s="91"/>
      <c r="C45" s="91"/>
      <c r="D45" s="239"/>
      <c r="E45" s="91"/>
      <c r="G45" s="91"/>
      <c r="H45" s="91"/>
    </row>
    <row r="46" spans="1:9" ht="12.75" customHeight="1" x14ac:dyDescent="0.3">
      <c r="A46" s="98"/>
      <c r="B46" s="91"/>
      <c r="C46" s="91"/>
      <c r="D46" s="98"/>
      <c r="E46" s="91"/>
      <c r="F46" s="91"/>
      <c r="G46" s="91"/>
      <c r="H46" s="91"/>
    </row>
    <row r="47" spans="1:9" ht="12.75" customHeight="1" x14ac:dyDescent="0.3">
      <c r="A47" s="98"/>
      <c r="B47" s="91"/>
      <c r="C47" s="91"/>
      <c r="D47" s="98"/>
      <c r="E47" s="91"/>
      <c r="F47" s="91"/>
      <c r="G47" s="91"/>
      <c r="H47" s="91"/>
    </row>
    <row r="48" spans="1:9" s="38" customFormat="1" ht="12.75" customHeight="1" x14ac:dyDescent="0.2">
      <c r="A48" s="98"/>
      <c r="B48" s="91"/>
      <c r="C48" s="91"/>
      <c r="D48" s="98"/>
      <c r="E48" s="91"/>
      <c r="F48" s="91"/>
      <c r="G48" s="61"/>
      <c r="H48" s="61"/>
    </row>
    <row r="49" spans="1:8" ht="12.75" customHeight="1" x14ac:dyDescent="0.3">
      <c r="A49" s="100"/>
      <c r="B49" s="101"/>
      <c r="C49" s="91"/>
      <c r="D49" s="100"/>
      <c r="E49" s="91"/>
      <c r="F49" s="101"/>
      <c r="G49" s="101"/>
      <c r="H49" s="101"/>
    </row>
    <row r="50" spans="1:8" x14ac:dyDescent="0.3">
      <c r="A50" s="98" t="s">
        <v>4066</v>
      </c>
      <c r="B50" s="104"/>
      <c r="C50" s="104"/>
      <c r="D50" s="98" t="s">
        <v>4066</v>
      </c>
      <c r="E50" s="61"/>
      <c r="F50" s="61" t="s">
        <v>3</v>
      </c>
      <c r="G50" s="91"/>
      <c r="H50" s="91"/>
    </row>
    <row r="51" spans="1:8" x14ac:dyDescent="0.3">
      <c r="A51" s="98"/>
      <c r="B51" s="91"/>
      <c r="C51" s="91"/>
      <c r="D51" s="98"/>
      <c r="E51" s="91"/>
      <c r="F51" s="91" t="s">
        <v>2</v>
      </c>
      <c r="G51" s="91"/>
      <c r="H51" s="91"/>
    </row>
    <row r="52" spans="1:8" ht="12.75" customHeight="1" x14ac:dyDescent="0.3">
      <c r="A52" s="91"/>
      <c r="B52" s="91"/>
      <c r="C52" s="91"/>
      <c r="D52" s="91"/>
      <c r="E52" s="91"/>
      <c r="F52" s="91"/>
      <c r="G52" s="91"/>
      <c r="H52" s="91"/>
    </row>
    <row r="53" spans="1:8" x14ac:dyDescent="0.3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3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ht="12.75" customHeight="1" x14ac:dyDescent="0.3">
      <c r="A55" s="91"/>
      <c r="B55" s="91"/>
      <c r="C55" s="91"/>
      <c r="D55" s="91"/>
      <c r="E55" s="91"/>
      <c r="F55" s="91"/>
      <c r="G55" s="91"/>
      <c r="H55" s="91"/>
    </row>
    <row r="56" spans="1:8" ht="12.75" customHeight="1" x14ac:dyDescent="0.3">
      <c r="A56" s="91"/>
      <c r="B56" s="91"/>
      <c r="C56" s="91"/>
      <c r="D56" s="91"/>
      <c r="E56" s="91"/>
      <c r="F56" s="91"/>
      <c r="G56" s="91"/>
      <c r="H56" s="91"/>
    </row>
    <row r="57" spans="1:8" x14ac:dyDescent="0.3">
      <c r="A57" s="91"/>
      <c r="B57" s="91"/>
      <c r="C57" s="91"/>
      <c r="D57" s="91"/>
      <c r="E57" s="91"/>
      <c r="F57" s="91"/>
      <c r="G57" s="91"/>
      <c r="H57" s="91"/>
    </row>
    <row r="58" spans="1:8" x14ac:dyDescent="0.3">
      <c r="A58" s="91"/>
      <c r="B58" s="91"/>
      <c r="C58" s="91"/>
      <c r="D58" s="91"/>
      <c r="E58" s="91"/>
      <c r="F58" s="91"/>
      <c r="G58" s="91"/>
      <c r="H58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4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7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2-000000000000}">
  <sheetPr codeName="Sheet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140625" style="91" customWidth="1"/>
    <col min="3" max="3" width="21" style="91" customWidth="1"/>
    <col min="4" max="4" width="16.42578125" style="91" customWidth="1"/>
    <col min="5" max="5" width="7.140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2214</v>
      </c>
    </row>
    <row r="10" spans="1:6" x14ac:dyDescent="0.2">
      <c r="A10" s="91" t="s">
        <v>1401</v>
      </c>
      <c r="D10" s="92" t="s">
        <v>1357</v>
      </c>
      <c r="E10" s="92" t="s">
        <v>2203</v>
      </c>
    </row>
    <row r="11" spans="1:6" x14ac:dyDescent="0.2">
      <c r="A11" s="91" t="s">
        <v>1402</v>
      </c>
      <c r="D11" s="92" t="s">
        <v>1330</v>
      </c>
      <c r="E11" s="92" t="s">
        <v>1220</v>
      </c>
    </row>
    <row r="12" spans="1:6" x14ac:dyDescent="0.2">
      <c r="A12" s="91" t="s">
        <v>1403</v>
      </c>
      <c r="D12" s="92" t="s">
        <v>1316</v>
      </c>
      <c r="E12" s="92" t="s">
        <v>2215</v>
      </c>
    </row>
    <row r="13" spans="1:6" x14ac:dyDescent="0.2">
      <c r="A13" s="91" t="s">
        <v>1404</v>
      </c>
    </row>
    <row r="16" spans="1:6" s="14" customFormat="1" ht="20.100000000000001" customHeight="1" x14ac:dyDescent="0.2">
      <c r="A16" s="31" t="s">
        <v>1226</v>
      </c>
      <c r="B16" s="31" t="s">
        <v>128</v>
      </c>
      <c r="C16" s="18" t="s">
        <v>19</v>
      </c>
      <c r="D16" s="17"/>
      <c r="E16" s="16"/>
      <c r="F16" s="15" t="s">
        <v>18</v>
      </c>
    </row>
    <row r="19" spans="1:6" x14ac:dyDescent="0.2">
      <c r="C19" s="2" t="s">
        <v>2216</v>
      </c>
    </row>
    <row r="21" spans="1:6" x14ac:dyDescent="0.2">
      <c r="A21" s="142" t="s">
        <v>2218</v>
      </c>
      <c r="B21" s="142" t="s">
        <v>2217</v>
      </c>
      <c r="C21" s="91" t="s">
        <v>2219</v>
      </c>
      <c r="F21" s="91">
        <v>1400</v>
      </c>
    </row>
    <row r="32" spans="1:6" ht="13.5" thickBot="1" x14ac:dyDescent="0.25">
      <c r="F32" s="107">
        <f>SUM(F18:F31)</f>
        <v>1400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122</v>
      </c>
      <c r="B35" s="96" t="s">
        <v>1406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2-000000000000}">
  <sheetPr codeName="Sheet4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642</v>
      </c>
    </row>
    <row r="10" spans="1:6" x14ac:dyDescent="0.2">
      <c r="A10" s="1" t="s">
        <v>641</v>
      </c>
      <c r="D10" s="20" t="s">
        <v>27</v>
      </c>
      <c r="E10" s="20" t="s">
        <v>640</v>
      </c>
    </row>
    <row r="11" spans="1:6" x14ac:dyDescent="0.2">
      <c r="A11" s="1" t="s">
        <v>639</v>
      </c>
      <c r="D11" s="20" t="s">
        <v>24</v>
      </c>
      <c r="E11" s="20" t="s">
        <v>23</v>
      </c>
    </row>
    <row r="12" spans="1:6" x14ac:dyDescent="0.2">
      <c r="A12" s="1" t="s">
        <v>548</v>
      </c>
      <c r="D12" s="20" t="s">
        <v>22</v>
      </c>
      <c r="E12" s="20" t="s">
        <v>638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1:6" x14ac:dyDescent="0.2">
      <c r="C19" s="21"/>
    </row>
    <row r="20" spans="1:6" x14ac:dyDescent="0.2">
      <c r="A20" s="1" t="s">
        <v>637</v>
      </c>
      <c r="C20" s="1" t="s">
        <v>636</v>
      </c>
      <c r="F20" s="1">
        <v>3480</v>
      </c>
    </row>
    <row r="21" spans="1:6" x14ac:dyDescent="0.2">
      <c r="A21" s="1" t="s">
        <v>635</v>
      </c>
      <c r="C21" s="1" t="s">
        <v>634</v>
      </c>
    </row>
    <row r="22" spans="1:6" x14ac:dyDescent="0.2">
      <c r="C22" s="1" t="s">
        <v>633</v>
      </c>
    </row>
    <row r="23" spans="1:6" x14ac:dyDescent="0.2">
      <c r="B23" s="8"/>
    </row>
    <row r="24" spans="1:6" x14ac:dyDescent="0.2">
      <c r="B24" s="8"/>
      <c r="C24" s="8"/>
    </row>
    <row r="25" spans="1:6" x14ac:dyDescent="0.2">
      <c r="B25" s="8"/>
    </row>
    <row r="26" spans="1:6" x14ac:dyDescent="0.2">
      <c r="B26" s="8"/>
    </row>
    <row r="27" spans="1:6" x14ac:dyDescent="0.2">
      <c r="B27" s="8"/>
    </row>
    <row r="28" spans="1:6" x14ac:dyDescent="0.2">
      <c r="B28" s="8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2" spans="1:6" ht="13.5" thickBot="1" x14ac:dyDescent="0.25">
      <c r="F32" s="11">
        <f>SUM(F20:F31)</f>
        <v>3480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632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2-000000000000}">
  <sheetPr codeName="Sheet5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654</v>
      </c>
    </row>
    <row r="10" spans="1:6" x14ac:dyDescent="0.2">
      <c r="A10" s="1" t="s">
        <v>653</v>
      </c>
      <c r="D10" s="20" t="s">
        <v>27</v>
      </c>
      <c r="E10" s="20" t="s">
        <v>652</v>
      </c>
    </row>
    <row r="11" spans="1:6" x14ac:dyDescent="0.2">
      <c r="A11" s="1" t="s">
        <v>651</v>
      </c>
      <c r="D11" s="20" t="s">
        <v>24</v>
      </c>
      <c r="E11" s="20" t="s">
        <v>23</v>
      </c>
    </row>
    <row r="12" spans="1:6" x14ac:dyDescent="0.2">
      <c r="A12" s="1" t="s">
        <v>650</v>
      </c>
      <c r="D12" s="20" t="s">
        <v>22</v>
      </c>
      <c r="E12" s="20" t="s">
        <v>649</v>
      </c>
    </row>
    <row r="13" spans="1:6" x14ac:dyDescent="0.2">
      <c r="A13" s="1" t="s">
        <v>648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2" spans="1:6" x14ac:dyDescent="0.2">
      <c r="A22" s="1" t="s">
        <v>647</v>
      </c>
      <c r="C22" s="1" t="s">
        <v>646</v>
      </c>
      <c r="F22" s="1">
        <v>2400</v>
      </c>
    </row>
    <row r="23" spans="1:6" x14ac:dyDescent="0.2">
      <c r="C23" s="1" t="s">
        <v>645</v>
      </c>
    </row>
    <row r="25" spans="1:6" x14ac:dyDescent="0.2">
      <c r="C25" s="1" t="s">
        <v>644</v>
      </c>
      <c r="F25" s="1">
        <v>300</v>
      </c>
    </row>
    <row r="32" spans="1:6" ht="13.5" thickBot="1" x14ac:dyDescent="0.25">
      <c r="F32" s="11">
        <f>SUM(F18:F31)</f>
        <v>2700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643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2-000000000000}">
  <sheetPr codeName="Sheet387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6" style="153" customWidth="1"/>
    <col min="2" max="2" width="13.42578125" style="153" customWidth="1"/>
    <col min="3" max="3" width="21" style="153" customWidth="1"/>
    <col min="4" max="4" width="16.42578125" style="153" customWidth="1"/>
    <col min="5" max="5" width="8.7109375" style="153" customWidth="1"/>
    <col min="6" max="6" width="13.28515625" style="153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1828</v>
      </c>
      <c r="B4" s="524"/>
      <c r="C4" s="524"/>
      <c r="D4" s="524"/>
      <c r="E4" s="524"/>
      <c r="F4" s="524"/>
    </row>
    <row r="8" spans="1:6" x14ac:dyDescent="0.2">
      <c r="A8" s="153" t="s">
        <v>32</v>
      </c>
      <c r="D8" s="154" t="s">
        <v>31</v>
      </c>
    </row>
    <row r="9" spans="1:6" x14ac:dyDescent="0.2">
      <c r="D9" s="155" t="s">
        <v>1317</v>
      </c>
      <c r="E9" s="153" t="s">
        <v>4842</v>
      </c>
    </row>
    <row r="10" spans="1:6" x14ac:dyDescent="0.2">
      <c r="A10" s="153" t="s">
        <v>1970</v>
      </c>
      <c r="D10" s="155" t="s">
        <v>1329</v>
      </c>
      <c r="E10" s="155" t="s">
        <v>4815</v>
      </c>
    </row>
    <row r="11" spans="1:6" x14ac:dyDescent="0.2">
      <c r="A11" s="153" t="s">
        <v>1605</v>
      </c>
      <c r="D11" s="155" t="s">
        <v>1330</v>
      </c>
      <c r="E11" s="155" t="s">
        <v>1220</v>
      </c>
    </row>
    <row r="12" spans="1:6" x14ac:dyDescent="0.2">
      <c r="A12" s="153" t="s">
        <v>1607</v>
      </c>
      <c r="D12" s="155" t="s">
        <v>1331</v>
      </c>
      <c r="E12" s="155" t="s">
        <v>4843</v>
      </c>
    </row>
    <row r="13" spans="1:6" x14ac:dyDescent="0.2">
      <c r="A13" s="153" t="s">
        <v>1608</v>
      </c>
    </row>
    <row r="14" spans="1:6" x14ac:dyDescent="0.2">
      <c r="A14" s="153" t="s">
        <v>1606</v>
      </c>
    </row>
    <row r="16" spans="1:6" s="162" customFormat="1" ht="20.100000000000001" customHeight="1" x14ac:dyDescent="0.2">
      <c r="A16" s="157" t="s">
        <v>1247</v>
      </c>
      <c r="B16" s="158" t="s">
        <v>128</v>
      </c>
      <c r="C16" s="159" t="s">
        <v>19</v>
      </c>
      <c r="D16" s="157"/>
      <c r="E16" s="160"/>
      <c r="F16" s="161" t="s">
        <v>18</v>
      </c>
    </row>
    <row r="17" spans="1:6" x14ac:dyDescent="0.2">
      <c r="A17" s="164"/>
    </row>
    <row r="18" spans="1:6" x14ac:dyDescent="0.2">
      <c r="C18" s="214" t="s">
        <v>4844</v>
      </c>
    </row>
    <row r="19" spans="1:6" x14ac:dyDescent="0.2">
      <c r="C19" s="163"/>
    </row>
    <row r="20" spans="1:6" x14ac:dyDescent="0.2">
      <c r="A20" s="168" t="s">
        <v>4740</v>
      </c>
      <c r="B20" s="168" t="s">
        <v>4845</v>
      </c>
      <c r="C20" s="153" t="s">
        <v>4846</v>
      </c>
      <c r="F20" s="153">
        <v>550</v>
      </c>
    </row>
    <row r="21" spans="1:6" x14ac:dyDescent="0.2">
      <c r="C21" s="153" t="s">
        <v>1622</v>
      </c>
    </row>
    <row r="22" spans="1:6" x14ac:dyDescent="0.2">
      <c r="A22" s="168"/>
      <c r="B22" s="168"/>
    </row>
    <row r="23" spans="1:6" x14ac:dyDescent="0.2">
      <c r="A23" s="164"/>
      <c r="C23" s="153" t="s">
        <v>2147</v>
      </c>
      <c r="F23" s="153">
        <f>F20*6%</f>
        <v>33</v>
      </c>
    </row>
    <row r="33" spans="1:6" x14ac:dyDescent="0.2">
      <c r="A33" s="164"/>
      <c r="F33" s="152"/>
    </row>
    <row r="34" spans="1:6" ht="13.5" thickBot="1" x14ac:dyDescent="0.25">
      <c r="A34" s="164"/>
      <c r="F34" s="170">
        <f>SUM(F19:F32)</f>
        <v>583</v>
      </c>
    </row>
    <row r="35" spans="1:6" ht="13.5" thickTop="1" x14ac:dyDescent="0.2">
      <c r="A35" s="164"/>
    </row>
    <row r="36" spans="1:6" ht="20.100000000000001" customHeight="1" x14ac:dyDescent="0.2">
      <c r="A36" s="171" t="s">
        <v>1248</v>
      </c>
      <c r="B36" s="213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Five Hundred Eighty-Three and NO/100 -----------</v>
      </c>
      <c r="C36" s="172"/>
      <c r="D36" s="249"/>
      <c r="E36" s="249"/>
      <c r="F36" s="249"/>
    </row>
    <row r="37" spans="1:6" x14ac:dyDescent="0.2">
      <c r="A37" s="169"/>
    </row>
    <row r="38" spans="1:6" ht="25.5" x14ac:dyDescent="0.2">
      <c r="A38" s="169"/>
      <c r="D38" s="218" t="s">
        <v>3975</v>
      </c>
      <c r="E38" s="219"/>
      <c r="F38" s="220"/>
    </row>
    <row r="39" spans="1:6" x14ac:dyDescent="0.2">
      <c r="A39" s="153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A41" s="152"/>
    </row>
    <row r="42" spans="1:6" x14ac:dyDescent="0.2">
      <c r="A42" s="174"/>
      <c r="B42" s="174"/>
    </row>
    <row r="43" spans="1:6" x14ac:dyDescent="0.2">
      <c r="D43" s="175" t="s">
        <v>7</v>
      </c>
    </row>
    <row r="44" spans="1:6" x14ac:dyDescent="0.2">
      <c r="A44" s="153" t="s">
        <v>8</v>
      </c>
      <c r="F44" s="176"/>
    </row>
    <row r="48" spans="1:6" x14ac:dyDescent="0.2">
      <c r="A48" s="174" t="s">
        <v>120</v>
      </c>
      <c r="B48" s="174"/>
      <c r="D48" s="174"/>
      <c r="E48" s="174"/>
      <c r="F48" s="174"/>
    </row>
    <row r="49" spans="1:6" s="178" customFormat="1" ht="17.100000000000001" customHeight="1" x14ac:dyDescent="0.2">
      <c r="A49" s="156" t="s">
        <v>4066</v>
      </c>
      <c r="B49" s="177"/>
      <c r="C49" s="156"/>
      <c r="D49" s="156" t="s">
        <v>3</v>
      </c>
      <c r="E49" s="156"/>
      <c r="F49" s="156"/>
    </row>
    <row r="50" spans="1:6" x14ac:dyDescent="0.2">
      <c r="D50" s="153" t="s">
        <v>2</v>
      </c>
    </row>
    <row r="52" spans="1:6" x14ac:dyDescent="0.2">
      <c r="D52" s="163" t="s">
        <v>1</v>
      </c>
    </row>
    <row r="53" spans="1:6" x14ac:dyDescent="0.2">
      <c r="D53" s="163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7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2-000000000000}">
  <sheetPr codeName="Sheet6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3.42578125" style="91" customWidth="1"/>
    <col min="3" max="3" width="21" style="91" customWidth="1"/>
    <col min="4" max="4" width="16.42578125" style="91" customWidth="1"/>
    <col min="5" max="5" width="8.42578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1517</v>
      </c>
      <c r="E9" s="91" t="s">
        <v>1518</v>
      </c>
    </row>
    <row r="10" spans="1:6" x14ac:dyDescent="0.2">
      <c r="A10" s="91" t="s">
        <v>1514</v>
      </c>
      <c r="D10" s="92" t="s">
        <v>1357</v>
      </c>
      <c r="E10" s="92" t="s">
        <v>1519</v>
      </c>
    </row>
    <row r="11" spans="1:6" x14ac:dyDescent="0.2">
      <c r="A11" s="91" t="s">
        <v>1515</v>
      </c>
      <c r="D11" s="92" t="s">
        <v>1330</v>
      </c>
      <c r="E11" s="92" t="s">
        <v>1220</v>
      </c>
    </row>
    <row r="12" spans="1:6" x14ac:dyDescent="0.2">
      <c r="A12" s="91" t="s">
        <v>1516</v>
      </c>
      <c r="D12" s="92" t="s">
        <v>1224</v>
      </c>
      <c r="E12" s="92" t="s">
        <v>1520</v>
      </c>
    </row>
    <row r="16" spans="1:6" s="14" customFormat="1" ht="20.100000000000001" customHeight="1" x14ac:dyDescent="0.2">
      <c r="A16" s="17" t="s">
        <v>1261</v>
      </c>
      <c r="B16" s="31" t="s">
        <v>1262</v>
      </c>
      <c r="C16" s="18" t="s">
        <v>19</v>
      </c>
      <c r="D16" s="17"/>
      <c r="E16" s="16"/>
      <c r="F16" s="15" t="s">
        <v>18</v>
      </c>
    </row>
    <row r="19" spans="1:6" x14ac:dyDescent="0.2">
      <c r="A19" s="94" t="s">
        <v>1521</v>
      </c>
      <c r="B19" s="93" t="s">
        <v>1522</v>
      </c>
      <c r="C19" s="91" t="s">
        <v>1523</v>
      </c>
      <c r="F19" s="91">
        <v>2500</v>
      </c>
    </row>
    <row r="20" spans="1:6" x14ac:dyDescent="0.2">
      <c r="C20" s="91" t="s">
        <v>1524</v>
      </c>
    </row>
    <row r="32" spans="1:6" ht="13.5" thickBot="1" x14ac:dyDescent="0.25">
      <c r="F32" s="107">
        <f>SUM(F18:F31)</f>
        <v>2500</v>
      </c>
    </row>
    <row r="33" spans="1:6" ht="13.5" thickTop="1" x14ac:dyDescent="0.2"/>
    <row r="34" spans="1:6" ht="13.5" thickBot="1" x14ac:dyDescent="0.25">
      <c r="F34" s="107"/>
    </row>
    <row r="35" spans="1:6" ht="20.100000000000001" customHeight="1" thickTop="1" x14ac:dyDescent="0.2">
      <c r="A35" s="96" t="s">
        <v>336</v>
      </c>
      <c r="B35" s="96" t="s">
        <v>1525</v>
      </c>
      <c r="C35" s="97"/>
      <c r="D35" s="97"/>
      <c r="E35" s="97"/>
      <c r="F35" s="97"/>
    </row>
    <row r="36" spans="1:6" ht="25.5" x14ac:dyDescent="0.2">
      <c r="A36" s="94" t="s">
        <v>11</v>
      </c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2-000000000000}">
  <sheetPr codeName="Sheet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667</v>
      </c>
    </row>
    <row r="10" spans="1:6" x14ac:dyDescent="0.2">
      <c r="A10" s="1" t="s">
        <v>666</v>
      </c>
      <c r="D10" s="20" t="s">
        <v>27</v>
      </c>
      <c r="E10" s="20" t="s">
        <v>665</v>
      </c>
    </row>
    <row r="11" spans="1:6" x14ac:dyDescent="0.2">
      <c r="A11" s="1" t="s">
        <v>664</v>
      </c>
      <c r="D11" s="20" t="s">
        <v>24</v>
      </c>
      <c r="E11" s="20" t="s">
        <v>23</v>
      </c>
    </row>
    <row r="12" spans="1:6" x14ac:dyDescent="0.2">
      <c r="A12" s="1" t="s">
        <v>663</v>
      </c>
      <c r="D12" s="20" t="s">
        <v>22</v>
      </c>
      <c r="E12" s="19" t="s">
        <v>662</v>
      </c>
    </row>
    <row r="13" spans="1:6" x14ac:dyDescent="0.2">
      <c r="A13" s="1" t="s">
        <v>661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8" spans="1:6" x14ac:dyDescent="0.2">
      <c r="A18" s="21"/>
      <c r="C18" s="21"/>
    </row>
    <row r="19" spans="1:6" x14ac:dyDescent="0.2">
      <c r="C19" s="21"/>
    </row>
    <row r="20" spans="1:6" x14ac:dyDescent="0.2">
      <c r="A20" s="21"/>
      <c r="C20" s="13" t="s">
        <v>660</v>
      </c>
    </row>
    <row r="21" spans="1:6" x14ac:dyDescent="0.2">
      <c r="C21" s="13" t="s">
        <v>659</v>
      </c>
    </row>
    <row r="22" spans="1:6" x14ac:dyDescent="0.2">
      <c r="A22" s="21" t="s">
        <v>658</v>
      </c>
      <c r="C22" s="21"/>
    </row>
    <row r="23" spans="1:6" x14ac:dyDescent="0.2">
      <c r="C23" s="21"/>
    </row>
    <row r="24" spans="1:6" x14ac:dyDescent="0.2">
      <c r="A24" s="21" t="s">
        <v>657</v>
      </c>
      <c r="B24" s="8"/>
      <c r="C24" s="21" t="s">
        <v>656</v>
      </c>
      <c r="F24" s="1">
        <v>6000</v>
      </c>
    </row>
    <row r="25" spans="1:6" x14ac:dyDescent="0.2">
      <c r="A25" s="21"/>
      <c r="C25" s="21" t="s">
        <v>644</v>
      </c>
      <c r="F25" s="1">
        <v>450</v>
      </c>
    </row>
    <row r="26" spans="1:6" x14ac:dyDescent="0.2">
      <c r="A26" s="21"/>
      <c r="C26" s="21"/>
    </row>
    <row r="27" spans="1:6" x14ac:dyDescent="0.2">
      <c r="B27" s="8"/>
    </row>
    <row r="28" spans="1:6" x14ac:dyDescent="0.2">
      <c r="A28" s="21"/>
      <c r="B28" s="8"/>
      <c r="C28" s="21"/>
    </row>
    <row r="29" spans="1:6" x14ac:dyDescent="0.2">
      <c r="B29" s="8"/>
    </row>
    <row r="32" spans="1:6" ht="13.5" thickBot="1" x14ac:dyDescent="0.25">
      <c r="F32" s="25">
        <f>SUM(F18:F31)</f>
        <v>6450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655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2-000000000000}">
  <sheetPr codeName="Sheet8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674</v>
      </c>
    </row>
    <row r="10" spans="1:6" x14ac:dyDescent="0.2">
      <c r="A10" s="1" t="s">
        <v>673</v>
      </c>
      <c r="D10" s="20" t="s">
        <v>27</v>
      </c>
      <c r="E10" s="20" t="s">
        <v>140</v>
      </c>
    </row>
    <row r="11" spans="1:6" x14ac:dyDescent="0.2">
      <c r="A11" s="1" t="s">
        <v>672</v>
      </c>
      <c r="D11" s="20" t="s">
        <v>24</v>
      </c>
      <c r="E11" s="20" t="s">
        <v>23</v>
      </c>
    </row>
    <row r="12" spans="1:6" x14ac:dyDescent="0.2">
      <c r="A12" s="1" t="s">
        <v>671</v>
      </c>
      <c r="D12" s="20" t="s">
        <v>22</v>
      </c>
      <c r="E12" s="19" t="s">
        <v>670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138</v>
      </c>
    </row>
    <row r="21" spans="2:6" x14ac:dyDescent="0.2">
      <c r="C21" s="13" t="s">
        <v>137</v>
      </c>
    </row>
    <row r="22" spans="2:6" x14ac:dyDescent="0.2">
      <c r="C22" s="12"/>
    </row>
    <row r="24" spans="2:6" x14ac:dyDescent="0.2">
      <c r="C24" s="1" t="s">
        <v>669</v>
      </c>
      <c r="F24" s="1">
        <v>540</v>
      </c>
    </row>
    <row r="26" spans="2:6" x14ac:dyDescent="0.2">
      <c r="B26" s="8"/>
      <c r="C26" s="21"/>
    </row>
    <row r="27" spans="2:6" x14ac:dyDescent="0.2">
      <c r="B27" s="8"/>
    </row>
    <row r="28" spans="2:6" x14ac:dyDescent="0.2">
      <c r="B28" s="8"/>
    </row>
    <row r="32" spans="2:6" ht="13.5" thickBot="1" x14ac:dyDescent="0.25">
      <c r="F32" s="11">
        <f>SUM(F18:F31)</f>
        <v>540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668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2-000000000000}">
  <sheetPr codeName="Sheet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679</v>
      </c>
    </row>
    <row r="10" spans="1:6" x14ac:dyDescent="0.2">
      <c r="A10" s="1" t="s">
        <v>678</v>
      </c>
      <c r="D10" s="20" t="s">
        <v>27</v>
      </c>
      <c r="E10" s="20" t="s">
        <v>609</v>
      </c>
    </row>
    <row r="11" spans="1:6" x14ac:dyDescent="0.2">
      <c r="A11" s="1" t="s">
        <v>677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676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3" t="s">
        <v>607</v>
      </c>
    </row>
    <row r="21" spans="2:6" x14ac:dyDescent="0.2">
      <c r="C21" s="13" t="s">
        <v>606</v>
      </c>
    </row>
    <row r="22" spans="2:6" x14ac:dyDescent="0.2">
      <c r="C22" s="12"/>
    </row>
    <row r="24" spans="2:6" x14ac:dyDescent="0.2">
      <c r="C24" s="1" t="s">
        <v>15</v>
      </c>
    </row>
    <row r="26" spans="2:6" x14ac:dyDescent="0.2">
      <c r="B26" s="8" t="s">
        <v>43</v>
      </c>
      <c r="C26" s="21" t="s">
        <v>605</v>
      </c>
      <c r="F26" s="1">
        <v>1785</v>
      </c>
    </row>
    <row r="27" spans="2:6" x14ac:dyDescent="0.2">
      <c r="B27" s="8" t="s">
        <v>41</v>
      </c>
      <c r="C27" s="1" t="s">
        <v>135</v>
      </c>
      <c r="F27" s="1">
        <v>1500</v>
      </c>
    </row>
    <row r="28" spans="2:6" x14ac:dyDescent="0.2">
      <c r="B28" s="8" t="s">
        <v>39</v>
      </c>
      <c r="C28" s="1" t="s">
        <v>93</v>
      </c>
      <c r="F28" s="1">
        <v>2900</v>
      </c>
    </row>
    <row r="32" spans="2:6" ht="13.5" thickBot="1" x14ac:dyDescent="0.25">
      <c r="F32" s="11">
        <f>SUM(F18:F31)</f>
        <v>6185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24" t="s">
        <v>675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133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97">
    <pageSetUpPr fitToPage="1"/>
  </sheetPr>
  <dimension ref="A1:P55"/>
  <sheetViews>
    <sheetView zoomScaleNormal="100" workbookViewId="0">
      <selection activeCell="G9" sqref="G9:G13"/>
    </sheetView>
  </sheetViews>
  <sheetFormatPr defaultRowHeight="12.75" x14ac:dyDescent="0.2"/>
  <cols>
    <col min="1" max="1" width="16.140625" style="1" customWidth="1"/>
    <col min="2" max="2" width="12.5703125" style="1" customWidth="1"/>
    <col min="3" max="3" width="1.28515625" style="1" customWidth="1"/>
    <col min="4" max="4" width="23" style="1" customWidth="1"/>
    <col min="5" max="5" width="0.855468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2113</v>
      </c>
      <c r="B4" s="522"/>
      <c r="C4" s="522"/>
      <c r="D4" s="522"/>
      <c r="E4" s="522"/>
      <c r="F4" s="522"/>
      <c r="G4" s="522"/>
      <c r="H4" s="522"/>
      <c r="K4" s="91" t="s">
        <v>5098</v>
      </c>
      <c r="L4" s="91"/>
      <c r="M4" s="91"/>
      <c r="N4" s="91">
        <v>7788</v>
      </c>
    </row>
    <row r="5" spans="1:15" x14ac:dyDescent="0.2">
      <c r="K5" s="91" t="s">
        <v>7095</v>
      </c>
      <c r="L5" s="91"/>
      <c r="M5" s="91"/>
      <c r="N5" s="91"/>
    </row>
    <row r="6" spans="1:15" x14ac:dyDescent="0.2">
      <c r="K6" s="91"/>
      <c r="L6" s="91"/>
      <c r="M6" s="91"/>
      <c r="N6" s="91"/>
    </row>
    <row r="7" spans="1:15" x14ac:dyDescent="0.2">
      <c r="K7" s="91" t="s">
        <v>2147</v>
      </c>
      <c r="L7" s="91"/>
      <c r="M7" s="91"/>
      <c r="N7" s="91">
        <f>N4*6%</f>
        <v>467.28</v>
      </c>
    </row>
    <row r="8" spans="1:15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  <c r="K8" s="91"/>
      <c r="L8" s="91"/>
      <c r="M8" s="91"/>
      <c r="N8" s="91"/>
    </row>
    <row r="9" spans="1:15" x14ac:dyDescent="0.2">
      <c r="A9" s="91"/>
      <c r="B9" s="91"/>
      <c r="C9" s="91"/>
      <c r="D9" s="91"/>
      <c r="E9" s="91"/>
      <c r="F9" s="92" t="s">
        <v>1517</v>
      </c>
      <c r="G9" s="91" t="s">
        <v>8101</v>
      </c>
      <c r="H9" s="91"/>
      <c r="K9" s="91"/>
      <c r="L9" s="91"/>
      <c r="M9" s="91"/>
      <c r="N9" s="91"/>
    </row>
    <row r="10" spans="1:15" x14ac:dyDescent="0.2">
      <c r="A10" s="91" t="s">
        <v>4972</v>
      </c>
      <c r="B10" s="91"/>
      <c r="C10" s="91"/>
      <c r="D10" s="91"/>
      <c r="E10" s="91"/>
      <c r="F10" s="92" t="s">
        <v>1357</v>
      </c>
      <c r="G10" s="98" t="s">
        <v>8084</v>
      </c>
      <c r="H10" s="91"/>
      <c r="K10" s="1" t="s">
        <v>7093</v>
      </c>
      <c r="L10" s="1">
        <v>43448</v>
      </c>
      <c r="N10" s="1" t="s">
        <v>7090</v>
      </c>
    </row>
    <row r="11" spans="1:15" x14ac:dyDescent="0.2">
      <c r="A11" s="91" t="s">
        <v>4973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15" x14ac:dyDescent="0.2">
      <c r="A12" s="91" t="s">
        <v>3225</v>
      </c>
      <c r="B12" s="91"/>
      <c r="C12" s="91"/>
      <c r="D12" s="91"/>
      <c r="E12" s="91"/>
      <c r="F12" s="92" t="s">
        <v>1377</v>
      </c>
      <c r="G12" s="94" t="s">
        <v>8102</v>
      </c>
      <c r="H12" s="91"/>
    </row>
    <row r="13" spans="1:15" x14ac:dyDescent="0.2">
      <c r="A13" s="91" t="s">
        <v>4974</v>
      </c>
      <c r="B13" s="91"/>
      <c r="C13" s="91"/>
      <c r="D13" s="91"/>
      <c r="E13" s="91"/>
      <c r="F13" s="91"/>
      <c r="G13" s="153" t="s">
        <v>7931</v>
      </c>
      <c r="H13" s="91"/>
    </row>
    <row r="14" spans="1:15" x14ac:dyDescent="0.2">
      <c r="A14" s="91" t="s">
        <v>1314</v>
      </c>
      <c r="B14" s="91"/>
      <c r="C14" s="91"/>
      <c r="D14" s="91"/>
      <c r="E14" s="91"/>
      <c r="F14" s="91"/>
      <c r="G14" s="91"/>
      <c r="H14" s="91"/>
      <c r="K14" s="91" t="s">
        <v>5098</v>
      </c>
      <c r="L14" s="91"/>
      <c r="M14" s="91"/>
      <c r="N14" s="91">
        <v>7788</v>
      </c>
    </row>
    <row r="15" spans="1:15" x14ac:dyDescent="0.2">
      <c r="A15" s="91"/>
      <c r="B15" s="91"/>
      <c r="C15" s="91"/>
      <c r="D15" s="91"/>
      <c r="E15" s="91"/>
      <c r="F15" s="91"/>
      <c r="G15" s="91"/>
      <c r="H15" s="91"/>
      <c r="K15" s="91" t="s">
        <v>6115</v>
      </c>
      <c r="L15" s="91"/>
      <c r="M15" s="91"/>
      <c r="N15" s="91"/>
      <c r="O15" s="91"/>
    </row>
    <row r="16" spans="1:15" s="14" customFormat="1" ht="20.100000000000001" customHeight="1" x14ac:dyDescent="0.2">
      <c r="A16" s="17" t="s">
        <v>129</v>
      </c>
      <c r="B16" s="31" t="s">
        <v>128</v>
      </c>
      <c r="C16" s="463"/>
      <c r="D16" s="18" t="s">
        <v>19</v>
      </c>
      <c r="E16" s="18"/>
      <c r="F16" s="17"/>
      <c r="G16" s="16"/>
      <c r="H16" s="15" t="s">
        <v>18</v>
      </c>
      <c r="K16" s="91"/>
      <c r="L16" s="91"/>
      <c r="M16" s="91"/>
      <c r="N16" s="91"/>
      <c r="O16" s="91"/>
    </row>
    <row r="17" spans="1:16" x14ac:dyDescent="0.2">
      <c r="A17" s="91"/>
      <c r="B17" s="91"/>
      <c r="C17" s="91"/>
      <c r="D17" s="91"/>
      <c r="E17" s="91"/>
      <c r="F17" s="91"/>
      <c r="G17" s="91"/>
      <c r="H17" s="91"/>
      <c r="K17" s="91" t="s">
        <v>2147</v>
      </c>
      <c r="L17" s="91"/>
      <c r="M17" s="91"/>
      <c r="N17" s="91">
        <f>N14*6%</f>
        <v>467.28</v>
      </c>
      <c r="O17" s="91"/>
    </row>
    <row r="18" spans="1:16" x14ac:dyDescent="0.2">
      <c r="A18" s="93" t="s">
        <v>8092</v>
      </c>
      <c r="B18" s="93" t="s">
        <v>8103</v>
      </c>
      <c r="C18" s="93"/>
      <c r="D18" s="91" t="s">
        <v>5098</v>
      </c>
      <c r="E18" s="91"/>
      <c r="F18" s="91"/>
      <c r="G18" s="91"/>
      <c r="H18" s="91">
        <v>7788</v>
      </c>
      <c r="K18" s="91"/>
      <c r="L18" s="91"/>
      <c r="M18" s="91"/>
      <c r="N18" s="91"/>
      <c r="O18" s="91"/>
    </row>
    <row r="19" spans="1:16" x14ac:dyDescent="0.2">
      <c r="B19" s="93"/>
      <c r="C19" s="93"/>
      <c r="D19" s="91" t="s">
        <v>8104</v>
      </c>
      <c r="E19" s="91"/>
      <c r="F19" s="91"/>
      <c r="G19" s="91"/>
      <c r="H19" s="91"/>
      <c r="I19" s="91"/>
    </row>
    <row r="20" spans="1:16" x14ac:dyDescent="0.2">
      <c r="A20" s="93"/>
      <c r="B20" s="93"/>
      <c r="C20" s="93"/>
      <c r="D20" s="91"/>
      <c r="E20" s="91"/>
      <c r="F20" s="91"/>
      <c r="G20" s="91"/>
      <c r="H20" s="91"/>
      <c r="I20" s="91"/>
    </row>
    <row r="21" spans="1:16" x14ac:dyDescent="0.2">
      <c r="A21" s="93"/>
      <c r="B21" s="93"/>
      <c r="C21" s="93"/>
      <c r="D21" s="91" t="s">
        <v>7648</v>
      </c>
      <c r="E21" s="91"/>
      <c r="F21" s="91"/>
      <c r="G21" s="91"/>
      <c r="H21" s="91">
        <f>H18*6%</f>
        <v>467.28</v>
      </c>
      <c r="I21" s="91"/>
    </row>
    <row r="22" spans="1:16" x14ac:dyDescent="0.2">
      <c r="A22" s="93"/>
      <c r="B22" s="94"/>
      <c r="C22" s="94"/>
      <c r="D22" s="91"/>
      <c r="E22" s="91"/>
      <c r="F22" s="91"/>
      <c r="G22" s="91"/>
      <c r="H22" s="91"/>
      <c r="I22" s="91"/>
    </row>
    <row r="23" spans="1:16" x14ac:dyDescent="0.2">
      <c r="A23" s="93"/>
      <c r="B23" s="94"/>
      <c r="C23" s="94"/>
      <c r="D23" s="91"/>
      <c r="E23" s="91"/>
      <c r="F23" s="91"/>
      <c r="G23" s="91"/>
      <c r="H23" s="91"/>
      <c r="I23" s="91"/>
      <c r="K23" s="91" t="s">
        <v>6114</v>
      </c>
      <c r="L23" s="91"/>
      <c r="M23" s="91"/>
      <c r="N23" s="91"/>
      <c r="O23" s="91">
        <v>599</v>
      </c>
    </row>
    <row r="24" spans="1:16" x14ac:dyDescent="0.2">
      <c r="A24" s="93"/>
      <c r="B24" s="94"/>
      <c r="C24" s="94"/>
      <c r="D24" s="91"/>
      <c r="E24" s="91"/>
      <c r="F24" s="91"/>
      <c r="G24" s="91"/>
      <c r="H24" s="91"/>
      <c r="I24" s="91"/>
      <c r="K24" s="91" t="s">
        <v>7988</v>
      </c>
      <c r="L24" s="91"/>
      <c r="M24" s="91"/>
      <c r="N24" s="91"/>
      <c r="O24" s="91"/>
      <c r="P24" s="91"/>
    </row>
    <row r="25" spans="1:16" x14ac:dyDescent="0.2">
      <c r="A25" s="93"/>
      <c r="B25" s="94"/>
      <c r="C25" s="94"/>
      <c r="D25" s="91"/>
      <c r="E25" s="91"/>
      <c r="F25" s="91"/>
      <c r="G25" s="91"/>
      <c r="H25" s="91"/>
      <c r="I25" s="91"/>
      <c r="K25" s="91"/>
      <c r="L25" s="91"/>
      <c r="M25" s="91"/>
      <c r="N25" s="91"/>
      <c r="O25" s="91"/>
      <c r="P25" s="91"/>
    </row>
    <row r="26" spans="1:16" x14ac:dyDescent="0.2">
      <c r="A26" s="93"/>
      <c r="B26" s="94"/>
      <c r="C26" s="94"/>
      <c r="F26" s="91"/>
      <c r="G26" s="91"/>
      <c r="H26" s="91"/>
      <c r="I26" s="91"/>
      <c r="K26" s="91" t="s">
        <v>7648</v>
      </c>
      <c r="L26" s="91"/>
      <c r="M26" s="91"/>
      <c r="N26" s="91"/>
      <c r="O26" s="91">
        <f>O23*6%</f>
        <v>35.94</v>
      </c>
      <c r="P26" s="91"/>
    </row>
    <row r="27" spans="1:16" x14ac:dyDescent="0.2">
      <c r="A27" s="93"/>
      <c r="B27" s="94"/>
      <c r="C27" s="94"/>
      <c r="D27" s="91"/>
      <c r="E27" s="91"/>
      <c r="F27" s="91"/>
      <c r="G27" s="91"/>
      <c r="H27" s="91"/>
      <c r="I27" s="91"/>
      <c r="K27" s="91"/>
      <c r="L27" s="91"/>
      <c r="M27" s="91"/>
      <c r="N27" s="91"/>
      <c r="O27" s="91"/>
      <c r="P27" s="91"/>
    </row>
    <row r="28" spans="1:16" x14ac:dyDescent="0.2">
      <c r="A28" s="93"/>
      <c r="B28" s="94"/>
      <c r="C28" s="94"/>
      <c r="D28" s="91"/>
      <c r="E28" s="91"/>
      <c r="F28" s="91"/>
      <c r="G28" s="91"/>
      <c r="H28" s="91"/>
      <c r="I28" s="91"/>
      <c r="K28" s="91"/>
      <c r="L28" s="91"/>
      <c r="M28" s="91"/>
      <c r="N28" s="91"/>
      <c r="O28" s="91"/>
      <c r="P28" s="91"/>
    </row>
    <row r="29" spans="1:16" x14ac:dyDescent="0.2">
      <c r="A29" s="93"/>
      <c r="B29" s="94"/>
      <c r="C29" s="94"/>
      <c r="I29" s="91"/>
      <c r="K29" s="91"/>
      <c r="L29" s="91"/>
      <c r="M29" s="91"/>
      <c r="N29" s="91"/>
      <c r="O29" s="91"/>
      <c r="P29" s="91"/>
    </row>
    <row r="30" spans="1:16" x14ac:dyDescent="0.2">
      <c r="A30" s="93"/>
      <c r="B30" s="94"/>
      <c r="C30" s="94"/>
      <c r="I30" s="91"/>
    </row>
    <row r="31" spans="1:16" x14ac:dyDescent="0.2">
      <c r="A31" s="93"/>
      <c r="B31" s="94"/>
      <c r="C31" s="94"/>
      <c r="D31" s="91"/>
      <c r="E31" s="91"/>
      <c r="F31" s="91"/>
      <c r="G31" s="91"/>
      <c r="H31" s="91"/>
      <c r="I31" s="91"/>
    </row>
    <row r="32" spans="1:16" x14ac:dyDescent="0.2">
      <c r="A32" s="93"/>
      <c r="B32" s="94"/>
      <c r="C32" s="94"/>
      <c r="D32" s="91"/>
      <c r="E32" s="91"/>
      <c r="F32" s="91"/>
      <c r="G32" s="91"/>
      <c r="H32" s="91"/>
      <c r="I32" s="91"/>
    </row>
    <row r="33" spans="1:9" x14ac:dyDescent="0.2">
      <c r="A33" s="93"/>
      <c r="B33" s="94"/>
      <c r="C33" s="94"/>
      <c r="D33" s="91"/>
      <c r="E33" s="91"/>
      <c r="F33" s="91"/>
      <c r="G33" s="91"/>
      <c r="H33" s="91"/>
      <c r="I33" s="91"/>
    </row>
    <row r="34" spans="1:9" ht="13.5" thickBot="1" x14ac:dyDescent="0.25">
      <c r="A34" s="91"/>
      <c r="B34" s="91"/>
      <c r="C34" s="91"/>
      <c r="D34" s="91"/>
      <c r="E34" s="91"/>
      <c r="F34" s="91"/>
      <c r="G34" s="91"/>
      <c r="H34" s="107">
        <f>SUM(H18:H33)</f>
        <v>8255.2800000000007</v>
      </c>
      <c r="I34" s="91"/>
    </row>
    <row r="35" spans="1:9" ht="13.5" thickTop="1" x14ac:dyDescent="0.2">
      <c r="A35" s="91"/>
      <c r="B35" s="91"/>
      <c r="C35" s="91"/>
      <c r="D35" s="91"/>
      <c r="E35" s="91"/>
    </row>
    <row r="36" spans="1:9" ht="20.100000000000001" customHeight="1" x14ac:dyDescent="0.2">
      <c r="A36" s="96" t="s">
        <v>122</v>
      </c>
      <c r="B36" s="185" t="str">
        <f>IF(OR(H34&gt;1000000,H34&lt;=0),"",IF(H34&lt;1000,"",IF(MOD(H34,1000000)&gt;=100000,INDEX(numbers,TRUNC(MOD(H34,1000000)/100000,0)+1)&amp;" Hundred","")&amp;IF(MOD(H34,100000)&gt;=20000," "&amp;INDEX(teb,TRUNC(MOD(H34,100000)/10000,0)+1)&amp;IF(MOD(MOD(H34,100000),10000)&gt;=1000,"-"&amp;INDEX(numbers,TRUNC(MOD(MOD(H34,100000),10000)/1000,0)+1),""),IF(MOD(H34,100000)&gt;=1000,"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"&amp;INDEX(teb,TRUNC(MOD(H34,100)/10,0)+1)&amp;IF(MOD(MOD(H34,100),10)&gt;=1,"-"&amp;INDEX(numbers,TRUNC(MOD(MOD(H34,100),10),0)+1),""),IF(MOD(H34,100)&gt;=1,"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Thousand Two Hundred Fifty-Five and 28/100 -----------</v>
      </c>
      <c r="C36" s="185"/>
      <c r="D36" s="97"/>
      <c r="E36" s="97"/>
      <c r="F36" s="97"/>
      <c r="G36" s="97"/>
      <c r="H36" s="97"/>
      <c r="I36" s="91"/>
    </row>
    <row r="37" spans="1:9" ht="20.100000000000001" customHeight="1" x14ac:dyDescent="0.2">
      <c r="A37" s="113"/>
      <c r="B37" s="103"/>
      <c r="C37" s="103"/>
      <c r="D37" s="61"/>
      <c r="E37" s="61"/>
      <c r="F37" s="388"/>
      <c r="G37" s="388"/>
      <c r="H37" s="388"/>
      <c r="I37" s="91"/>
    </row>
    <row r="38" spans="1:9" ht="25.5" x14ac:dyDescent="0.2">
      <c r="A38" s="94" t="s">
        <v>3973</v>
      </c>
      <c r="B38" s="91"/>
      <c r="C38" s="91"/>
      <c r="D38" s="91"/>
      <c r="E38" s="91"/>
      <c r="F38" s="218" t="s">
        <v>3975</v>
      </c>
      <c r="G38" s="219"/>
      <c r="H38" s="220"/>
      <c r="I38" s="91"/>
    </row>
    <row r="39" spans="1:9" x14ac:dyDescent="0.2">
      <c r="A39" s="91"/>
      <c r="B39" s="91"/>
      <c r="C39" s="91"/>
      <c r="D39" s="91"/>
      <c r="E39" s="91"/>
      <c r="F39" s="228"/>
      <c r="G39" s="229"/>
      <c r="H39" s="229"/>
    </row>
    <row r="40" spans="1:9" x14ac:dyDescent="0.2">
      <c r="B40" s="91"/>
      <c r="C40" s="91"/>
      <c r="D40" s="99"/>
      <c r="E40" s="464"/>
      <c r="F40" s="91"/>
      <c r="G40" s="91"/>
      <c r="H40" s="91"/>
    </row>
    <row r="41" spans="1:9" x14ac:dyDescent="0.2">
      <c r="A41" s="91"/>
      <c r="B41" s="91"/>
      <c r="C41" s="91"/>
      <c r="D41" s="99"/>
      <c r="E41" s="464"/>
      <c r="F41" s="91"/>
      <c r="G41" s="91"/>
      <c r="H41" s="91"/>
    </row>
    <row r="42" spans="1:9" x14ac:dyDescent="0.2">
      <c r="A42" s="101"/>
      <c r="B42" s="101"/>
      <c r="C42" s="386"/>
      <c r="D42" s="91"/>
      <c r="E42" s="91"/>
      <c r="F42" s="91"/>
      <c r="G42" s="91"/>
      <c r="H42" s="91"/>
    </row>
    <row r="43" spans="1:9" x14ac:dyDescent="0.2">
      <c r="B43" s="91"/>
      <c r="C43" s="91"/>
      <c r="D43" s="91"/>
      <c r="E43" s="91"/>
      <c r="F43" s="91"/>
      <c r="G43" s="91"/>
      <c r="H43" s="91"/>
    </row>
    <row r="44" spans="1:9" x14ac:dyDescent="0.2">
      <c r="A44" s="98" t="s">
        <v>8</v>
      </c>
      <c r="D44" s="98" t="s">
        <v>8</v>
      </c>
      <c r="E44" s="91"/>
      <c r="F44" s="98" t="s">
        <v>7</v>
      </c>
      <c r="G44" s="91"/>
      <c r="H44" s="102"/>
    </row>
    <row r="45" spans="1:9" x14ac:dyDescent="0.2">
      <c r="A45" s="91"/>
      <c r="B45" s="91"/>
      <c r="C45" s="91"/>
      <c r="D45" s="91"/>
      <c r="E45" s="91"/>
      <c r="F45" s="91"/>
      <c r="G45" s="91"/>
      <c r="H45" s="91"/>
    </row>
    <row r="46" spans="1:9" x14ac:dyDescent="0.2">
      <c r="A46" s="91"/>
      <c r="B46" s="91"/>
      <c r="C46" s="91"/>
      <c r="D46" s="91"/>
      <c r="E46" s="91"/>
      <c r="F46" s="91"/>
      <c r="G46" s="91"/>
      <c r="H46" s="91"/>
    </row>
    <row r="47" spans="1:9" x14ac:dyDescent="0.2">
      <c r="A47" s="91"/>
      <c r="B47" s="91"/>
      <c r="C47" s="91"/>
      <c r="D47" s="91"/>
      <c r="E47" s="91"/>
      <c r="F47" s="91"/>
      <c r="G47" s="91"/>
      <c r="H47" s="91"/>
    </row>
    <row r="48" spans="1:9" x14ac:dyDescent="0.2">
      <c r="A48" s="101"/>
      <c r="B48" s="101"/>
      <c r="C48" s="386"/>
      <c r="D48" s="101"/>
      <c r="E48" s="91"/>
      <c r="F48" s="101"/>
      <c r="G48" s="101"/>
      <c r="H48" s="101"/>
    </row>
    <row r="49" spans="1:8" s="3" customFormat="1" ht="17.100000000000001" customHeight="1" x14ac:dyDescent="0.2">
      <c r="A49" s="209" t="s">
        <v>4066</v>
      </c>
      <c r="B49" s="104"/>
      <c r="C49" s="104"/>
      <c r="D49" s="209" t="s">
        <v>50</v>
      </c>
      <c r="E49" s="61"/>
      <c r="F49" s="61" t="s">
        <v>3</v>
      </c>
      <c r="G49" s="61"/>
      <c r="H49" s="61"/>
    </row>
    <row r="50" spans="1:8" x14ac:dyDescent="0.2">
      <c r="A50" s="91"/>
      <c r="B50" s="91"/>
      <c r="C50" s="91"/>
      <c r="D50" s="91"/>
      <c r="E50" s="91"/>
      <c r="F50" s="91" t="s">
        <v>2</v>
      </c>
      <c r="G50" s="91"/>
      <c r="H50" s="91"/>
    </row>
    <row r="51" spans="1:8" x14ac:dyDescent="0.2">
      <c r="A51" s="91"/>
      <c r="B51" s="91"/>
      <c r="C51" s="91"/>
      <c r="D51" s="91"/>
      <c r="E51" s="91"/>
      <c r="F51" s="91"/>
      <c r="G51" s="91"/>
      <c r="H51" s="91"/>
    </row>
    <row r="52" spans="1:8" x14ac:dyDescent="0.2">
      <c r="A52" s="91"/>
      <c r="B52" s="91"/>
      <c r="C52" s="91"/>
      <c r="D52" s="91"/>
      <c r="E52" s="91"/>
      <c r="F52" s="2" t="s">
        <v>1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0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91"/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0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7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2-000000000000}">
  <sheetPr codeName="Sheet10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682</v>
      </c>
    </row>
    <row r="10" spans="1:6" x14ac:dyDescent="0.2">
      <c r="A10" s="1" t="s">
        <v>678</v>
      </c>
      <c r="D10" s="20" t="s">
        <v>27</v>
      </c>
      <c r="E10" s="20" t="s">
        <v>48</v>
      </c>
    </row>
    <row r="11" spans="1:6" x14ac:dyDescent="0.2">
      <c r="A11" s="1" t="s">
        <v>677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19" t="s">
        <v>681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20" spans="2:6" x14ac:dyDescent="0.2">
      <c r="C20" s="1" t="s">
        <v>87</v>
      </c>
      <c r="F20" s="1">
        <v>1150.81</v>
      </c>
    </row>
    <row r="22" spans="2:6" x14ac:dyDescent="0.2">
      <c r="C22" s="1" t="s">
        <v>44</v>
      </c>
      <c r="F22" s="7" t="s">
        <v>86</v>
      </c>
    </row>
    <row r="24" spans="2:6" x14ac:dyDescent="0.2">
      <c r="B24" s="8"/>
    </row>
    <row r="25" spans="2:6" x14ac:dyDescent="0.2">
      <c r="B25" s="8"/>
    </row>
    <row r="26" spans="2:6" x14ac:dyDescent="0.2">
      <c r="B26" s="8"/>
    </row>
    <row r="32" spans="2:6" ht="13.5" thickBot="1" x14ac:dyDescent="0.25">
      <c r="F32" s="11">
        <f>SUM(F18:F31)</f>
        <v>1150.81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680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2-000000000000}">
  <sheetPr codeName="Sheet1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691</v>
      </c>
    </row>
    <row r="10" spans="1:6" x14ac:dyDescent="0.2">
      <c r="A10" s="1" t="s">
        <v>690</v>
      </c>
      <c r="D10" s="20" t="s">
        <v>27</v>
      </c>
      <c r="E10" s="20" t="s">
        <v>689</v>
      </c>
    </row>
    <row r="11" spans="1:6" x14ac:dyDescent="0.2"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688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21"/>
    </row>
    <row r="20" spans="2:6" x14ac:dyDescent="0.2">
      <c r="C20" s="13" t="s">
        <v>687</v>
      </c>
    </row>
    <row r="21" spans="2:6" x14ac:dyDescent="0.2">
      <c r="C21" s="13" t="s">
        <v>686</v>
      </c>
    </row>
    <row r="24" spans="2:6" x14ac:dyDescent="0.2">
      <c r="C24" s="1" t="s">
        <v>685</v>
      </c>
    </row>
    <row r="26" spans="2:6" x14ac:dyDescent="0.2">
      <c r="B26" s="8" t="s">
        <v>14</v>
      </c>
      <c r="C26" s="1" t="s">
        <v>684</v>
      </c>
      <c r="F26" s="1">
        <v>1175</v>
      </c>
    </row>
    <row r="27" spans="2:6" x14ac:dyDescent="0.2">
      <c r="B27" s="8"/>
    </row>
    <row r="31" spans="2:6" ht="13.5" thickBot="1" x14ac:dyDescent="0.25">
      <c r="F31" s="11">
        <f>SUM(F18:F30)</f>
        <v>1175</v>
      </c>
    </row>
    <row r="32" spans="2:6" ht="13.5" thickTop="1" x14ac:dyDescent="0.2"/>
    <row r="34" spans="1:6" ht="20.100000000000001" customHeight="1" thickBot="1" x14ac:dyDescent="0.25">
      <c r="A34" s="10" t="s">
        <v>683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7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2-000000000000}">
  <sheetPr codeName="Sheet10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698</v>
      </c>
    </row>
    <row r="10" spans="1:6" x14ac:dyDescent="0.2">
      <c r="A10" s="1" t="s">
        <v>697</v>
      </c>
      <c r="D10" s="20" t="s">
        <v>27</v>
      </c>
      <c r="E10" s="20" t="s">
        <v>696</v>
      </c>
    </row>
    <row r="11" spans="1:6" x14ac:dyDescent="0.2">
      <c r="A11" s="1" t="s">
        <v>77</v>
      </c>
      <c r="D11" s="20" t="s">
        <v>24</v>
      </c>
      <c r="E11" s="20" t="s">
        <v>23</v>
      </c>
    </row>
    <row r="12" spans="1:6" x14ac:dyDescent="0.2">
      <c r="D12" s="20" t="s">
        <v>22</v>
      </c>
      <c r="E12" s="20" t="s">
        <v>695</v>
      </c>
    </row>
    <row r="16" spans="1:6" s="14" customFormat="1" ht="20.100000000000001" customHeight="1" x14ac:dyDescent="0.2">
      <c r="A16" s="17" t="s">
        <v>20</v>
      </c>
      <c r="B16" s="17"/>
      <c r="C16" s="18" t="s">
        <v>19</v>
      </c>
      <c r="D16" s="17"/>
      <c r="E16" s="16"/>
      <c r="F16" s="15" t="s">
        <v>18</v>
      </c>
    </row>
    <row r="19" spans="2:6" x14ac:dyDescent="0.2">
      <c r="C19" s="21"/>
    </row>
    <row r="20" spans="2:6" x14ac:dyDescent="0.2">
      <c r="C20" s="21" t="s">
        <v>694</v>
      </c>
    </row>
    <row r="21" spans="2:6" x14ac:dyDescent="0.2">
      <c r="C21" s="21"/>
    </row>
    <row r="22" spans="2:6" x14ac:dyDescent="0.2">
      <c r="B22" s="8" t="s">
        <v>43</v>
      </c>
      <c r="C22" s="1" t="s">
        <v>693</v>
      </c>
      <c r="F22" s="1">
        <v>284</v>
      </c>
    </row>
    <row r="24" spans="2:6" x14ac:dyDescent="0.2">
      <c r="B24" s="8"/>
    </row>
    <row r="25" spans="2:6" x14ac:dyDescent="0.2">
      <c r="B25" s="8"/>
    </row>
    <row r="26" spans="2:6" x14ac:dyDescent="0.2">
      <c r="B26" s="8"/>
    </row>
    <row r="32" spans="2:6" ht="13.5" thickBot="1" x14ac:dyDescent="0.25">
      <c r="F32" s="11">
        <f>SUM(F18:F31)</f>
        <v>284</v>
      </c>
    </row>
    <row r="33" spans="1:6" ht="13.5" thickTop="1" x14ac:dyDescent="0.2"/>
    <row r="34" spans="1:6" ht="13.5" thickBot="1" x14ac:dyDescent="0.25">
      <c r="F34" s="11"/>
    </row>
    <row r="35" spans="1:6" ht="20.100000000000001" customHeight="1" thickTop="1" x14ac:dyDescent="0.2">
      <c r="A35" s="10" t="s">
        <v>692</v>
      </c>
      <c r="B35" s="10"/>
      <c r="C35" s="9"/>
      <c r="D35" s="9"/>
      <c r="E35" s="9"/>
      <c r="F35" s="9"/>
    </row>
    <row r="36" spans="1:6" ht="25.5" x14ac:dyDescent="0.2">
      <c r="A36" s="8" t="s">
        <v>11</v>
      </c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2-000000000000}">
  <sheetPr codeName="Sheet111">
    <pageSetUpPr fitToPage="1"/>
  </sheetPr>
  <dimension ref="A1:F63"/>
  <sheetViews>
    <sheetView workbookViewId="0">
      <selection activeCell="F34" sqref="F34"/>
    </sheetView>
  </sheetViews>
  <sheetFormatPr defaultRowHeight="12.75" x14ac:dyDescent="0.2"/>
  <cols>
    <col min="1" max="1" width="14.7109375" style="1" customWidth="1"/>
    <col min="2" max="2" width="14.42578125" style="1" customWidth="1"/>
    <col min="3" max="3" width="21" style="1" customWidth="1"/>
    <col min="4" max="4" width="16.42578125" style="1" customWidth="1"/>
    <col min="5" max="5" width="10.710937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B8" s="91"/>
      <c r="C8" s="91"/>
      <c r="D8" s="22" t="s">
        <v>31</v>
      </c>
      <c r="E8" s="91"/>
      <c r="F8" s="91"/>
    </row>
    <row r="9" spans="1:6" x14ac:dyDescent="0.2">
      <c r="A9" s="91"/>
      <c r="B9" s="91"/>
      <c r="C9" s="91"/>
      <c r="D9" s="92" t="s">
        <v>30</v>
      </c>
      <c r="E9" s="91" t="s">
        <v>3000</v>
      </c>
      <c r="F9" s="91"/>
    </row>
    <row r="10" spans="1:6" x14ac:dyDescent="0.2">
      <c r="A10" s="91" t="s">
        <v>704</v>
      </c>
      <c r="B10" s="91"/>
      <c r="C10" s="91"/>
      <c r="D10" s="92" t="s">
        <v>27</v>
      </c>
      <c r="E10" s="98" t="s">
        <v>2974</v>
      </c>
      <c r="F10" s="91"/>
    </row>
    <row r="11" spans="1:6" x14ac:dyDescent="0.2">
      <c r="A11" s="91" t="s">
        <v>703</v>
      </c>
      <c r="B11" s="91"/>
      <c r="C11" s="91"/>
      <c r="D11" s="92" t="s">
        <v>24</v>
      </c>
      <c r="E11" s="92" t="s">
        <v>1220</v>
      </c>
      <c r="F11" s="91"/>
    </row>
    <row r="12" spans="1:6" x14ac:dyDescent="0.2">
      <c r="A12" s="91" t="s">
        <v>702</v>
      </c>
      <c r="B12" s="91"/>
      <c r="C12" s="91"/>
      <c r="D12" s="92" t="s">
        <v>22</v>
      </c>
      <c r="E12" s="92" t="s">
        <v>3001</v>
      </c>
      <c r="F12" s="91"/>
    </row>
    <row r="13" spans="1:6" x14ac:dyDescent="0.2">
      <c r="A13" s="91" t="s">
        <v>701</v>
      </c>
      <c r="B13" s="91"/>
      <c r="C13" s="91"/>
      <c r="D13" s="91"/>
      <c r="E13" s="91"/>
      <c r="F13" s="91"/>
    </row>
    <row r="14" spans="1:6" x14ac:dyDescent="0.2">
      <c r="A14" s="91" t="s">
        <v>700</v>
      </c>
      <c r="B14" s="91"/>
      <c r="C14" s="91"/>
      <c r="D14" s="91"/>
      <c r="E14" s="91"/>
      <c r="F14" s="91"/>
    </row>
    <row r="15" spans="1:6" x14ac:dyDescent="0.2">
      <c r="A15" s="91"/>
      <c r="B15" s="91"/>
      <c r="C15" s="91"/>
      <c r="D15" s="91"/>
      <c r="E15" s="91"/>
      <c r="F15" s="91"/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91"/>
      <c r="B17" s="91"/>
      <c r="C17" s="91"/>
      <c r="D17" s="91"/>
      <c r="E17" s="91"/>
      <c r="F17" s="91"/>
    </row>
    <row r="18" spans="1:6" x14ac:dyDescent="0.2">
      <c r="A18" s="108"/>
      <c r="B18" s="91"/>
      <c r="C18" s="2" t="s">
        <v>3002</v>
      </c>
      <c r="D18" s="91"/>
      <c r="E18" s="91"/>
      <c r="F18" s="91"/>
    </row>
    <row r="19" spans="1:6" x14ac:dyDescent="0.2">
      <c r="A19" s="108"/>
      <c r="B19" s="91"/>
      <c r="C19" s="91"/>
      <c r="D19" s="91"/>
      <c r="E19" s="91"/>
      <c r="F19" s="91"/>
    </row>
    <row r="20" spans="1:6" x14ac:dyDescent="0.2">
      <c r="A20" s="111" t="s">
        <v>3003</v>
      </c>
      <c r="B20" s="99" t="s">
        <v>3004</v>
      </c>
      <c r="C20" s="91" t="s">
        <v>3005</v>
      </c>
      <c r="D20" s="91"/>
      <c r="E20" s="91"/>
      <c r="F20" s="91">
        <v>8000</v>
      </c>
    </row>
    <row r="21" spans="1:6" x14ac:dyDescent="0.2">
      <c r="A21" s="109"/>
      <c r="B21" s="91"/>
      <c r="C21" s="91"/>
      <c r="D21" s="91"/>
      <c r="E21" s="91"/>
      <c r="F21" s="110"/>
    </row>
    <row r="22" spans="1:6" x14ac:dyDescent="0.2">
      <c r="A22" s="108"/>
      <c r="B22" s="91"/>
      <c r="C22" s="91" t="s">
        <v>3006</v>
      </c>
      <c r="D22" s="91"/>
      <c r="E22" s="91"/>
      <c r="F22" s="110">
        <f>F20*6%</f>
        <v>480</v>
      </c>
    </row>
    <row r="23" spans="1:6" x14ac:dyDescent="0.2">
      <c r="A23" s="108"/>
      <c r="B23" s="91"/>
      <c r="C23" s="91"/>
      <c r="D23" s="91"/>
      <c r="E23" s="91"/>
      <c r="F23" s="110"/>
    </row>
    <row r="24" spans="1:6" x14ac:dyDescent="0.2">
      <c r="A24" s="108"/>
      <c r="B24" s="94"/>
      <c r="C24" s="91"/>
      <c r="D24" s="91"/>
      <c r="E24" s="91"/>
      <c r="F24" s="110"/>
    </row>
    <row r="25" spans="1:6" x14ac:dyDescent="0.2">
      <c r="A25" s="108"/>
      <c r="B25" s="94"/>
      <c r="C25" s="91"/>
      <c r="D25" s="91"/>
      <c r="E25" s="91"/>
      <c r="F25" s="110"/>
    </row>
    <row r="26" spans="1:6" x14ac:dyDescent="0.2">
      <c r="A26" s="108"/>
      <c r="B26" s="94"/>
      <c r="C26" s="91"/>
      <c r="D26" s="91"/>
      <c r="E26" s="91"/>
      <c r="F26" s="91"/>
    </row>
    <row r="27" spans="1:6" x14ac:dyDescent="0.2">
      <c r="A27" s="108"/>
      <c r="B27" s="91"/>
      <c r="C27" s="91"/>
      <c r="D27" s="91"/>
      <c r="E27" s="91"/>
      <c r="F27" s="91"/>
    </row>
    <row r="28" spans="1:6" x14ac:dyDescent="0.2">
      <c r="A28" s="108"/>
      <c r="B28" s="91"/>
      <c r="C28" s="91"/>
      <c r="D28" s="91"/>
      <c r="E28" s="91"/>
      <c r="F28" s="91"/>
    </row>
    <row r="29" spans="1:6" x14ac:dyDescent="0.2">
      <c r="A29" s="91"/>
      <c r="B29" s="91"/>
      <c r="C29" s="91"/>
      <c r="D29" s="91"/>
      <c r="E29" s="91"/>
      <c r="F29" s="91"/>
    </row>
    <row r="30" spans="1:6" x14ac:dyDescent="0.2">
      <c r="A30" s="91"/>
      <c r="B30" s="91"/>
      <c r="C30" s="91"/>
      <c r="D30" s="91"/>
      <c r="E30" s="91"/>
      <c r="F30" s="91"/>
    </row>
    <row r="31" spans="1:6" x14ac:dyDescent="0.2">
      <c r="A31" s="91"/>
      <c r="B31" s="91"/>
      <c r="C31" s="91"/>
      <c r="D31" s="91"/>
      <c r="E31" s="91"/>
      <c r="F31" s="91"/>
    </row>
    <row r="32" spans="1:6" ht="13.5" thickBot="1" x14ac:dyDescent="0.25">
      <c r="A32" s="91"/>
      <c r="B32" s="91"/>
      <c r="C32" s="91"/>
      <c r="D32" s="91"/>
      <c r="E32" s="91"/>
      <c r="F32" s="95">
        <f>SUM(F18:F31)</f>
        <v>8480</v>
      </c>
    </row>
    <row r="33" spans="1:6" ht="13.5" thickTop="1" x14ac:dyDescent="0.2">
      <c r="A33" s="91"/>
      <c r="B33" s="91"/>
      <c r="C33" s="91"/>
      <c r="D33" s="91"/>
      <c r="E33" s="91"/>
      <c r="F33" s="91"/>
    </row>
    <row r="34" spans="1:6" ht="13.5" thickBot="1" x14ac:dyDescent="0.25">
      <c r="A34" s="91"/>
      <c r="B34" s="91"/>
      <c r="C34" s="91"/>
      <c r="D34" s="91"/>
      <c r="E34" s="91"/>
      <c r="F34" s="107"/>
    </row>
    <row r="35" spans="1:6" ht="20.100000000000001" customHeight="1" thickTop="1" x14ac:dyDescent="0.2">
      <c r="A35" s="96" t="s">
        <v>699</v>
      </c>
      <c r="B35" s="96" t="s">
        <v>3007</v>
      </c>
      <c r="C35" s="97"/>
      <c r="D35" s="97"/>
      <c r="E35" s="97"/>
      <c r="F35" s="97"/>
    </row>
    <row r="36" spans="1:6" ht="25.5" x14ac:dyDescent="0.2">
      <c r="A36" s="94" t="s">
        <v>11</v>
      </c>
      <c r="B36" s="91"/>
      <c r="C36" s="91"/>
      <c r="D36" s="218" t="s">
        <v>3975</v>
      </c>
      <c r="E36" s="219"/>
      <c r="F36" s="220"/>
    </row>
    <row r="37" spans="1:6" x14ac:dyDescent="0.2">
      <c r="A37" s="91" t="s">
        <v>10</v>
      </c>
      <c r="B37" s="91"/>
      <c r="C37" s="91"/>
      <c r="D37" s="91"/>
      <c r="E37" s="91"/>
      <c r="F37" s="91"/>
    </row>
    <row r="38" spans="1:6" x14ac:dyDescent="0.2">
      <c r="A38" s="91"/>
      <c r="B38" s="91"/>
      <c r="C38" s="91"/>
      <c r="D38" s="91"/>
      <c r="E38" s="91"/>
      <c r="F38" s="91"/>
    </row>
    <row r="39" spans="1:6" x14ac:dyDescent="0.2">
      <c r="A39" s="91"/>
      <c r="B39" s="91"/>
      <c r="C39" s="91"/>
      <c r="D39" s="227"/>
      <c r="E39" s="227"/>
      <c r="F39" s="227"/>
    </row>
    <row r="40" spans="1:6" x14ac:dyDescent="0.2">
      <c r="A40" s="91" t="s">
        <v>121</v>
      </c>
      <c r="B40" s="91"/>
      <c r="C40" s="99"/>
      <c r="D40" s="228"/>
      <c r="E40" s="229"/>
      <c r="F40" s="229"/>
    </row>
    <row r="41" spans="1:6" x14ac:dyDescent="0.2">
      <c r="B41" s="91"/>
      <c r="C41" s="91"/>
      <c r="D41" s="91"/>
      <c r="E41" s="91"/>
      <c r="F41" s="91"/>
    </row>
    <row r="42" spans="1:6" x14ac:dyDescent="0.2">
      <c r="A42" s="91"/>
      <c r="B42" s="91"/>
      <c r="C42" s="91"/>
      <c r="D42" s="91"/>
      <c r="E42" s="91"/>
      <c r="F42" s="91"/>
    </row>
    <row r="43" spans="1:6" x14ac:dyDescent="0.2">
      <c r="A43" s="98" t="s">
        <v>8</v>
      </c>
      <c r="B43" s="91"/>
      <c r="C43" s="91"/>
      <c r="D43" s="98" t="s">
        <v>7</v>
      </c>
      <c r="E43" s="91"/>
      <c r="F43" s="102"/>
    </row>
    <row r="44" spans="1:6" x14ac:dyDescent="0.2">
      <c r="A44" s="91"/>
      <c r="B44" s="91"/>
      <c r="C44" s="91"/>
      <c r="D44" s="91"/>
      <c r="E44" s="91"/>
      <c r="F44" s="91"/>
    </row>
    <row r="45" spans="1:6" x14ac:dyDescent="0.2">
      <c r="A45" s="91"/>
      <c r="B45" s="91"/>
      <c r="C45" s="91"/>
      <c r="D45" s="91"/>
      <c r="E45" s="91"/>
      <c r="F45" s="91"/>
    </row>
    <row r="46" spans="1:6" x14ac:dyDescent="0.2">
      <c r="A46" s="91"/>
      <c r="B46" s="91"/>
      <c r="C46" s="91"/>
      <c r="D46" s="91"/>
      <c r="E46" s="91"/>
      <c r="F46" s="91"/>
    </row>
    <row r="47" spans="1:6" x14ac:dyDescent="0.2">
      <c r="A47" s="101" t="s">
        <v>3972</v>
      </c>
      <c r="B47" s="101"/>
      <c r="C47" s="91"/>
      <c r="D47" s="101"/>
      <c r="E47" s="101"/>
      <c r="F47" s="101"/>
    </row>
    <row r="48" spans="1:6" s="3" customFormat="1" ht="17.100000000000001" customHeight="1" x14ac:dyDescent="0.2">
      <c r="A48" s="104" t="s">
        <v>35</v>
      </c>
      <c r="B48" s="104"/>
      <c r="C48" s="61"/>
      <c r="D48" s="61" t="s">
        <v>3</v>
      </c>
      <c r="E48" s="61"/>
      <c r="F48" s="61"/>
    </row>
    <row r="49" spans="1:6" x14ac:dyDescent="0.2">
      <c r="A49" s="91" t="s">
        <v>4066</v>
      </c>
      <c r="B49" s="91"/>
      <c r="C49" s="91"/>
      <c r="D49" s="91" t="s">
        <v>2</v>
      </c>
      <c r="E49" s="91"/>
      <c r="F49" s="91"/>
    </row>
    <row r="50" spans="1:6" x14ac:dyDescent="0.2">
      <c r="A50" s="91"/>
      <c r="B50" s="91"/>
      <c r="C50" s="91"/>
      <c r="D50" s="91"/>
      <c r="E50" s="91"/>
      <c r="F50" s="91"/>
    </row>
    <row r="51" spans="1:6" x14ac:dyDescent="0.2">
      <c r="A51" s="91"/>
      <c r="B51" s="91"/>
      <c r="C51" s="91"/>
      <c r="D51" s="2" t="s">
        <v>1</v>
      </c>
      <c r="E51" s="91"/>
      <c r="F51" s="91"/>
    </row>
    <row r="52" spans="1:6" x14ac:dyDescent="0.2">
      <c r="A52" s="91"/>
      <c r="B52" s="91"/>
      <c r="C52" s="91"/>
      <c r="D52" s="2" t="s">
        <v>0</v>
      </c>
      <c r="E52" s="91"/>
      <c r="F52" s="91"/>
    </row>
    <row r="53" spans="1:6" x14ac:dyDescent="0.2">
      <c r="A53" s="91"/>
      <c r="B53" s="91"/>
      <c r="C53" s="91"/>
      <c r="D53" s="91"/>
      <c r="E53" s="91"/>
      <c r="F53" s="91"/>
    </row>
    <row r="54" spans="1:6" x14ac:dyDescent="0.2">
      <c r="A54" s="91"/>
      <c r="B54" s="91"/>
      <c r="C54" s="91"/>
      <c r="D54" s="91"/>
      <c r="E54" s="91"/>
      <c r="F54" s="91"/>
    </row>
    <row r="55" spans="1:6" x14ac:dyDescent="0.2">
      <c r="A55" s="91"/>
      <c r="B55" s="91"/>
      <c r="C55" s="91"/>
      <c r="D55" s="91"/>
      <c r="E55" s="91"/>
      <c r="F55" s="91"/>
    </row>
    <row r="56" spans="1:6" x14ac:dyDescent="0.2">
      <c r="A56" s="91"/>
      <c r="B56" s="91"/>
      <c r="C56" s="91"/>
      <c r="D56" s="91"/>
      <c r="E56" s="91"/>
      <c r="F56" s="91"/>
    </row>
    <row r="57" spans="1:6" x14ac:dyDescent="0.2">
      <c r="A57" s="91"/>
      <c r="B57" s="91"/>
      <c r="C57" s="91"/>
      <c r="D57" s="91"/>
      <c r="E57" s="91"/>
      <c r="F57" s="91"/>
    </row>
    <row r="58" spans="1:6" x14ac:dyDescent="0.2">
      <c r="A58" s="91"/>
      <c r="B58" s="91"/>
      <c r="C58" s="91"/>
      <c r="D58" s="91"/>
      <c r="E58" s="91"/>
      <c r="F58" s="91"/>
    </row>
    <row r="59" spans="1:6" x14ac:dyDescent="0.2">
      <c r="A59" s="91"/>
      <c r="B59" s="91"/>
      <c r="C59" s="91"/>
      <c r="D59" s="91"/>
      <c r="E59" s="91"/>
      <c r="F59" s="91"/>
    </row>
    <row r="60" spans="1:6" x14ac:dyDescent="0.2">
      <c r="A60" s="91"/>
      <c r="B60" s="91"/>
      <c r="C60" s="91"/>
      <c r="D60" s="91"/>
      <c r="E60" s="91"/>
      <c r="F60" s="91"/>
    </row>
    <row r="61" spans="1:6" x14ac:dyDescent="0.2">
      <c r="A61" s="91"/>
      <c r="B61" s="91"/>
      <c r="C61" s="91"/>
      <c r="D61" s="91"/>
      <c r="E61" s="91"/>
      <c r="F61" s="91"/>
    </row>
    <row r="62" spans="1:6" x14ac:dyDescent="0.2">
      <c r="A62" s="91"/>
      <c r="B62" s="91"/>
      <c r="C62" s="91"/>
      <c r="D62" s="91"/>
      <c r="E62" s="91"/>
      <c r="F62" s="91"/>
    </row>
    <row r="63" spans="1:6" x14ac:dyDescent="0.2">
      <c r="A63" s="91"/>
      <c r="B63" s="91"/>
      <c r="C63" s="91"/>
      <c r="D63" s="91"/>
      <c r="E63" s="91"/>
      <c r="F63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2-000000000000}">
  <sheetPr codeName="Sheet116">
    <pageSetUpPr fitToPage="1"/>
  </sheetPr>
  <dimension ref="A1:F55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713</v>
      </c>
    </row>
    <row r="10" spans="1:6" x14ac:dyDescent="0.2">
      <c r="A10" s="1" t="s">
        <v>712</v>
      </c>
      <c r="D10" s="20" t="s">
        <v>27</v>
      </c>
      <c r="E10" s="20" t="s">
        <v>156</v>
      </c>
    </row>
    <row r="11" spans="1:6" x14ac:dyDescent="0.2">
      <c r="A11" s="1" t="s">
        <v>711</v>
      </c>
      <c r="D11" s="20" t="s">
        <v>24</v>
      </c>
      <c r="E11" s="20" t="s">
        <v>23</v>
      </c>
    </row>
    <row r="12" spans="1:6" x14ac:dyDescent="0.2">
      <c r="A12" s="1" t="s">
        <v>710</v>
      </c>
      <c r="D12" s="20" t="s">
        <v>22</v>
      </c>
      <c r="E12" s="19" t="s">
        <v>709</v>
      </c>
    </row>
    <row r="13" spans="1:6" x14ac:dyDescent="0.2">
      <c r="A13" s="1" t="s">
        <v>366</v>
      </c>
    </row>
    <row r="17" spans="1:6" s="14" customFormat="1" ht="20.100000000000001" customHeight="1" x14ac:dyDescent="0.2">
      <c r="A17" s="17" t="s">
        <v>20</v>
      </c>
      <c r="B17" s="17"/>
      <c r="C17" s="18" t="s">
        <v>19</v>
      </c>
      <c r="D17" s="17"/>
      <c r="E17" s="16"/>
      <c r="F17" s="15" t="s">
        <v>18</v>
      </c>
    </row>
    <row r="18" spans="1:6" s="14" customFormat="1" x14ac:dyDescent="0.2">
      <c r="A18" s="34"/>
      <c r="B18" s="34"/>
      <c r="C18" s="35"/>
      <c r="D18" s="34"/>
      <c r="E18" s="33"/>
      <c r="F18" s="32"/>
    </row>
    <row r="19" spans="1:6" s="61" customFormat="1" x14ac:dyDescent="0.2">
      <c r="A19" s="58"/>
      <c r="B19" s="60"/>
      <c r="C19" s="58"/>
      <c r="D19" s="58"/>
      <c r="E19" s="59"/>
      <c r="F19" s="62"/>
    </row>
    <row r="20" spans="1:6" s="61" customFormat="1" x14ac:dyDescent="0.2">
      <c r="A20" s="58"/>
      <c r="B20" s="60"/>
      <c r="C20" s="58"/>
      <c r="D20" s="58"/>
      <c r="E20" s="59"/>
      <c r="F20" s="62"/>
    </row>
    <row r="22" spans="1:6" x14ac:dyDescent="0.2">
      <c r="A22" s="58"/>
      <c r="B22" s="60"/>
      <c r="C22" s="58"/>
      <c r="D22" s="58"/>
      <c r="E22" s="59"/>
    </row>
    <row r="24" spans="1:6" x14ac:dyDescent="0.2">
      <c r="A24" s="58"/>
    </row>
    <row r="26" spans="1:6" x14ac:dyDescent="0.2">
      <c r="A26" s="58" t="s">
        <v>708</v>
      </c>
      <c r="C26" s="1" t="s">
        <v>707</v>
      </c>
      <c r="F26" s="1">
        <v>275</v>
      </c>
    </row>
    <row r="27" spans="1:6" x14ac:dyDescent="0.2">
      <c r="C27" s="1" t="s">
        <v>706</v>
      </c>
    </row>
    <row r="28" spans="1:6" x14ac:dyDescent="0.2">
      <c r="A28" s="58"/>
    </row>
    <row r="30" spans="1:6" x14ac:dyDescent="0.2">
      <c r="A30" s="58"/>
    </row>
    <row r="33" spans="1:6" x14ac:dyDescent="0.2">
      <c r="A33" s="58"/>
    </row>
    <row r="34" spans="1:6" ht="13.5" thickBot="1" x14ac:dyDescent="0.25">
      <c r="F34" s="11"/>
    </row>
    <row r="35" spans="1:6" ht="14.25" thickTop="1" thickBot="1" x14ac:dyDescent="0.25">
      <c r="F35" s="25">
        <f>SUM(F19:F34)</f>
        <v>275</v>
      </c>
    </row>
    <row r="36" spans="1:6" ht="26.25" thickTop="1" x14ac:dyDescent="0.2">
      <c r="D36" s="218" t="s">
        <v>3975</v>
      </c>
      <c r="E36" s="219"/>
      <c r="F36" s="220"/>
    </row>
    <row r="39" spans="1:6" x14ac:dyDescent="0.2">
      <c r="A39" s="10" t="s">
        <v>705</v>
      </c>
      <c r="B39" s="10"/>
      <c r="C39" s="9"/>
      <c r="D39" s="227"/>
      <c r="E39" s="227"/>
      <c r="F39" s="227"/>
    </row>
    <row r="40" spans="1:6" x14ac:dyDescent="0.2">
      <c r="A40" s="1" t="s">
        <v>10</v>
      </c>
      <c r="D40" s="228"/>
      <c r="E40" s="229"/>
      <c r="F40" s="229"/>
    </row>
    <row r="43" spans="1:6" x14ac:dyDescent="0.2">
      <c r="A43" s="1" t="s">
        <v>9</v>
      </c>
      <c r="C43" s="7"/>
    </row>
    <row r="46" spans="1:6" x14ac:dyDescent="0.2">
      <c r="A46" s="6" t="s">
        <v>8</v>
      </c>
      <c r="D46" s="6" t="s">
        <v>7</v>
      </c>
      <c r="F46" s="5"/>
    </row>
    <row r="47" spans="1:6" x14ac:dyDescent="0.2">
      <c r="A47" s="1" t="s">
        <v>3972</v>
      </c>
    </row>
    <row r="49" spans="1:4" x14ac:dyDescent="0.2">
      <c r="A49" s="1" t="s">
        <v>4066</v>
      </c>
    </row>
    <row r="50" spans="1:4" x14ac:dyDescent="0.2">
      <c r="A50" s="1" t="s">
        <v>6</v>
      </c>
      <c r="D50" s="1" t="s">
        <v>5</v>
      </c>
    </row>
    <row r="51" spans="1:4" s="3" customFormat="1" ht="17.100000000000001" customHeight="1" x14ac:dyDescent="0.2">
      <c r="A51" s="4" t="s">
        <v>35</v>
      </c>
      <c r="B51" s="4"/>
      <c r="D51" s="3" t="s">
        <v>3</v>
      </c>
    </row>
    <row r="52" spans="1:4" x14ac:dyDescent="0.2">
      <c r="D52" s="1" t="s">
        <v>2</v>
      </c>
    </row>
    <row r="54" spans="1:4" x14ac:dyDescent="0.2">
      <c r="D54" s="2" t="s">
        <v>1</v>
      </c>
    </row>
    <row r="55" spans="1:4" x14ac:dyDescent="0.2">
      <c r="D55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7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2-000000000000}">
  <sheetPr codeName="Sheet67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963</v>
      </c>
    </row>
    <row r="10" spans="1:6" x14ac:dyDescent="0.2">
      <c r="A10" s="21" t="s">
        <v>962</v>
      </c>
      <c r="D10" s="20" t="s">
        <v>27</v>
      </c>
      <c r="E10" s="20" t="s">
        <v>559</v>
      </c>
    </row>
    <row r="11" spans="1:6" x14ac:dyDescent="0.2">
      <c r="A11" s="21" t="s">
        <v>961</v>
      </c>
      <c r="D11" s="20" t="s">
        <v>24</v>
      </c>
      <c r="E11" s="20" t="s">
        <v>23</v>
      </c>
    </row>
    <row r="12" spans="1:6" x14ac:dyDescent="0.2">
      <c r="A12" s="21" t="s">
        <v>960</v>
      </c>
      <c r="D12" s="20" t="s">
        <v>22</v>
      </c>
      <c r="E12" s="19" t="s">
        <v>959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20" spans="1:6" x14ac:dyDescent="0.2">
      <c r="C20" s="13" t="s">
        <v>958</v>
      </c>
    </row>
    <row r="21" spans="1:6" x14ac:dyDescent="0.2">
      <c r="C21" s="21"/>
    </row>
    <row r="22" spans="1:6" x14ac:dyDescent="0.2">
      <c r="C22" s="21"/>
    </row>
    <row r="23" spans="1:6" x14ac:dyDescent="0.2">
      <c r="C23" s="21"/>
    </row>
    <row r="24" spans="1:6" x14ac:dyDescent="0.2">
      <c r="A24" s="21"/>
      <c r="C24" s="21" t="s">
        <v>957</v>
      </c>
      <c r="F24" s="1">
        <v>1000</v>
      </c>
    </row>
    <row r="25" spans="1:6" x14ac:dyDescent="0.2">
      <c r="C25" s="1" t="s">
        <v>956</v>
      </c>
    </row>
    <row r="26" spans="1:6" x14ac:dyDescent="0.2">
      <c r="C26" s="1" t="s">
        <v>955</v>
      </c>
    </row>
    <row r="27" spans="1:6" x14ac:dyDescent="0.2">
      <c r="A27" s="21"/>
      <c r="C27" s="21"/>
    </row>
    <row r="28" spans="1:6" x14ac:dyDescent="0.2">
      <c r="C28" s="12"/>
      <c r="F28" s="21"/>
    </row>
    <row r="29" spans="1:6" x14ac:dyDescent="0.2">
      <c r="B29" s="8"/>
    </row>
    <row r="30" spans="1:6" x14ac:dyDescent="0.2">
      <c r="B30" s="8"/>
    </row>
    <row r="31" spans="1:6" x14ac:dyDescent="0.2">
      <c r="B31" s="8"/>
    </row>
    <row r="33" spans="1:6" ht="13.5" thickBot="1" x14ac:dyDescent="0.25">
      <c r="F33" s="25">
        <f>SUM(F20:F32)</f>
        <v>1000</v>
      </c>
    </row>
    <row r="34" spans="1:6" ht="14.25" thickTop="1" thickBot="1" x14ac:dyDescent="0.25">
      <c r="F34" s="11"/>
    </row>
    <row r="35" spans="1:6" ht="20.100000000000001" customHeight="1" thickTop="1" x14ac:dyDescent="0.2">
      <c r="A35" s="24" t="s">
        <v>899</v>
      </c>
      <c r="B35" s="10"/>
      <c r="C35" s="9"/>
      <c r="D35" s="9"/>
      <c r="E35" s="9"/>
      <c r="F35" s="9"/>
    </row>
    <row r="36" spans="1:6" ht="25.5" x14ac:dyDescent="0.2">
      <c r="A36" s="8"/>
      <c r="D36" s="218" t="s">
        <v>3975</v>
      </c>
      <c r="E36" s="219"/>
      <c r="F36" s="220"/>
    </row>
    <row r="37" spans="1:6" x14ac:dyDescent="0.2">
      <c r="A37" s="1" t="s">
        <v>10</v>
      </c>
    </row>
    <row r="39" spans="1:6" x14ac:dyDescent="0.2">
      <c r="D39" s="227"/>
      <c r="E39" s="227"/>
      <c r="F39" s="227"/>
    </row>
    <row r="40" spans="1:6" x14ac:dyDescent="0.2">
      <c r="A40" s="1" t="s">
        <v>9</v>
      </c>
      <c r="C40" s="7"/>
      <c r="D40" s="228"/>
      <c r="E40" s="229"/>
      <c r="F40" s="229"/>
    </row>
    <row r="43" spans="1:6" x14ac:dyDescent="0.2">
      <c r="A43" s="6" t="s">
        <v>8</v>
      </c>
      <c r="D43" s="6" t="s">
        <v>7</v>
      </c>
      <c r="F43" s="5"/>
    </row>
    <row r="47" spans="1:6" x14ac:dyDescent="0.2">
      <c r="A47" s="1" t="s">
        <v>3972</v>
      </c>
      <c r="D47" s="1" t="s">
        <v>5</v>
      </c>
    </row>
    <row r="48" spans="1:6" s="3" customFormat="1" ht="17.100000000000001" customHeight="1" x14ac:dyDescent="0.2">
      <c r="A48" s="4" t="s">
        <v>35</v>
      </c>
      <c r="B48" s="4"/>
      <c r="D48" s="3" t="s">
        <v>3</v>
      </c>
    </row>
    <row r="49" spans="1:4" x14ac:dyDescent="0.2">
      <c r="A49" s="1" t="s">
        <v>4066</v>
      </c>
      <c r="D49" s="1" t="s">
        <v>2</v>
      </c>
    </row>
    <row r="51" spans="1:4" x14ac:dyDescent="0.2">
      <c r="D51" s="66" t="s">
        <v>1</v>
      </c>
    </row>
    <row r="52" spans="1:4" x14ac:dyDescent="0.2">
      <c r="D52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2-000000000000}">
  <sheetPr codeName="Sheet68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970</v>
      </c>
    </row>
    <row r="10" spans="1:6" x14ac:dyDescent="0.2">
      <c r="A10" s="21" t="s">
        <v>969</v>
      </c>
      <c r="D10" s="20" t="s">
        <v>27</v>
      </c>
      <c r="E10" s="20" t="s">
        <v>280</v>
      </c>
    </row>
    <row r="11" spans="1:6" x14ac:dyDescent="0.2">
      <c r="A11" s="21" t="s">
        <v>968</v>
      </c>
      <c r="D11" s="20" t="s">
        <v>24</v>
      </c>
      <c r="E11" s="20" t="s">
        <v>23</v>
      </c>
    </row>
    <row r="12" spans="1:6" x14ac:dyDescent="0.2">
      <c r="A12" s="21" t="s">
        <v>967</v>
      </c>
      <c r="D12" s="20" t="s">
        <v>22</v>
      </c>
      <c r="E12" s="19" t="s">
        <v>966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13" t="s">
        <v>965</v>
      </c>
    </row>
    <row r="20" spans="1:6" x14ac:dyDescent="0.2">
      <c r="C20" s="13" t="s">
        <v>964</v>
      </c>
    </row>
    <row r="22" spans="1:6" x14ac:dyDescent="0.2">
      <c r="C22" s="8"/>
    </row>
    <row r="23" spans="1:6" x14ac:dyDescent="0.2">
      <c r="A23" s="21"/>
      <c r="C23" s="21" t="s">
        <v>466</v>
      </c>
      <c r="F23" s="1">
        <v>1000</v>
      </c>
    </row>
    <row r="24" spans="1:6" x14ac:dyDescent="0.2">
      <c r="C24" s="21"/>
    </row>
    <row r="25" spans="1:6" x14ac:dyDescent="0.2">
      <c r="B25" s="8"/>
      <c r="C25" s="21"/>
    </row>
    <row r="26" spans="1:6" x14ac:dyDescent="0.2">
      <c r="B26" s="8"/>
      <c r="C26" s="21"/>
    </row>
    <row r="31" spans="1:6" ht="13.5" thickBot="1" x14ac:dyDescent="0.25">
      <c r="F31" s="11">
        <f>SUM(F18:F30)</f>
        <v>1000</v>
      </c>
    </row>
    <row r="32" spans="1:6" ht="13.5" thickTop="1" x14ac:dyDescent="0.2"/>
    <row r="34" spans="1:6" ht="20.100000000000001" customHeight="1" thickBot="1" x14ac:dyDescent="0.25">
      <c r="A34" s="24" t="s">
        <v>899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66" t="s">
        <v>1</v>
      </c>
    </row>
    <row r="51" spans="1:4" x14ac:dyDescent="0.2">
      <c r="D51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7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2-000000000000}">
  <sheetPr codeName="Sheet69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3.1406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1221</v>
      </c>
      <c r="E9" s="91" t="s">
        <v>2957</v>
      </c>
    </row>
    <row r="10" spans="1:6" x14ac:dyDescent="0.2">
      <c r="A10" s="91" t="s">
        <v>1510</v>
      </c>
      <c r="D10" s="92" t="s">
        <v>1356</v>
      </c>
      <c r="E10" s="92" t="s">
        <v>2908</v>
      </c>
    </row>
    <row r="11" spans="1:6" x14ac:dyDescent="0.2">
      <c r="A11" s="91" t="s">
        <v>1511</v>
      </c>
      <c r="D11" s="92" t="s">
        <v>1364</v>
      </c>
      <c r="E11" s="92" t="s">
        <v>1220</v>
      </c>
    </row>
    <row r="12" spans="1:6" x14ac:dyDescent="0.2">
      <c r="A12" s="94" t="s">
        <v>1512</v>
      </c>
      <c r="D12" s="92" t="s">
        <v>1224</v>
      </c>
      <c r="E12" s="92" t="s">
        <v>2958</v>
      </c>
    </row>
    <row r="13" spans="1:6" x14ac:dyDescent="0.2">
      <c r="A13" s="91" t="s">
        <v>1513</v>
      </c>
    </row>
    <row r="14" spans="1:6" x14ac:dyDescent="0.2">
      <c r="A14" s="91" t="s">
        <v>658</v>
      </c>
    </row>
    <row r="16" spans="1:6" s="14" customFormat="1" ht="20.100000000000001" customHeight="1" x14ac:dyDescent="0.2">
      <c r="A16" s="17" t="s">
        <v>129</v>
      </c>
      <c r="B16" s="31" t="s">
        <v>128</v>
      </c>
      <c r="C16" s="18" t="s">
        <v>19</v>
      </c>
      <c r="D16" s="17"/>
      <c r="E16" s="16"/>
      <c r="F16" s="15" t="s">
        <v>18</v>
      </c>
    </row>
    <row r="19" spans="1:6" x14ac:dyDescent="0.2">
      <c r="A19" s="93" t="s">
        <v>2929</v>
      </c>
      <c r="B19" s="93" t="s">
        <v>2959</v>
      </c>
      <c r="C19" s="91" t="s">
        <v>2960</v>
      </c>
      <c r="F19" s="91">
        <f>8000*0.225</f>
        <v>1800</v>
      </c>
    </row>
    <row r="20" spans="1:6" x14ac:dyDescent="0.2">
      <c r="C20" s="94" t="s">
        <v>2961</v>
      </c>
    </row>
    <row r="22" spans="1:6" x14ac:dyDescent="0.2">
      <c r="A22" s="93"/>
      <c r="B22" s="93"/>
    </row>
    <row r="23" spans="1:6" x14ac:dyDescent="0.2">
      <c r="C23" s="94"/>
    </row>
    <row r="29" spans="1:6" x14ac:dyDescent="0.2">
      <c r="B29" s="94"/>
    </row>
    <row r="30" spans="1:6" x14ac:dyDescent="0.2">
      <c r="B30" s="94"/>
    </row>
    <row r="31" spans="1:6" x14ac:dyDescent="0.2">
      <c r="B31" s="94"/>
    </row>
    <row r="33" spans="1:6" ht="13.5" thickBot="1" x14ac:dyDescent="0.25">
      <c r="F33" s="95">
        <f>SUM(F19:F32)</f>
        <v>1800</v>
      </c>
    </row>
    <row r="34" spans="1:6" ht="14.25" thickTop="1" thickBot="1" x14ac:dyDescent="0.25">
      <c r="F34" s="107"/>
    </row>
    <row r="35" spans="1:6" ht="20.100000000000001" customHeight="1" thickTop="1" x14ac:dyDescent="0.2">
      <c r="A35" s="96" t="s">
        <v>1465</v>
      </c>
      <c r="B35" s="96" t="s">
        <v>2524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C40" s="99"/>
      <c r="D40" s="228"/>
      <c r="E40" s="229"/>
      <c r="F40" s="229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61" customFormat="1" ht="17.100000000000001" customHeight="1" x14ac:dyDescent="0.2">
      <c r="A48" s="104" t="s">
        <v>35</v>
      </c>
      <c r="B48" s="104"/>
      <c r="D48" s="61" t="s">
        <v>3</v>
      </c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7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2-000000000000}">
  <sheetPr codeName="Sheet70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1" t="s">
        <v>980</v>
      </c>
    </row>
    <row r="10" spans="1:6" x14ac:dyDescent="0.2">
      <c r="A10" s="21" t="s">
        <v>979</v>
      </c>
      <c r="D10" s="20" t="s">
        <v>27</v>
      </c>
      <c r="E10" s="20" t="s">
        <v>922</v>
      </c>
    </row>
    <row r="11" spans="1:6" x14ac:dyDescent="0.2">
      <c r="A11" s="21" t="s">
        <v>978</v>
      </c>
      <c r="D11" s="20" t="s">
        <v>24</v>
      </c>
      <c r="E11" s="20" t="s">
        <v>23</v>
      </c>
    </row>
    <row r="12" spans="1:6" x14ac:dyDescent="0.2">
      <c r="A12" s="21" t="s">
        <v>977</v>
      </c>
      <c r="D12" s="20" t="s">
        <v>22</v>
      </c>
      <c r="E12" s="20" t="s">
        <v>976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A20" s="21"/>
      <c r="C20" s="13" t="s">
        <v>975</v>
      </c>
    </row>
    <row r="21" spans="1:6" x14ac:dyDescent="0.2">
      <c r="C21" s="13" t="s">
        <v>974</v>
      </c>
    </row>
    <row r="22" spans="1:6" x14ac:dyDescent="0.2">
      <c r="C22" s="21"/>
    </row>
    <row r="23" spans="1:6" x14ac:dyDescent="0.2">
      <c r="C23" s="21" t="s">
        <v>973</v>
      </c>
      <c r="F23" s="1">
        <v>1635</v>
      </c>
    </row>
    <row r="24" spans="1:6" x14ac:dyDescent="0.2">
      <c r="A24" s="21"/>
      <c r="C24" s="21" t="s">
        <v>972</v>
      </c>
    </row>
    <row r="25" spans="1:6" x14ac:dyDescent="0.2">
      <c r="C25" s="21"/>
    </row>
    <row r="26" spans="1:6" x14ac:dyDescent="0.2">
      <c r="C26" s="21"/>
      <c r="F26" s="21"/>
    </row>
    <row r="27" spans="1:6" x14ac:dyDescent="0.2">
      <c r="B27" s="8"/>
      <c r="C27" s="21"/>
    </row>
    <row r="28" spans="1:6" x14ac:dyDescent="0.2">
      <c r="B28" s="8"/>
    </row>
    <row r="30" spans="1:6" ht="13.5" thickBot="1" x14ac:dyDescent="0.25">
      <c r="F30" s="25">
        <f>SUM(F19:F29)</f>
        <v>1635</v>
      </c>
    </row>
    <row r="31" spans="1:6" ht="13.5" thickTop="1" x14ac:dyDescent="0.2"/>
    <row r="32" spans="1:6" ht="20.100000000000001" customHeight="1" x14ac:dyDescent="0.2">
      <c r="A32" s="24" t="s">
        <v>971</v>
      </c>
      <c r="B32" s="10"/>
      <c r="C32" s="9"/>
      <c r="D32" s="9"/>
      <c r="E32" s="9"/>
      <c r="F32" s="9"/>
    </row>
    <row r="33" spans="1:6" x14ac:dyDescent="0.2">
      <c r="A33" s="8"/>
    </row>
    <row r="34" spans="1:6" ht="13.5" thickBot="1" x14ac:dyDescent="0.25">
      <c r="A34" s="1" t="s">
        <v>10</v>
      </c>
      <c r="F34" s="11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1" t="s">
        <v>9</v>
      </c>
      <c r="C37" s="7"/>
    </row>
    <row r="38" spans="1:6" x14ac:dyDescent="0.2">
      <c r="C38" s="7"/>
    </row>
    <row r="39" spans="1:6" x14ac:dyDescent="0.2">
      <c r="D39" s="227"/>
      <c r="E39" s="227"/>
      <c r="F39" s="227"/>
    </row>
    <row r="40" spans="1:6" x14ac:dyDescent="0.2">
      <c r="A40" s="6" t="s">
        <v>8</v>
      </c>
      <c r="D40" s="228"/>
      <c r="E40" s="229"/>
      <c r="F40" s="229"/>
    </row>
    <row r="44" spans="1:6" x14ac:dyDescent="0.2">
      <c r="A44" s="1" t="s">
        <v>6</v>
      </c>
      <c r="D44" s="1" t="s">
        <v>5</v>
      </c>
    </row>
    <row r="45" spans="1:6" s="3" customFormat="1" ht="17.100000000000001" customHeight="1" x14ac:dyDescent="0.2">
      <c r="A45" s="4" t="s">
        <v>35</v>
      </c>
      <c r="B45" s="4"/>
      <c r="D45" s="3" t="s">
        <v>3</v>
      </c>
    </row>
    <row r="46" spans="1:6" x14ac:dyDescent="0.2">
      <c r="D46" s="1" t="s">
        <v>2</v>
      </c>
    </row>
    <row r="47" spans="1:6" x14ac:dyDescent="0.2">
      <c r="A47" s="1" t="s">
        <v>3972</v>
      </c>
    </row>
    <row r="48" spans="1:6" x14ac:dyDescent="0.2">
      <c r="D48" s="66" t="s">
        <v>1</v>
      </c>
    </row>
    <row r="49" spans="1:4" x14ac:dyDescent="0.2">
      <c r="A49" s="1" t="s">
        <v>4066</v>
      </c>
      <c r="D49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7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2-000000000000}">
  <sheetPr codeName="Sheet71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27.42578125" style="1" customWidth="1"/>
    <col min="2" max="2" width="2.42578125" style="1" customWidth="1"/>
    <col min="3" max="3" width="21" style="1" customWidth="1"/>
    <col min="4" max="4" width="16.42578125" style="1" customWidth="1"/>
    <col min="5" max="5" width="10.140625" style="1" customWidth="1"/>
    <col min="6" max="6" width="13.28515625" style="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5" t="s">
        <v>33</v>
      </c>
      <c r="B2" s="525"/>
      <c r="C2" s="525"/>
      <c r="D2" s="525"/>
      <c r="E2" s="525"/>
      <c r="F2" s="525"/>
    </row>
    <row r="3" spans="1:6" x14ac:dyDescent="0.2">
      <c r="A3" s="525" t="s">
        <v>1829</v>
      </c>
      <c r="B3" s="525"/>
      <c r="C3" s="525"/>
      <c r="D3" s="525"/>
      <c r="E3" s="525"/>
      <c r="F3" s="525"/>
    </row>
    <row r="4" spans="1:6" x14ac:dyDescent="0.2">
      <c r="A4" s="525" t="s">
        <v>1828</v>
      </c>
      <c r="B4" s="525"/>
      <c r="C4" s="525"/>
      <c r="D4" s="525"/>
      <c r="E4" s="525"/>
      <c r="F4" s="525"/>
    </row>
    <row r="8" spans="1:6" x14ac:dyDescent="0.2">
      <c r="A8" s="1" t="s">
        <v>32</v>
      </c>
      <c r="D8" s="22" t="s">
        <v>31</v>
      </c>
    </row>
    <row r="9" spans="1:6" x14ac:dyDescent="0.2">
      <c r="D9" s="20" t="s">
        <v>30</v>
      </c>
      <c r="E9" s="21" t="s">
        <v>989</v>
      </c>
    </row>
    <row r="10" spans="1:6" x14ac:dyDescent="0.2">
      <c r="A10" s="21" t="s">
        <v>673</v>
      </c>
      <c r="D10" s="20" t="s">
        <v>27</v>
      </c>
      <c r="E10" s="20" t="s">
        <v>26</v>
      </c>
    </row>
    <row r="11" spans="1:6" x14ac:dyDescent="0.2">
      <c r="A11" s="21" t="s">
        <v>988</v>
      </c>
      <c r="D11" s="20" t="s">
        <v>24</v>
      </c>
      <c r="E11" s="20" t="s">
        <v>23</v>
      </c>
    </row>
    <row r="12" spans="1:6" x14ac:dyDescent="0.2">
      <c r="A12" s="21" t="s">
        <v>987</v>
      </c>
      <c r="D12" s="20" t="s">
        <v>22</v>
      </c>
      <c r="E12" s="19" t="s">
        <v>986</v>
      </c>
    </row>
    <row r="16" spans="1:6" s="67" customFormat="1" ht="20.100000000000001" customHeight="1" x14ac:dyDescent="0.2">
      <c r="A16" s="70" t="s">
        <v>20</v>
      </c>
      <c r="B16" s="70"/>
      <c r="C16" s="71" t="s">
        <v>19</v>
      </c>
      <c r="D16" s="70"/>
      <c r="E16" s="69"/>
      <c r="F16" s="68" t="s">
        <v>18</v>
      </c>
    </row>
    <row r="19" spans="1:6" x14ac:dyDescent="0.2">
      <c r="C19" s="21"/>
    </row>
    <row r="20" spans="1:6" x14ac:dyDescent="0.2">
      <c r="C20" s="13" t="s">
        <v>985</v>
      </c>
    </row>
    <row r="21" spans="1:6" x14ac:dyDescent="0.2">
      <c r="C21" s="21"/>
    </row>
    <row r="24" spans="1:6" x14ac:dyDescent="0.2">
      <c r="A24" s="21" t="s">
        <v>984</v>
      </c>
      <c r="C24" s="21" t="s">
        <v>983</v>
      </c>
      <c r="F24" s="1">
        <v>1000</v>
      </c>
    </row>
    <row r="25" spans="1:6" x14ac:dyDescent="0.2">
      <c r="C25" s="21" t="s">
        <v>982</v>
      </c>
    </row>
    <row r="26" spans="1:6" x14ac:dyDescent="0.2">
      <c r="B26" s="8"/>
      <c r="C26" s="21" t="s">
        <v>981</v>
      </c>
    </row>
    <row r="27" spans="1:6" x14ac:dyDescent="0.2">
      <c r="B27" s="8"/>
    </row>
    <row r="31" spans="1:6" ht="13.5" thickBot="1" x14ac:dyDescent="0.25">
      <c r="F31" s="11">
        <f>SUM(F18:F30)</f>
        <v>1000</v>
      </c>
    </row>
    <row r="32" spans="1:6" ht="13.5" thickTop="1" x14ac:dyDescent="0.2"/>
    <row r="34" spans="1:6" ht="20.100000000000001" customHeight="1" thickBot="1" x14ac:dyDescent="0.25">
      <c r="A34" s="24" t="s">
        <v>899</v>
      </c>
      <c r="B34" s="10"/>
      <c r="C34" s="9"/>
      <c r="D34" s="9"/>
      <c r="E34" s="9"/>
      <c r="F34" s="202"/>
    </row>
    <row r="35" spans="1:6" ht="13.5" thickTop="1" x14ac:dyDescent="0.2">
      <c r="A35" s="8" t="s">
        <v>11</v>
      </c>
    </row>
    <row r="36" spans="1:6" ht="25.5" x14ac:dyDescent="0.2">
      <c r="A36" s="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D41" s="6" t="s">
        <v>7</v>
      </c>
      <c r="F41" s="5"/>
    </row>
    <row r="42" spans="1:6" x14ac:dyDescent="0.2">
      <c r="A42" s="6" t="s">
        <v>8</v>
      </c>
      <c r="D42" s="6"/>
      <c r="F42" s="5"/>
    </row>
    <row r="46" spans="1:6" x14ac:dyDescent="0.2">
      <c r="A46" s="1" t="s">
        <v>6</v>
      </c>
      <c r="D46" s="1" t="s">
        <v>5</v>
      </c>
    </row>
    <row r="47" spans="1:6" s="3" customFormat="1" ht="17.100000000000001" customHeight="1" x14ac:dyDescent="0.2">
      <c r="A47" s="4" t="s">
        <v>3972</v>
      </c>
      <c r="B47" s="4"/>
      <c r="D47" s="3" t="s">
        <v>3</v>
      </c>
    </row>
    <row r="48" spans="1:6" x14ac:dyDescent="0.2">
      <c r="D48" s="1" t="s">
        <v>2</v>
      </c>
    </row>
    <row r="49" spans="1:4" x14ac:dyDescent="0.2">
      <c r="A49" s="1" t="s">
        <v>4066</v>
      </c>
    </row>
    <row r="50" spans="1:4" x14ac:dyDescent="0.2">
      <c r="D50" s="66" t="s">
        <v>1</v>
      </c>
    </row>
    <row r="51" spans="1:4" x14ac:dyDescent="0.2">
      <c r="D51" s="66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17">
    <pageSetUpPr fitToPage="1"/>
  </sheetPr>
  <dimension ref="A1:N54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7109375" style="91" customWidth="1"/>
    <col min="4" max="4" width="21" style="91" customWidth="1"/>
    <col min="5" max="5" width="0.5703125" style="91" customWidth="1"/>
    <col min="6" max="6" width="16.42578125" style="91" customWidth="1"/>
    <col min="7" max="7" width="8.7109375" style="91" customWidth="1"/>
    <col min="8" max="8" width="13.28515625" style="91" customWidth="1"/>
    <col min="9" max="16384" width="9.140625" style="1"/>
  </cols>
  <sheetData>
    <row r="1" spans="1:9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9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9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9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9" x14ac:dyDescent="0.2">
      <c r="A8" s="91" t="s">
        <v>32</v>
      </c>
      <c r="F8" s="22" t="s">
        <v>31</v>
      </c>
    </row>
    <row r="9" spans="1:9" x14ac:dyDescent="0.2">
      <c r="F9" s="92" t="s">
        <v>1334</v>
      </c>
      <c r="G9" s="155" t="s">
        <v>8198</v>
      </c>
      <c r="I9" s="61"/>
    </row>
    <row r="10" spans="1:9" x14ac:dyDescent="0.2">
      <c r="A10" s="91" t="s">
        <v>5279</v>
      </c>
      <c r="F10" s="92" t="s">
        <v>1335</v>
      </c>
      <c r="G10" s="155" t="s">
        <v>8183</v>
      </c>
      <c r="I10" s="113"/>
    </row>
    <row r="11" spans="1:9" x14ac:dyDescent="0.2">
      <c r="A11" s="91" t="s">
        <v>5029</v>
      </c>
      <c r="F11" s="92" t="s">
        <v>1333</v>
      </c>
      <c r="G11" s="155" t="s">
        <v>1220</v>
      </c>
      <c r="I11" s="113"/>
    </row>
    <row r="12" spans="1:9" x14ac:dyDescent="0.2">
      <c r="A12" s="91" t="s">
        <v>5030</v>
      </c>
      <c r="F12" s="92" t="s">
        <v>1331</v>
      </c>
      <c r="G12" s="91" t="s">
        <v>8199</v>
      </c>
      <c r="I12" s="113"/>
    </row>
    <row r="13" spans="1:9" x14ac:dyDescent="0.2">
      <c r="A13" s="91" t="s">
        <v>1314</v>
      </c>
      <c r="G13" s="91" t="s">
        <v>7914</v>
      </c>
    </row>
    <row r="14" spans="1:9" x14ac:dyDescent="0.2">
      <c r="A14" s="91" t="s">
        <v>5031</v>
      </c>
    </row>
    <row r="16" spans="1:9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</row>
    <row r="18" spans="1:14" x14ac:dyDescent="0.2">
      <c r="A18" s="93" t="s">
        <v>8200</v>
      </c>
      <c r="B18" s="93" t="s">
        <v>8201</v>
      </c>
      <c r="C18" s="93"/>
      <c r="D18" s="91" t="s">
        <v>8202</v>
      </c>
      <c r="H18" s="91">
        <v>900</v>
      </c>
      <c r="K18" s="91" t="s">
        <v>6251</v>
      </c>
      <c r="L18" s="91"/>
      <c r="M18" s="91"/>
      <c r="N18" s="91">
        <v>900</v>
      </c>
    </row>
    <row r="19" spans="1:14" x14ac:dyDescent="0.2">
      <c r="D19" s="91" t="s">
        <v>5277</v>
      </c>
      <c r="K19" s="91" t="s">
        <v>5277</v>
      </c>
      <c r="L19" s="91"/>
      <c r="M19" s="91"/>
      <c r="N19" s="91"/>
    </row>
    <row r="20" spans="1:14" x14ac:dyDescent="0.2">
      <c r="A20" s="93"/>
      <c r="B20" s="111"/>
      <c r="C20" s="111"/>
      <c r="K20" s="91"/>
      <c r="L20" s="91"/>
      <c r="M20" s="91"/>
      <c r="N20" s="91"/>
    </row>
    <row r="21" spans="1:14" x14ac:dyDescent="0.2">
      <c r="D21" s="91" t="s">
        <v>8203</v>
      </c>
      <c r="H21" s="110">
        <v>350</v>
      </c>
      <c r="K21" s="91" t="s">
        <v>5278</v>
      </c>
      <c r="L21" s="91"/>
      <c r="M21" s="91"/>
      <c r="N21" s="110">
        <v>350</v>
      </c>
    </row>
    <row r="23" spans="1:14" x14ac:dyDescent="0.2">
      <c r="A23" s="93"/>
      <c r="B23" s="93"/>
      <c r="C23" s="93"/>
    </row>
    <row r="24" spans="1:14" x14ac:dyDescent="0.2">
      <c r="A24" s="80"/>
      <c r="B24" s="80"/>
      <c r="C24" s="80"/>
    </row>
    <row r="25" spans="1:14" x14ac:dyDescent="0.2">
      <c r="H25" s="110"/>
    </row>
    <row r="29" spans="1:14" x14ac:dyDescent="0.2">
      <c r="A29" s="93"/>
      <c r="B29" s="111"/>
      <c r="C29" s="111"/>
      <c r="D29" s="2"/>
      <c r="E29" s="2"/>
    </row>
    <row r="31" spans="1:14" x14ac:dyDescent="0.2">
      <c r="H31" s="110"/>
    </row>
    <row r="34" spans="1:8" x14ac:dyDescent="0.2">
      <c r="A34" s="93"/>
      <c r="B34" s="111"/>
      <c r="C34" s="111"/>
    </row>
    <row r="35" spans="1:8" ht="13.5" thickBot="1" x14ac:dyDescent="0.25">
      <c r="H35" s="95">
        <f>SUM(H18:H33)</f>
        <v>1250</v>
      </c>
    </row>
    <row r="36" spans="1:8" ht="13.5" thickTop="1" x14ac:dyDescent="0.2"/>
    <row r="37" spans="1:8" ht="20.100000000000001" customHeight="1" x14ac:dyDescent="0.2">
      <c r="A37" s="96" t="s">
        <v>336</v>
      </c>
      <c r="B37" s="185" t="s">
        <v>3669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</row>
    <row r="39" spans="1:8" ht="25.5" x14ac:dyDescent="0.2">
      <c r="A39" s="91" t="s">
        <v>10</v>
      </c>
      <c r="F39" s="218" t="s">
        <v>3975</v>
      </c>
      <c r="G39" s="219"/>
      <c r="H39" s="220"/>
    </row>
    <row r="42" spans="1:8" x14ac:dyDescent="0.2">
      <c r="F42" s="227"/>
      <c r="G42" s="227"/>
      <c r="H42" s="227"/>
    </row>
    <row r="43" spans="1:8" x14ac:dyDescent="0.2">
      <c r="A43" s="101"/>
      <c r="B43" s="101"/>
      <c r="C43" s="386"/>
      <c r="F43" s="228"/>
      <c r="G43" s="229"/>
      <c r="H43" s="229"/>
    </row>
    <row r="44" spans="1:8" x14ac:dyDescent="0.2">
      <c r="A44" s="1"/>
      <c r="F44" s="98" t="s">
        <v>7</v>
      </c>
      <c r="H44" s="102"/>
    </row>
    <row r="45" spans="1:8" x14ac:dyDescent="0.2">
      <c r="A45" s="98" t="s">
        <v>8</v>
      </c>
      <c r="D45" s="98" t="s">
        <v>8</v>
      </c>
      <c r="F45" s="98"/>
      <c r="H45" s="102"/>
    </row>
    <row r="49" spans="1:8" x14ac:dyDescent="0.2">
      <c r="A49" s="101" t="s">
        <v>120</v>
      </c>
      <c r="B49" s="101"/>
      <c r="C49" s="386"/>
      <c r="D49" s="101" t="s">
        <v>120</v>
      </c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F51" s="91" t="s">
        <v>2</v>
      </c>
    </row>
    <row r="53" spans="1:8" x14ac:dyDescent="0.2">
      <c r="F53" s="2" t="s">
        <v>1</v>
      </c>
    </row>
    <row r="54" spans="1:8" x14ac:dyDescent="0.2">
      <c r="F54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7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2-000000000000}">
  <sheetPr codeName="Sheet115">
    <pageSetUpPr fitToPage="1"/>
  </sheetPr>
  <dimension ref="A3:G57"/>
  <sheetViews>
    <sheetView workbookViewId="0">
      <selection activeCell="F34" sqref="F34"/>
    </sheetView>
  </sheetViews>
  <sheetFormatPr defaultRowHeight="12.75" x14ac:dyDescent="0.2"/>
  <cols>
    <col min="3" max="3" width="21" customWidth="1"/>
    <col min="4" max="4" width="16.42578125" customWidth="1"/>
    <col min="6" max="6" width="13.28515625" customWidth="1"/>
  </cols>
  <sheetData>
    <row r="3" spans="1:7" x14ac:dyDescent="0.2">
      <c r="A3" s="64" t="s">
        <v>1829</v>
      </c>
      <c r="B3">
        <v>7333.25</v>
      </c>
      <c r="D3">
        <f>+B57</f>
        <v>123766.31</v>
      </c>
      <c r="F3" t="s">
        <v>771</v>
      </c>
      <c r="G3">
        <v>486000</v>
      </c>
    </row>
    <row r="4" spans="1:7" x14ac:dyDescent="0.2">
      <c r="A4" t="s">
        <v>1828</v>
      </c>
      <c r="B4">
        <v>1538.41</v>
      </c>
      <c r="D4">
        <v>1635</v>
      </c>
      <c r="G4" t="e">
        <f>-#REF!</f>
        <v>#REF!</v>
      </c>
    </row>
    <row r="5" spans="1:7" ht="13.5" thickBot="1" x14ac:dyDescent="0.25">
      <c r="B5">
        <v>2096.31</v>
      </c>
      <c r="D5">
        <v>14511.5</v>
      </c>
      <c r="G5" s="65" t="e">
        <f>SUM(G3:G4)</f>
        <v>#REF!</v>
      </c>
    </row>
    <row r="6" spans="1:7" ht="13.5" thickTop="1" x14ac:dyDescent="0.2">
      <c r="B6">
        <v>1446.27</v>
      </c>
      <c r="D6">
        <v>2000</v>
      </c>
    </row>
    <row r="7" spans="1:7" x14ac:dyDescent="0.2">
      <c r="B7">
        <v>2730.33</v>
      </c>
      <c r="D7">
        <v>1723.55</v>
      </c>
    </row>
    <row r="8" spans="1:7" x14ac:dyDescent="0.2">
      <c r="B8">
        <v>300</v>
      </c>
      <c r="D8">
        <v>380</v>
      </c>
    </row>
    <row r="9" spans="1:7" x14ac:dyDescent="0.2">
      <c r="B9">
        <v>798.07</v>
      </c>
      <c r="D9">
        <v>320</v>
      </c>
    </row>
    <row r="10" spans="1:7" x14ac:dyDescent="0.2">
      <c r="B10">
        <v>250</v>
      </c>
      <c r="D10">
        <v>360</v>
      </c>
    </row>
    <row r="11" spans="1:7" x14ac:dyDescent="0.2">
      <c r="B11">
        <v>250</v>
      </c>
      <c r="D11">
        <v>60</v>
      </c>
    </row>
    <row r="12" spans="1:7" x14ac:dyDescent="0.2">
      <c r="B12">
        <v>250</v>
      </c>
      <c r="D12">
        <v>36</v>
      </c>
    </row>
    <row r="13" spans="1:7" x14ac:dyDescent="0.2">
      <c r="B13">
        <v>250</v>
      </c>
      <c r="D13">
        <v>1500</v>
      </c>
    </row>
    <row r="14" spans="1:7" x14ac:dyDescent="0.2">
      <c r="B14">
        <v>250</v>
      </c>
      <c r="D14">
        <v>450</v>
      </c>
    </row>
    <row r="15" spans="1:7" x14ac:dyDescent="0.2">
      <c r="B15">
        <v>250</v>
      </c>
      <c r="D15">
        <v>2500</v>
      </c>
    </row>
    <row r="16" spans="1:7" x14ac:dyDescent="0.2">
      <c r="B16">
        <v>100</v>
      </c>
      <c r="D16">
        <v>5000</v>
      </c>
    </row>
    <row r="17" spans="2:4" x14ac:dyDescent="0.2">
      <c r="B17">
        <v>100</v>
      </c>
      <c r="D17">
        <v>300</v>
      </c>
    </row>
    <row r="18" spans="2:4" x14ac:dyDescent="0.2">
      <c r="B18">
        <v>183</v>
      </c>
      <c r="D18">
        <v>5000</v>
      </c>
    </row>
    <row r="19" spans="2:4" x14ac:dyDescent="0.2">
      <c r="B19">
        <v>338</v>
      </c>
      <c r="D19">
        <v>9788.6200000000008</v>
      </c>
    </row>
    <row r="20" spans="2:4" x14ac:dyDescent="0.2">
      <c r="B20">
        <v>5500</v>
      </c>
      <c r="D20">
        <v>27220</v>
      </c>
    </row>
    <row r="21" spans="2:4" x14ac:dyDescent="0.2">
      <c r="B21">
        <v>1240</v>
      </c>
      <c r="D21">
        <v>1260</v>
      </c>
    </row>
    <row r="22" spans="2:4" x14ac:dyDescent="0.2">
      <c r="B22">
        <v>1400</v>
      </c>
      <c r="D22">
        <v>5869</v>
      </c>
    </row>
    <row r="23" spans="2:4" x14ac:dyDescent="0.2">
      <c r="B23">
        <v>160</v>
      </c>
      <c r="D23">
        <v>462.5</v>
      </c>
    </row>
    <row r="24" spans="2:4" x14ac:dyDescent="0.2">
      <c r="B24">
        <v>8200</v>
      </c>
      <c r="D24">
        <v>300</v>
      </c>
    </row>
    <row r="25" spans="2:4" x14ac:dyDescent="0.2">
      <c r="B25">
        <v>3960</v>
      </c>
      <c r="D25">
        <v>300</v>
      </c>
    </row>
    <row r="26" spans="2:4" x14ac:dyDescent="0.2">
      <c r="B26">
        <v>1742.5</v>
      </c>
      <c r="D26">
        <v>7498.43</v>
      </c>
    </row>
    <row r="27" spans="2:4" x14ac:dyDescent="0.2">
      <c r="B27">
        <v>410.36</v>
      </c>
      <c r="D27">
        <v>218.25</v>
      </c>
    </row>
    <row r="28" spans="2:4" x14ac:dyDescent="0.2">
      <c r="B28">
        <v>22151.33</v>
      </c>
      <c r="D28">
        <v>1785</v>
      </c>
    </row>
    <row r="29" spans="2:4" x14ac:dyDescent="0.2">
      <c r="B29">
        <v>7000</v>
      </c>
      <c r="D29">
        <v>6185</v>
      </c>
    </row>
    <row r="30" spans="2:4" x14ac:dyDescent="0.2">
      <c r="B30">
        <v>1980</v>
      </c>
      <c r="C30" t="s">
        <v>770</v>
      </c>
      <c r="D30">
        <v>1225.95</v>
      </c>
    </row>
    <row r="31" spans="2:4" x14ac:dyDescent="0.2">
      <c r="B31">
        <v>2362.5</v>
      </c>
      <c r="C31" t="s">
        <v>770</v>
      </c>
      <c r="D31">
        <v>670.5</v>
      </c>
    </row>
    <row r="32" spans="2:4" x14ac:dyDescent="0.2">
      <c r="B32">
        <v>1800</v>
      </c>
      <c r="C32" t="s">
        <v>769</v>
      </c>
      <c r="D32">
        <v>28095.86</v>
      </c>
    </row>
    <row r="33" spans="1:6" x14ac:dyDescent="0.2">
      <c r="B33">
        <v>3000</v>
      </c>
      <c r="C33" s="64" t="s">
        <v>768</v>
      </c>
      <c r="D33">
        <v>52776.800000000003</v>
      </c>
    </row>
    <row r="34" spans="1:6" ht="13.5" thickBot="1" x14ac:dyDescent="0.25">
      <c r="B34">
        <v>1100</v>
      </c>
      <c r="C34" s="64" t="s">
        <v>767</v>
      </c>
      <c r="D34">
        <v>12053.6</v>
      </c>
      <c r="F34" s="65"/>
    </row>
    <row r="35" spans="1:6" ht="13.5" thickTop="1" x14ac:dyDescent="0.2">
      <c r="B35">
        <v>1800</v>
      </c>
      <c r="C35" s="64" t="s">
        <v>766</v>
      </c>
      <c r="D35">
        <v>24833.85</v>
      </c>
    </row>
    <row r="36" spans="1:6" ht="25.5" x14ac:dyDescent="0.2">
      <c r="B36">
        <v>1493.24</v>
      </c>
      <c r="C36" s="64" t="s">
        <v>765</v>
      </c>
      <c r="D36" s="218" t="s">
        <v>3975</v>
      </c>
      <c r="E36" s="219"/>
      <c r="F36" s="220"/>
    </row>
    <row r="37" spans="1:6" x14ac:dyDescent="0.2">
      <c r="B37">
        <v>188</v>
      </c>
    </row>
    <row r="39" spans="1:6" x14ac:dyDescent="0.2">
      <c r="B39">
        <v>1200</v>
      </c>
      <c r="D39" s="227"/>
      <c r="E39" s="227"/>
      <c r="F39" s="227"/>
    </row>
    <row r="40" spans="1:6" x14ac:dyDescent="0.2">
      <c r="B40">
        <v>12633</v>
      </c>
      <c r="D40" s="228"/>
      <c r="E40" s="229"/>
      <c r="F40" s="229"/>
    </row>
    <row r="41" spans="1:6" x14ac:dyDescent="0.2">
      <c r="B41">
        <v>3121</v>
      </c>
    </row>
    <row r="43" spans="1:6" x14ac:dyDescent="0.2">
      <c r="B43">
        <v>1797.01</v>
      </c>
    </row>
    <row r="44" spans="1:6" x14ac:dyDescent="0.2">
      <c r="B44">
        <v>1150.81</v>
      </c>
    </row>
    <row r="45" spans="1:6" x14ac:dyDescent="0.2">
      <c r="B45">
        <v>766.46</v>
      </c>
    </row>
    <row r="46" spans="1:6" x14ac:dyDescent="0.2">
      <c r="B46">
        <v>211.01</v>
      </c>
    </row>
    <row r="47" spans="1:6" x14ac:dyDescent="0.2">
      <c r="A47" t="s">
        <v>3972</v>
      </c>
      <c r="B47">
        <v>1116</v>
      </c>
    </row>
    <row r="48" spans="1:6" x14ac:dyDescent="0.2">
      <c r="B48">
        <v>4844</v>
      </c>
    </row>
    <row r="49" spans="1:2" x14ac:dyDescent="0.2">
      <c r="A49" t="s">
        <v>4066</v>
      </c>
      <c r="B49">
        <v>382.4</v>
      </c>
    </row>
    <row r="50" spans="1:2" x14ac:dyDescent="0.2">
      <c r="B50">
        <v>562.52</v>
      </c>
    </row>
    <row r="51" spans="1:2" x14ac:dyDescent="0.2">
      <c r="B51">
        <v>390</v>
      </c>
    </row>
    <row r="52" spans="1:2" x14ac:dyDescent="0.2">
      <c r="B52">
        <v>5236.83</v>
      </c>
    </row>
    <row r="53" spans="1:2" x14ac:dyDescent="0.2">
      <c r="B53">
        <v>4290</v>
      </c>
    </row>
    <row r="54" spans="1:2" x14ac:dyDescent="0.2">
      <c r="B54">
        <v>113.7</v>
      </c>
    </row>
    <row r="55" spans="1:2" x14ac:dyDescent="0.2">
      <c r="B55">
        <v>2000</v>
      </c>
    </row>
    <row r="56" spans="1:2" x14ac:dyDescent="0.2">
      <c r="B56" s="63"/>
    </row>
    <row r="57" spans="1:2" x14ac:dyDescent="0.2">
      <c r="B57">
        <f>SUM(B3:B56)</f>
        <v>123766.31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42">
    <pageSetUpPr fitToPage="1"/>
  </sheetPr>
  <dimension ref="A1:H56"/>
  <sheetViews>
    <sheetView workbookViewId="0">
      <selection activeCell="G9" sqref="G9:G13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0.57031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8923</v>
      </c>
      <c r="H9" s="91"/>
    </row>
    <row r="10" spans="1:8" x14ac:dyDescent="0.2">
      <c r="A10" s="91" t="s">
        <v>8336</v>
      </c>
      <c r="B10" s="91"/>
      <c r="C10" s="91"/>
      <c r="D10" s="91"/>
      <c r="E10" s="91"/>
      <c r="F10" s="92" t="s">
        <v>1357</v>
      </c>
      <c r="G10" s="98" t="s">
        <v>8898</v>
      </c>
      <c r="H10" s="91"/>
    </row>
    <row r="11" spans="1:8" x14ac:dyDescent="0.2">
      <c r="A11" s="91" t="s">
        <v>1228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8337</v>
      </c>
      <c r="B12" s="91"/>
      <c r="C12" s="91"/>
      <c r="D12" s="91"/>
      <c r="E12" s="91"/>
      <c r="F12" s="92" t="s">
        <v>1224</v>
      </c>
      <c r="G12" s="94" t="s">
        <v>8924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435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1230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 t="s">
        <v>8926</v>
      </c>
      <c r="E19" s="2"/>
      <c r="F19" s="91"/>
      <c r="G19" s="91"/>
      <c r="H19" s="91"/>
    </row>
    <row r="20" spans="1:8" x14ac:dyDescent="0.2">
      <c r="A20" s="106"/>
      <c r="B20" s="91"/>
      <c r="C20" s="91"/>
      <c r="F20" s="91"/>
      <c r="G20" s="91"/>
      <c r="H20" s="91"/>
    </row>
    <row r="21" spans="1:8" x14ac:dyDescent="0.2">
      <c r="A21" s="105" t="s">
        <v>8925</v>
      </c>
      <c r="B21" s="91"/>
      <c r="C21" s="91"/>
      <c r="D21" s="91" t="s">
        <v>1967</v>
      </c>
      <c r="E21" s="91"/>
      <c r="F21" s="91"/>
      <c r="G21" s="91"/>
      <c r="H21" s="91">
        <v>350</v>
      </c>
    </row>
    <row r="22" spans="1:8" x14ac:dyDescent="0.2">
      <c r="A22" s="137"/>
      <c r="B22" s="91"/>
      <c r="C22" s="91"/>
      <c r="D22" s="91" t="s">
        <v>8927</v>
      </c>
      <c r="E22" s="91"/>
      <c r="F22" s="91"/>
      <c r="G22" s="91"/>
      <c r="H22" s="91"/>
    </row>
    <row r="23" spans="1:8" x14ac:dyDescent="0.2">
      <c r="A23" s="106"/>
      <c r="B23" s="91"/>
      <c r="C23" s="91"/>
      <c r="D23" s="143"/>
      <c r="E23" s="143"/>
      <c r="F23" s="91"/>
      <c r="G23" s="91"/>
      <c r="H23" s="91"/>
    </row>
    <row r="24" spans="1:8" x14ac:dyDescent="0.2">
      <c r="D24" s="91"/>
      <c r="E24" s="91"/>
      <c r="F24" s="91"/>
      <c r="G24" s="91"/>
      <c r="H24" s="91"/>
    </row>
    <row r="25" spans="1:8" x14ac:dyDescent="0.2">
      <c r="A25" s="447"/>
      <c r="B25" s="91"/>
      <c r="C25" s="91"/>
      <c r="D25" s="91"/>
      <c r="E25" s="91"/>
      <c r="F25" s="91"/>
      <c r="G25" s="91"/>
      <c r="H25" s="91"/>
    </row>
    <row r="26" spans="1:8" x14ac:dyDescent="0.2">
      <c r="A26" s="106"/>
      <c r="B26" s="91"/>
      <c r="C26" s="91"/>
      <c r="D26" s="91"/>
      <c r="E26" s="91"/>
      <c r="F26" s="91"/>
      <c r="G26" s="91"/>
      <c r="H26" s="91"/>
    </row>
    <row r="27" spans="1:8" x14ac:dyDescent="0.2">
      <c r="A27" s="91"/>
      <c r="B27" s="91"/>
      <c r="C27" s="91"/>
      <c r="D27" s="91"/>
      <c r="E27" s="91"/>
      <c r="F27" s="91"/>
      <c r="G27" s="91"/>
      <c r="H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350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Fifty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99"/>
      <c r="E42" s="436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18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5.5703125" style="91" customWidth="1"/>
    <col min="2" max="2" width="14.28515625" style="91" customWidth="1"/>
    <col min="3" max="3" width="21" style="91" customWidth="1"/>
    <col min="4" max="4" width="16.42578125" style="91" customWidth="1"/>
    <col min="5" max="5" width="11.57031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1267</v>
      </c>
      <c r="E9" s="155" t="s">
        <v>7096</v>
      </c>
    </row>
    <row r="10" spans="1:6" x14ac:dyDescent="0.2">
      <c r="A10" s="91" t="s">
        <v>1558</v>
      </c>
      <c r="D10" s="92" t="s">
        <v>1357</v>
      </c>
      <c r="E10" s="155" t="s">
        <v>7094</v>
      </c>
    </row>
    <row r="11" spans="1:6" x14ac:dyDescent="0.2">
      <c r="A11" s="91" t="s">
        <v>1559</v>
      </c>
      <c r="D11" s="92" t="s">
        <v>1330</v>
      </c>
      <c r="E11" s="155" t="s">
        <v>1220</v>
      </c>
    </row>
    <row r="12" spans="1:6" x14ac:dyDescent="0.2">
      <c r="A12" s="91" t="s">
        <v>1560</v>
      </c>
      <c r="D12" s="92" t="s">
        <v>1224</v>
      </c>
      <c r="E12" s="91" t="s">
        <v>7097</v>
      </c>
    </row>
    <row r="13" spans="1:6" x14ac:dyDescent="0.2">
      <c r="A13" s="91" t="s">
        <v>1561</v>
      </c>
    </row>
    <row r="16" spans="1:6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6" x14ac:dyDescent="0.2">
      <c r="A18" s="94" t="s">
        <v>7083</v>
      </c>
      <c r="B18" s="94" t="s">
        <v>7098</v>
      </c>
      <c r="C18" s="91" t="s">
        <v>7099</v>
      </c>
      <c r="F18" s="91">
        <v>500</v>
      </c>
    </row>
    <row r="19" spans="1:6" x14ac:dyDescent="0.2">
      <c r="A19" s="93"/>
      <c r="B19" s="94"/>
      <c r="C19" s="91" t="s">
        <v>5110</v>
      </c>
      <c r="F19" s="91">
        <v>50</v>
      </c>
    </row>
    <row r="20" spans="1:6" x14ac:dyDescent="0.2">
      <c r="C20" s="91" t="s">
        <v>2147</v>
      </c>
      <c r="F20" s="91">
        <f>(F18+F19)*6%</f>
        <v>33</v>
      </c>
    </row>
    <row r="22" spans="1:6" x14ac:dyDescent="0.2">
      <c r="B22" s="94"/>
    </row>
    <row r="23" spans="1:6" x14ac:dyDescent="0.2">
      <c r="C23" s="94"/>
    </row>
    <row r="24" spans="1:6" x14ac:dyDescent="0.2">
      <c r="B24" s="94"/>
      <c r="C24" s="94"/>
    </row>
    <row r="25" spans="1:6" x14ac:dyDescent="0.2">
      <c r="B25" s="94"/>
    </row>
    <row r="26" spans="1:6" x14ac:dyDescent="0.2">
      <c r="B26" s="94"/>
    </row>
    <row r="27" spans="1:6" x14ac:dyDescent="0.2">
      <c r="B27" s="94"/>
    </row>
    <row r="28" spans="1:6" x14ac:dyDescent="0.2">
      <c r="B28" s="94"/>
    </row>
    <row r="32" spans="1:6" ht="13.5" thickBot="1" x14ac:dyDescent="0.25">
      <c r="F32" s="107">
        <f>SUM(F18:F31)</f>
        <v>583</v>
      </c>
    </row>
    <row r="33" spans="1:6" ht="13.5" thickTop="1" x14ac:dyDescent="0.2"/>
    <row r="34" spans="1:6" ht="20.100000000000001" customHeight="1" x14ac:dyDescent="0.2">
      <c r="A34" s="96" t="s">
        <v>336</v>
      </c>
      <c r="B34" s="185" t="str">
        <f>IF(OR(F32&gt;1000000,F32&lt;=0),"",IF(F32&lt;1000,"",IF(MOD(F32,1000000)&gt;=100000,INDEX(numbers,TRUNC(MOD(F32,1000000)/100000,0)+1)&amp;" Hundred","")&amp;IF(MOD(F32,100000)&gt;=20000," "&amp;INDEX(teb,TRUNC(MOD(F32,100000)/10000,0)+1)&amp;IF(MOD(MOD(F32,100000),10000)&gt;=1000,"-"&amp;INDEX(numbers,TRUNC(MOD(MOD(F32,100000),10000)/1000,0)+1),""),IF(MOD(F32,100000)&gt;=1000," "&amp;INDEX(numbers,TRUNC(MOD(F32,100000)/1000,0)+1),""))&amp;" Thousand") &amp; IF(F32&lt;1,"Zero Dollars",IF(MOD(F32,1000)&gt;=100," "&amp;INDEX(numbers,TRUNC(MOD(F32,1000)/100,0)+1)&amp;" Hundred","")&amp;IF(MOD(F32,100)&gt;=20," "&amp;INDEX(teb,TRUNC(MOD(F32,100)/10,0)+1)&amp;IF(MOD(MOD(F32,100),10)&gt;=1,"-"&amp;INDEX(numbers,TRUNC(MOD(MOD(F32,100),10),0)+1),""),IF(MOD(F32,100)&gt;=1," "&amp;INDEX(numbers,TRUNC(MOD(F32,100),0)+1),""))&amp;"") &amp; " and " &amp; IF(MOD(F32,1)&lt;0.005,"NO",ROUND(MOD(F32,1)*100,0)) &amp; "/100 -----------")</f>
        <v xml:space="preserve"> Five Hundred Eighty-Three and NO/100 -----------</v>
      </c>
      <c r="C34" s="97"/>
      <c r="D34" s="97"/>
      <c r="E34" s="97"/>
      <c r="F34" s="97"/>
    </row>
    <row r="35" spans="1:6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8" spans="1:6" x14ac:dyDescent="0.2">
      <c r="D38" s="227"/>
      <c r="E38" s="227"/>
      <c r="F38" s="227"/>
    </row>
    <row r="39" spans="1:6" x14ac:dyDescent="0.2">
      <c r="C39" s="99"/>
      <c r="D39" s="228"/>
      <c r="E39" s="229"/>
      <c r="F39" s="229"/>
    </row>
    <row r="40" spans="1:6" x14ac:dyDescent="0.2">
      <c r="A40" s="101"/>
      <c r="B40" s="101"/>
    </row>
    <row r="42" spans="1:6" x14ac:dyDescent="0.2">
      <c r="A42" s="98" t="s">
        <v>8</v>
      </c>
      <c r="D42" s="98" t="s">
        <v>7</v>
      </c>
      <c r="F42" s="102"/>
    </row>
    <row r="46" spans="1:6" x14ac:dyDescent="0.2">
      <c r="A46" s="101"/>
      <c r="B46" s="101"/>
      <c r="D46" s="101"/>
      <c r="E46" s="101"/>
      <c r="F46" s="101"/>
    </row>
    <row r="47" spans="1:6" s="61" customFormat="1" ht="17.100000000000001" customHeight="1" x14ac:dyDescent="0.2">
      <c r="A47" s="91" t="s">
        <v>4066</v>
      </c>
      <c r="B47" s="104"/>
      <c r="D47" s="61" t="s">
        <v>3</v>
      </c>
    </row>
    <row r="48" spans="1:6" x14ac:dyDescent="0.2">
      <c r="D48" s="91" t="s">
        <v>2</v>
      </c>
    </row>
    <row r="50" spans="4:4" x14ac:dyDescent="0.2">
      <c r="D50" s="2" t="s">
        <v>1</v>
      </c>
    </row>
    <row r="51" spans="4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0">
    <pageSetUpPr fitToPage="1"/>
  </sheetPr>
  <dimension ref="A1:G55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15.85546875" style="91" customWidth="1"/>
    <col min="4" max="4" width="15.28515625" style="91" customWidth="1"/>
    <col min="5" max="5" width="11.5703125" style="91" customWidth="1"/>
    <col min="6" max="6" width="14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91" t="s">
        <v>5013</v>
      </c>
    </row>
    <row r="10" spans="1:6" x14ac:dyDescent="0.2">
      <c r="A10" s="91" t="s">
        <v>5015</v>
      </c>
      <c r="E10" s="92" t="s">
        <v>1356</v>
      </c>
      <c r="F10" s="92" t="s">
        <v>5003</v>
      </c>
    </row>
    <row r="11" spans="1:6" x14ac:dyDescent="0.2">
      <c r="A11" s="91" t="s">
        <v>5016</v>
      </c>
      <c r="E11" s="92" t="s">
        <v>1364</v>
      </c>
      <c r="F11" s="92" t="s">
        <v>1220</v>
      </c>
    </row>
    <row r="12" spans="1:6" x14ac:dyDescent="0.2">
      <c r="A12" s="91" t="s">
        <v>124</v>
      </c>
      <c r="E12" s="92" t="s">
        <v>1394</v>
      </c>
      <c r="F12" s="94" t="s">
        <v>5014</v>
      </c>
    </row>
    <row r="13" spans="1:6" x14ac:dyDescent="0.2">
      <c r="A13" s="91" t="s">
        <v>1314</v>
      </c>
    </row>
    <row r="14" spans="1:6" x14ac:dyDescent="0.2">
      <c r="A14" s="91" t="s">
        <v>5017</v>
      </c>
      <c r="E14" s="92"/>
    </row>
    <row r="17" spans="1:6" s="14" customFormat="1" ht="20.100000000000001" customHeight="1" x14ac:dyDescent="0.2">
      <c r="A17" s="17" t="s">
        <v>1247</v>
      </c>
      <c r="B17" s="31" t="s">
        <v>128</v>
      </c>
      <c r="C17" s="18" t="s">
        <v>19</v>
      </c>
      <c r="D17" s="18"/>
      <c r="E17" s="17"/>
      <c r="F17" s="15" t="s">
        <v>18</v>
      </c>
    </row>
    <row r="19" spans="1:6" x14ac:dyDescent="0.2">
      <c r="B19" s="240"/>
      <c r="C19" s="2" t="s">
        <v>5018</v>
      </c>
    </row>
    <row r="20" spans="1:6" x14ac:dyDescent="0.2">
      <c r="A20" s="94"/>
      <c r="B20" s="240"/>
    </row>
    <row r="21" spans="1:6" x14ac:dyDescent="0.2">
      <c r="A21" s="93" t="s">
        <v>4987</v>
      </c>
      <c r="B21" s="195" t="s">
        <v>5019</v>
      </c>
      <c r="C21" s="91" t="s">
        <v>5020</v>
      </c>
      <c r="F21" s="91">
        <v>60</v>
      </c>
    </row>
    <row r="22" spans="1:6" x14ac:dyDescent="0.2">
      <c r="A22" s="92"/>
      <c r="B22" s="195"/>
    </row>
    <row r="23" spans="1:6" x14ac:dyDescent="0.2">
      <c r="B23" s="195"/>
    </row>
    <row r="24" spans="1:6" x14ac:dyDescent="0.2">
      <c r="B24" s="195"/>
    </row>
    <row r="25" spans="1:6" x14ac:dyDescent="0.2">
      <c r="A25" s="93"/>
      <c r="B25" s="195"/>
    </row>
    <row r="26" spans="1:6" x14ac:dyDescent="0.2">
      <c r="B26" s="94"/>
    </row>
    <row r="27" spans="1:6" x14ac:dyDescent="0.2">
      <c r="A27" s="93"/>
      <c r="B27" s="93"/>
    </row>
    <row r="28" spans="1:6" x14ac:dyDescent="0.2">
      <c r="A28" s="93"/>
      <c r="B28" s="93"/>
    </row>
    <row r="30" spans="1:6" x14ac:dyDescent="0.2">
      <c r="C30" s="2"/>
    </row>
    <row r="31" spans="1:6" x14ac:dyDescent="0.2">
      <c r="B31" s="94"/>
    </row>
    <row r="32" spans="1:6" x14ac:dyDescent="0.2">
      <c r="A32" s="93"/>
      <c r="B32" s="93"/>
    </row>
    <row r="33" spans="1:7" x14ac:dyDescent="0.2">
      <c r="B33" s="94"/>
    </row>
    <row r="34" spans="1:7" x14ac:dyDescent="0.2">
      <c r="A34" s="93"/>
      <c r="B34" s="93"/>
      <c r="D34" s="2"/>
    </row>
    <row r="35" spans="1:7" x14ac:dyDescent="0.2">
      <c r="B35" s="94"/>
    </row>
    <row r="36" spans="1:7" ht="13.5" thickBot="1" x14ac:dyDescent="0.25">
      <c r="F36" s="107">
        <f>SUM(F19:F34)</f>
        <v>60</v>
      </c>
    </row>
    <row r="37" spans="1:7" ht="13.5" thickTop="1" x14ac:dyDescent="0.2"/>
    <row r="38" spans="1:7" ht="20.100000000000001" customHeight="1" x14ac:dyDescent="0.2">
      <c r="A38" s="96" t="s">
        <v>1465</v>
      </c>
      <c r="B38" s="185" t="str">
        <f>IF(OR(F36&gt;1000000,F36&lt;=0),"",IF(F36&lt;1000,"",IF(MOD(F36,1000000)&gt;=100000,INDEX(numbers,TRUNC(MOD(F36,1000000)/100000,0)+1)&amp;" Hundred","")&amp;IF(MOD(F36,100000)&gt;=20000," "&amp;INDEX(teb,TRUNC(MOD(F36,100000)/10000,0)+1)&amp;IF(MOD(MOD(F36,100000),10000)&gt;=1000,"-"&amp;INDEX(numbers,TRUNC(MOD(MOD(F36,100000),10000)/1000,0)+1),""),IF(MOD(F36,100000)&gt;=1000,"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"&amp;INDEX(teb,TRUNC(MOD(F36,100)/10,0)+1)&amp;IF(MOD(MOD(F36,100),10)&gt;=1,"-"&amp;INDEX(numbers,TRUNC(MOD(MOD(F36,100),10),0)+1),""),IF(MOD(F36,100)&gt;=1,"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Sixty and NO/100 -----------</v>
      </c>
      <c r="C38" s="97"/>
      <c r="D38" s="97"/>
      <c r="E38" s="97"/>
      <c r="F38" s="97"/>
    </row>
    <row r="39" spans="1:7" x14ac:dyDescent="0.2">
      <c r="A39" s="94" t="s">
        <v>11</v>
      </c>
    </row>
    <row r="40" spans="1:7" ht="25.5" x14ac:dyDescent="0.2">
      <c r="A40" s="103" t="s">
        <v>10</v>
      </c>
      <c r="D40" s="218" t="s">
        <v>3975</v>
      </c>
      <c r="E40" s="219"/>
      <c r="F40" s="220"/>
    </row>
    <row r="42" spans="1:7" x14ac:dyDescent="0.2">
      <c r="E42" s="227"/>
      <c r="F42" s="227"/>
      <c r="G42" s="227"/>
    </row>
    <row r="43" spans="1:7" x14ac:dyDescent="0.2">
      <c r="C43" s="99"/>
      <c r="D43" s="99"/>
      <c r="E43" s="228"/>
      <c r="F43" s="229"/>
      <c r="G43" s="229"/>
    </row>
    <row r="44" spans="1:7" x14ac:dyDescent="0.2">
      <c r="A44" s="101"/>
      <c r="B44" s="101"/>
    </row>
    <row r="46" spans="1:7" x14ac:dyDescent="0.2">
      <c r="A46" s="98" t="s">
        <v>8</v>
      </c>
      <c r="E46" s="98" t="s">
        <v>7</v>
      </c>
      <c r="F46" s="102"/>
    </row>
    <row r="50" spans="1:6" x14ac:dyDescent="0.2">
      <c r="A50" s="101"/>
      <c r="B50" s="101"/>
      <c r="E50" s="101"/>
      <c r="F50" s="101"/>
    </row>
    <row r="51" spans="1:6" s="61" customFormat="1" ht="17.100000000000001" customHeight="1" x14ac:dyDescent="0.2">
      <c r="A51" s="209" t="s">
        <v>4066</v>
      </c>
      <c r="B51" s="104"/>
      <c r="E51" s="61" t="s">
        <v>3</v>
      </c>
    </row>
    <row r="52" spans="1:6" x14ac:dyDescent="0.2">
      <c r="E52" s="91" t="s">
        <v>2</v>
      </c>
    </row>
    <row r="54" spans="1:6" x14ac:dyDescent="0.2">
      <c r="E54" s="2" t="s">
        <v>1</v>
      </c>
    </row>
    <row r="55" spans="1:6" x14ac:dyDescent="0.2">
      <c r="E55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92">
    <pageSetUpPr fitToPage="1"/>
  </sheetPr>
  <dimension ref="A1:F55"/>
  <sheetViews>
    <sheetView topLeftCell="A22"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6.42578125" style="91" customWidth="1"/>
    <col min="5" max="5" width="7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3676</v>
      </c>
    </row>
    <row r="10" spans="1:6" x14ac:dyDescent="0.2">
      <c r="A10" s="91" t="s">
        <v>3678</v>
      </c>
      <c r="D10" s="92" t="s">
        <v>1444</v>
      </c>
      <c r="E10" s="92" t="s">
        <v>3661</v>
      </c>
    </row>
    <row r="11" spans="1:6" x14ac:dyDescent="0.2">
      <c r="A11" s="94" t="s">
        <v>3679</v>
      </c>
      <c r="D11" s="92" t="s">
        <v>1431</v>
      </c>
      <c r="E11" s="92" t="s">
        <v>1220</v>
      </c>
    </row>
    <row r="12" spans="1:6" x14ac:dyDescent="0.2">
      <c r="D12" s="92" t="s">
        <v>1268</v>
      </c>
      <c r="E12" s="92" t="s">
        <v>3677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3567</v>
      </c>
    </row>
    <row r="19" spans="1:6" x14ac:dyDescent="0.2">
      <c r="C19" s="2"/>
    </row>
    <row r="20" spans="1:6" x14ac:dyDescent="0.2">
      <c r="A20" s="93"/>
      <c r="B20" s="93"/>
      <c r="C20" s="91" t="s">
        <v>1723</v>
      </c>
    </row>
    <row r="21" spans="1:6" x14ac:dyDescent="0.2">
      <c r="A21" s="93"/>
      <c r="B21" s="99"/>
    </row>
    <row r="22" spans="1:6" x14ac:dyDescent="0.2">
      <c r="A22" s="93"/>
      <c r="B22" s="99"/>
      <c r="C22" s="91" t="s">
        <v>3680</v>
      </c>
      <c r="F22" s="91">
        <v>20</v>
      </c>
    </row>
    <row r="23" spans="1:6" x14ac:dyDescent="0.2">
      <c r="A23" s="93"/>
      <c r="B23" s="99"/>
      <c r="C23" s="91" t="s">
        <v>3681</v>
      </c>
      <c r="F23" s="91">
        <v>60</v>
      </c>
    </row>
    <row r="24" spans="1:6" x14ac:dyDescent="0.2">
      <c r="A24" s="93"/>
      <c r="B24" s="99"/>
      <c r="C24" s="91" t="s">
        <v>3682</v>
      </c>
      <c r="F24" s="91">
        <v>300</v>
      </c>
    </row>
    <row r="25" spans="1:6" x14ac:dyDescent="0.2">
      <c r="A25" s="93"/>
      <c r="B25" s="99"/>
      <c r="C25" s="91" t="s">
        <v>3683</v>
      </c>
      <c r="F25" s="91">
        <v>72</v>
      </c>
    </row>
    <row r="26" spans="1:6" x14ac:dyDescent="0.2">
      <c r="A26" s="93"/>
      <c r="B26" s="99"/>
    </row>
    <row r="28" spans="1:6" x14ac:dyDescent="0.2">
      <c r="A28" s="93"/>
      <c r="B28" s="99"/>
    </row>
    <row r="29" spans="1:6" x14ac:dyDescent="0.2">
      <c r="A29" s="93"/>
      <c r="B29" s="99"/>
      <c r="F29" s="94"/>
    </row>
    <row r="30" spans="1:6" x14ac:dyDescent="0.2">
      <c r="A30" s="93"/>
      <c r="B30" s="99"/>
    </row>
    <row r="31" spans="1:6" x14ac:dyDescent="0.2">
      <c r="A31" s="93"/>
      <c r="B31" s="99"/>
    </row>
    <row r="32" spans="1:6" x14ac:dyDescent="0.2">
      <c r="A32" s="93"/>
      <c r="B32" s="99"/>
    </row>
    <row r="33" spans="1:6" x14ac:dyDescent="0.2">
      <c r="A33" s="93"/>
      <c r="B33" s="99"/>
    </row>
    <row r="34" spans="1:6" ht="13.5" thickBot="1" x14ac:dyDescent="0.25">
      <c r="A34" s="93"/>
      <c r="B34" s="99"/>
      <c r="F34" s="107"/>
    </row>
    <row r="35" spans="1:6" ht="13.5" thickTop="1" x14ac:dyDescent="0.2">
      <c r="A35" s="93"/>
      <c r="B35" s="99"/>
    </row>
    <row r="36" spans="1:6" ht="25.5" x14ac:dyDescent="0.2">
      <c r="D36" s="218" t="s">
        <v>3975</v>
      </c>
      <c r="E36" s="219"/>
      <c r="F36" s="220"/>
    </row>
    <row r="39" spans="1:6" x14ac:dyDescent="0.2">
      <c r="A39" s="96" t="s">
        <v>336</v>
      </c>
      <c r="B39" s="185" t="s">
        <v>3684</v>
      </c>
      <c r="C39" s="97"/>
      <c r="D39" s="227"/>
      <c r="E39" s="227"/>
      <c r="F39" s="227"/>
    </row>
    <row r="40" spans="1:6" x14ac:dyDescent="0.2">
      <c r="A40" s="91" t="s">
        <v>10</v>
      </c>
      <c r="D40" s="228"/>
      <c r="E40" s="229"/>
      <c r="F40" s="229"/>
    </row>
    <row r="43" spans="1:6" x14ac:dyDescent="0.2">
      <c r="A43" s="91" t="s">
        <v>121</v>
      </c>
      <c r="C43" s="99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47" spans="1:6" x14ac:dyDescent="0.2">
      <c r="A47" s="91" t="s">
        <v>3972</v>
      </c>
    </row>
    <row r="49" spans="1:6" x14ac:dyDescent="0.2">
      <c r="A49" s="91" t="s">
        <v>4066</v>
      </c>
    </row>
    <row r="50" spans="1:6" x14ac:dyDescent="0.2">
      <c r="A50" s="101" t="s">
        <v>120</v>
      </c>
      <c r="B50" s="101"/>
      <c r="D50" s="101"/>
      <c r="E50" s="101"/>
      <c r="F50" s="101"/>
    </row>
    <row r="51" spans="1:6" s="61" customFormat="1" ht="17.100000000000001" customHeight="1" x14ac:dyDescent="0.2">
      <c r="A51" s="104" t="s">
        <v>35</v>
      </c>
      <c r="B51" s="104"/>
      <c r="D51" s="61" t="s">
        <v>3</v>
      </c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 fitToPage="1" topLeftCell="A22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02">
    <pageSetUpPr fitToPage="1"/>
  </sheetPr>
  <dimension ref="A1:P55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0.7109375" style="91" customWidth="1"/>
    <col min="2" max="2" width="18.42578125" style="91" customWidth="1"/>
    <col min="3" max="3" width="1.140625" style="91" customWidth="1"/>
    <col min="4" max="4" width="21" style="91" customWidth="1"/>
    <col min="5" max="5" width="1.85546875" style="91" customWidth="1"/>
    <col min="6" max="6" width="16.42578125" style="91" customWidth="1"/>
    <col min="7" max="7" width="10.140625" style="91" customWidth="1"/>
    <col min="8" max="8" width="13.28515625" style="91" customWidth="1"/>
    <col min="9" max="16384" width="9.140625" style="91"/>
  </cols>
  <sheetData>
    <row r="1" spans="1:16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6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6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6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6" x14ac:dyDescent="0.2">
      <c r="A8" s="91" t="s">
        <v>32</v>
      </c>
      <c r="F8" s="22" t="s">
        <v>31</v>
      </c>
    </row>
    <row r="9" spans="1:16" x14ac:dyDescent="0.2">
      <c r="F9" s="92" t="s">
        <v>1221</v>
      </c>
      <c r="G9" s="91" t="s">
        <v>6797</v>
      </c>
    </row>
    <row r="10" spans="1:16" x14ac:dyDescent="0.2">
      <c r="A10" s="91" t="s">
        <v>4670</v>
      </c>
      <c r="F10" s="92" t="s">
        <v>1444</v>
      </c>
      <c r="G10" s="92" t="s">
        <v>6791</v>
      </c>
    </row>
    <row r="11" spans="1:16" x14ac:dyDescent="0.2">
      <c r="A11" s="91" t="s">
        <v>4671</v>
      </c>
      <c r="F11" s="92" t="s">
        <v>1330</v>
      </c>
      <c r="G11" s="92" t="s">
        <v>1220</v>
      </c>
    </row>
    <row r="12" spans="1:16" x14ac:dyDescent="0.2">
      <c r="A12" s="91" t="s">
        <v>4672</v>
      </c>
      <c r="F12" s="92" t="s">
        <v>1224</v>
      </c>
      <c r="G12" s="94" t="s">
        <v>6798</v>
      </c>
    </row>
    <row r="13" spans="1:16" x14ac:dyDescent="0.2">
      <c r="A13" s="91" t="s">
        <v>4673</v>
      </c>
    </row>
    <row r="14" spans="1:16" x14ac:dyDescent="0.2">
      <c r="A14" s="91" t="s">
        <v>4674</v>
      </c>
    </row>
    <row r="16" spans="1:16" s="14" customFormat="1" ht="20.100000000000001" customHeight="1" x14ac:dyDescent="0.2">
      <c r="A16" s="17" t="s">
        <v>1247</v>
      </c>
      <c r="B16" s="17" t="s">
        <v>128</v>
      </c>
      <c r="C16" s="17"/>
      <c r="D16" s="18" t="s">
        <v>19</v>
      </c>
      <c r="E16" s="18"/>
      <c r="F16" s="17"/>
      <c r="G16" s="16"/>
      <c r="H16" s="15" t="s">
        <v>18</v>
      </c>
      <c r="K16" s="91"/>
      <c r="L16" s="91"/>
      <c r="M16" s="2" t="s">
        <v>5322</v>
      </c>
      <c r="N16" s="91"/>
      <c r="O16" s="91"/>
      <c r="P16" s="91"/>
    </row>
    <row r="18" spans="1:16" x14ac:dyDescent="0.2">
      <c r="A18" s="93"/>
      <c r="B18" s="271"/>
      <c r="C18" s="271"/>
      <c r="D18" s="2" t="s">
        <v>6799</v>
      </c>
      <c r="E18" s="2"/>
      <c r="K18" s="93" t="s">
        <v>5470</v>
      </c>
      <c r="L18" s="271" t="s">
        <v>5471</v>
      </c>
      <c r="M18" s="91" t="s">
        <v>5473</v>
      </c>
      <c r="P18" s="91">
        <v>650</v>
      </c>
    </row>
    <row r="19" spans="1:16" x14ac:dyDescent="0.2">
      <c r="B19" s="271"/>
      <c r="C19" s="271"/>
      <c r="L19" s="271" t="s">
        <v>5472</v>
      </c>
      <c r="M19" s="91" t="s">
        <v>2147</v>
      </c>
      <c r="P19" s="91">
        <v>39</v>
      </c>
    </row>
    <row r="20" spans="1:16" x14ac:dyDescent="0.2">
      <c r="A20" s="93" t="s">
        <v>6800</v>
      </c>
      <c r="B20" s="271" t="s">
        <v>6801</v>
      </c>
      <c r="C20" s="271"/>
      <c r="D20" s="91" t="s">
        <v>6802</v>
      </c>
      <c r="H20" s="91">
        <v>14000</v>
      </c>
    </row>
    <row r="21" spans="1:16" x14ac:dyDescent="0.2">
      <c r="B21" s="271"/>
      <c r="C21" s="271"/>
      <c r="K21" s="93"/>
      <c r="L21" s="271"/>
    </row>
    <row r="22" spans="1:16" x14ac:dyDescent="0.2">
      <c r="A22" s="93"/>
      <c r="B22" s="271"/>
      <c r="C22" s="271"/>
      <c r="K22" s="93" t="s">
        <v>5682</v>
      </c>
      <c r="L22" s="271" t="s">
        <v>5683</v>
      </c>
      <c r="M22" s="91" t="s">
        <v>5685</v>
      </c>
      <c r="P22" s="91">
        <v>700</v>
      </c>
    </row>
    <row r="23" spans="1:16" x14ac:dyDescent="0.2">
      <c r="A23" s="93"/>
      <c r="B23" s="271"/>
      <c r="C23" s="271"/>
      <c r="L23" s="271" t="s">
        <v>5684</v>
      </c>
      <c r="M23" s="91" t="s">
        <v>2147</v>
      </c>
      <c r="P23" s="91">
        <f>P22*6%</f>
        <v>42</v>
      </c>
    </row>
    <row r="24" spans="1:16" x14ac:dyDescent="0.2">
      <c r="B24" s="271"/>
      <c r="C24" s="271"/>
      <c r="K24" s="93"/>
      <c r="L24" s="271"/>
    </row>
    <row r="25" spans="1:16" x14ac:dyDescent="0.2">
      <c r="A25" s="93"/>
      <c r="B25" s="271"/>
      <c r="C25" s="271"/>
      <c r="K25" s="93" t="s">
        <v>5682</v>
      </c>
      <c r="L25" s="271" t="s">
        <v>5688</v>
      </c>
      <c r="M25" s="91" t="s">
        <v>5690</v>
      </c>
      <c r="P25" s="91">
        <v>700</v>
      </c>
    </row>
    <row r="26" spans="1:16" x14ac:dyDescent="0.2">
      <c r="A26" s="93"/>
      <c r="B26" s="271"/>
      <c r="C26" s="271"/>
      <c r="L26" s="271" t="s">
        <v>5689</v>
      </c>
      <c r="M26" s="91" t="s">
        <v>2147</v>
      </c>
      <c r="P26" s="91">
        <f>P25*6%</f>
        <v>42</v>
      </c>
    </row>
    <row r="27" spans="1:16" x14ac:dyDescent="0.2">
      <c r="B27" s="271"/>
      <c r="C27" s="271"/>
    </row>
    <row r="28" spans="1:16" x14ac:dyDescent="0.2">
      <c r="K28" s="93" t="s">
        <v>5676</v>
      </c>
      <c r="L28" s="271" t="s">
        <v>5686</v>
      </c>
      <c r="M28" s="91" t="s">
        <v>5691</v>
      </c>
      <c r="P28" s="91">
        <v>700</v>
      </c>
    </row>
    <row r="29" spans="1:16" x14ac:dyDescent="0.2">
      <c r="A29" s="93"/>
      <c r="B29" s="271"/>
      <c r="C29" s="271"/>
      <c r="L29" s="271" t="s">
        <v>5687</v>
      </c>
      <c r="M29" s="91" t="s">
        <v>2147</v>
      </c>
      <c r="P29" s="91">
        <f>P28*6%</f>
        <v>42</v>
      </c>
    </row>
    <row r="30" spans="1:16" x14ac:dyDescent="0.2">
      <c r="B30" s="271"/>
      <c r="C30" s="271"/>
    </row>
    <row r="33" spans="1:8" x14ac:dyDescent="0.2">
      <c r="A33" s="93"/>
      <c r="B33" s="271"/>
      <c r="C33" s="271"/>
    </row>
    <row r="36" spans="1:8" ht="13.5" thickBot="1" x14ac:dyDescent="0.25">
      <c r="H36" s="95">
        <f>SUM(H18:H35)</f>
        <v>14000</v>
      </c>
    </row>
    <row r="37" spans="1:8" ht="13.5" thickTop="1" x14ac:dyDescent="0.2"/>
    <row r="38" spans="1:8" ht="20.100000000000001" customHeight="1" x14ac:dyDescent="0.2">
      <c r="A38" s="96" t="s">
        <v>122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Fourteen Thousand and NO/100 -----------</v>
      </c>
      <c r="C38" s="185"/>
      <c r="D38" s="97"/>
      <c r="E38" s="97"/>
      <c r="F38" s="236"/>
      <c r="G38" s="232"/>
      <c r="H38" s="232"/>
    </row>
    <row r="39" spans="1:8" x14ac:dyDescent="0.2">
      <c r="A39" s="94"/>
    </row>
    <row r="40" spans="1:8" ht="25.5" x14ac:dyDescent="0.2">
      <c r="A40" s="91" t="s">
        <v>10</v>
      </c>
      <c r="F40" s="218" t="s">
        <v>3975</v>
      </c>
      <c r="G40" s="219"/>
      <c r="H40" s="220"/>
    </row>
    <row r="41" spans="1:8" x14ac:dyDescent="0.2">
      <c r="F41" s="227"/>
      <c r="G41" s="227"/>
      <c r="H41" s="227"/>
    </row>
    <row r="42" spans="1:8" x14ac:dyDescent="0.2">
      <c r="F42" s="228"/>
      <c r="G42" s="229"/>
      <c r="H42" s="229"/>
    </row>
    <row r="44" spans="1:8" x14ac:dyDescent="0.2">
      <c r="A44" s="101"/>
      <c r="B44" s="101"/>
    </row>
    <row r="46" spans="1:8" x14ac:dyDescent="0.2">
      <c r="A46" s="98" t="s">
        <v>8</v>
      </c>
      <c r="D46" s="98" t="s">
        <v>8</v>
      </c>
      <c r="F46" s="98" t="s">
        <v>7</v>
      </c>
      <c r="H46" s="102"/>
    </row>
    <row r="50" spans="1:8" x14ac:dyDescent="0.2">
      <c r="A50" s="101"/>
      <c r="B50" s="101"/>
      <c r="D50" s="101"/>
      <c r="F50" s="101"/>
      <c r="G50" s="101"/>
      <c r="H50" s="101"/>
    </row>
    <row r="51" spans="1:8" s="61" customFormat="1" ht="17.100000000000001" customHeight="1" x14ac:dyDescent="0.2">
      <c r="A51" s="91" t="s">
        <v>4066</v>
      </c>
      <c r="B51" s="104"/>
      <c r="C51" s="104"/>
      <c r="D51" s="91" t="s">
        <v>50</v>
      </c>
      <c r="F51" s="61" t="s">
        <v>3</v>
      </c>
    </row>
    <row r="52" spans="1:8" x14ac:dyDescent="0.2">
      <c r="F52" s="91" t="s">
        <v>2</v>
      </c>
    </row>
    <row r="54" spans="1:8" x14ac:dyDescent="0.2">
      <c r="F54" s="2" t="s">
        <v>1</v>
      </c>
    </row>
    <row r="55" spans="1:8" x14ac:dyDescent="0.2">
      <c r="F55" s="2" t="s">
        <v>0</v>
      </c>
    </row>
  </sheetData>
  <customSheetViews>
    <customSheetView guid="{6428A7A0-B31B-40C1-A13E-AD0DCC619E51}" fitToPage="1" topLeftCell="A10">
      <selection activeCell="F28" sqref="F28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403"/>
  <dimension ref="A1:F56"/>
  <sheetViews>
    <sheetView view="pageBreakPreview" topLeftCell="A13" zoomScaleNormal="100" zoomScaleSheetLayoutView="100"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23" style="152" customWidth="1"/>
    <col min="4" max="4" width="13.85546875" style="152" customWidth="1"/>
    <col min="5" max="5" width="9" style="152" customWidth="1"/>
    <col min="6" max="6" width="12.85546875" style="152" customWidth="1"/>
    <col min="7" max="16384" width="9.140625" style="152"/>
  </cols>
  <sheetData>
    <row r="1" spans="1:6" ht="15" x14ac:dyDescent="0.25">
      <c r="A1" s="523" t="s">
        <v>34</v>
      </c>
      <c r="B1" s="523"/>
      <c r="C1" s="523"/>
      <c r="D1" s="523"/>
      <c r="E1" s="523"/>
      <c r="F1" s="523"/>
    </row>
    <row r="2" spans="1:6" x14ac:dyDescent="0.2">
      <c r="A2" s="524" t="s">
        <v>33</v>
      </c>
      <c r="B2" s="524"/>
      <c r="C2" s="524"/>
      <c r="D2" s="524"/>
      <c r="E2" s="524"/>
      <c r="F2" s="524"/>
    </row>
    <row r="3" spans="1:6" x14ac:dyDescent="0.2">
      <c r="A3" s="524" t="s">
        <v>1829</v>
      </c>
      <c r="B3" s="524"/>
      <c r="C3" s="524"/>
      <c r="D3" s="524"/>
      <c r="E3" s="524"/>
      <c r="F3" s="524"/>
    </row>
    <row r="4" spans="1:6" x14ac:dyDescent="0.2">
      <c r="A4" s="524" t="s">
        <v>2113</v>
      </c>
      <c r="B4" s="524"/>
      <c r="C4" s="524"/>
      <c r="D4" s="524"/>
      <c r="E4" s="524"/>
      <c r="F4" s="524"/>
    </row>
    <row r="8" spans="1:6" x14ac:dyDescent="0.2">
      <c r="A8" s="153" t="s">
        <v>32</v>
      </c>
      <c r="B8" s="153"/>
      <c r="C8" s="153"/>
      <c r="D8" s="154" t="s">
        <v>31</v>
      </c>
      <c r="E8" s="153"/>
      <c r="F8" s="153"/>
    </row>
    <row r="9" spans="1:6" x14ac:dyDescent="0.2">
      <c r="A9" s="153"/>
      <c r="B9" s="153"/>
      <c r="C9" s="153"/>
      <c r="D9" s="155" t="s">
        <v>1517</v>
      </c>
      <c r="E9" s="153" t="s">
        <v>4614</v>
      </c>
      <c r="F9" s="153"/>
    </row>
    <row r="10" spans="1:6" x14ac:dyDescent="0.2">
      <c r="A10" s="153" t="s">
        <v>4615</v>
      </c>
      <c r="B10" s="153"/>
      <c r="C10" s="153"/>
      <c r="D10" s="155" t="s">
        <v>1357</v>
      </c>
      <c r="E10" s="155" t="s">
        <v>4612</v>
      </c>
      <c r="F10" s="153"/>
    </row>
    <row r="11" spans="1:6" x14ac:dyDescent="0.2">
      <c r="A11" s="153" t="s">
        <v>4616</v>
      </c>
      <c r="B11" s="153"/>
      <c r="C11" s="153"/>
      <c r="D11" s="155" t="s">
        <v>1330</v>
      </c>
      <c r="E11" s="155" t="s">
        <v>1220</v>
      </c>
      <c r="F11" s="153"/>
    </row>
    <row r="12" spans="1:6" x14ac:dyDescent="0.2">
      <c r="A12" s="153" t="s">
        <v>4310</v>
      </c>
      <c r="B12" s="153"/>
      <c r="C12" s="153"/>
      <c r="D12" s="155" t="s">
        <v>1377</v>
      </c>
      <c r="E12" s="155" t="s">
        <v>770</v>
      </c>
      <c r="F12" s="153"/>
    </row>
    <row r="13" spans="1:6" x14ac:dyDescent="0.2">
      <c r="A13" s="153"/>
      <c r="B13" s="153"/>
      <c r="C13" s="153"/>
      <c r="D13" s="153"/>
      <c r="E13" s="153"/>
      <c r="F13" s="153"/>
    </row>
    <row r="14" spans="1:6" x14ac:dyDescent="0.2">
      <c r="A14" s="153"/>
      <c r="B14" s="153"/>
      <c r="C14" s="153"/>
      <c r="D14" s="153"/>
      <c r="E14" s="153"/>
      <c r="F14" s="153"/>
    </row>
    <row r="15" spans="1:6" x14ac:dyDescent="0.2">
      <c r="A15" s="153"/>
      <c r="B15" s="153"/>
      <c r="C15" s="153"/>
      <c r="D15" s="153"/>
      <c r="E15" s="153"/>
      <c r="F15" s="153"/>
    </row>
    <row r="16" spans="1:6" s="162" customFormat="1" ht="20.100000000000001" customHeight="1" x14ac:dyDescent="0.2">
      <c r="A16" s="157" t="s">
        <v>129</v>
      </c>
      <c r="B16" s="157" t="s">
        <v>1379</v>
      </c>
      <c r="C16" s="159" t="s">
        <v>19</v>
      </c>
      <c r="D16" s="157"/>
      <c r="E16" s="160"/>
      <c r="F16" s="161" t="s">
        <v>18</v>
      </c>
    </row>
    <row r="17" spans="1:6" x14ac:dyDescent="0.2">
      <c r="A17" s="153"/>
      <c r="B17" s="153"/>
      <c r="C17" s="153"/>
      <c r="D17" s="153"/>
      <c r="E17" s="153"/>
      <c r="F17" s="153"/>
    </row>
    <row r="18" spans="1:6" x14ac:dyDescent="0.2">
      <c r="A18" s="179"/>
      <c r="B18" s="153"/>
      <c r="C18" s="163" t="s">
        <v>4442</v>
      </c>
      <c r="D18" s="153"/>
      <c r="E18" s="153"/>
      <c r="F18" s="153"/>
    </row>
    <row r="19" spans="1:6" x14ac:dyDescent="0.2">
      <c r="A19" s="153"/>
      <c r="B19" s="153"/>
      <c r="C19" s="163"/>
      <c r="D19" s="153"/>
      <c r="E19" s="153"/>
      <c r="F19" s="153"/>
    </row>
    <row r="20" spans="1:6" x14ac:dyDescent="0.2">
      <c r="A20" s="187" t="s">
        <v>4618</v>
      </c>
      <c r="B20" s="153" t="s">
        <v>4619</v>
      </c>
      <c r="C20" s="169" t="s">
        <v>4617</v>
      </c>
      <c r="D20" s="153"/>
      <c r="E20" s="153"/>
      <c r="F20" s="153">
        <f>8800*0.4954</f>
        <v>4359.5200000000004</v>
      </c>
    </row>
    <row r="21" spans="1:6" x14ac:dyDescent="0.2">
      <c r="A21" s="199"/>
      <c r="B21" s="153"/>
      <c r="C21" s="153" t="s">
        <v>4613</v>
      </c>
      <c r="F21" s="153"/>
    </row>
    <row r="22" spans="1:6" x14ac:dyDescent="0.2">
      <c r="A22" s="179"/>
      <c r="B22" s="267"/>
      <c r="C22" s="153" t="s">
        <v>4626</v>
      </c>
      <c r="D22" s="153"/>
      <c r="E22" s="153"/>
      <c r="F22" s="153"/>
    </row>
    <row r="23" spans="1:6" x14ac:dyDescent="0.2">
      <c r="C23" s="153"/>
      <c r="F23" s="153"/>
    </row>
    <row r="24" spans="1:6" x14ac:dyDescent="0.2">
      <c r="A24" s="198"/>
      <c r="B24" s="153"/>
      <c r="C24" s="153" t="s">
        <v>52</v>
      </c>
      <c r="F24" s="153">
        <v>20</v>
      </c>
    </row>
    <row r="25" spans="1:6" x14ac:dyDescent="0.2">
      <c r="A25" s="199"/>
      <c r="B25" s="153"/>
      <c r="C25" s="153"/>
      <c r="F25" s="153"/>
    </row>
    <row r="26" spans="1:6" x14ac:dyDescent="0.2">
      <c r="A26" s="179"/>
      <c r="C26" s="153" t="s">
        <v>4596</v>
      </c>
      <c r="F26" s="153">
        <f>F24*6%</f>
        <v>1.2</v>
      </c>
    </row>
    <row r="27" spans="1:6" x14ac:dyDescent="0.2">
      <c r="B27" s="153"/>
      <c r="C27" s="153"/>
      <c r="F27" s="153"/>
    </row>
    <row r="28" spans="1:6" x14ac:dyDescent="0.2">
      <c r="A28" s="198"/>
      <c r="B28" s="153"/>
      <c r="C28" s="163"/>
      <c r="F28" s="153"/>
    </row>
    <row r="29" spans="1:6" x14ac:dyDescent="0.2">
      <c r="A29" s="199"/>
      <c r="B29" s="153"/>
      <c r="C29" s="153"/>
      <c r="F29" s="153"/>
    </row>
    <row r="30" spans="1:6" x14ac:dyDescent="0.2">
      <c r="A30" s="198"/>
      <c r="B30" s="153"/>
      <c r="C30" s="153"/>
      <c r="F30" s="153"/>
    </row>
    <row r="31" spans="1:6" x14ac:dyDescent="0.2">
      <c r="A31" s="199"/>
      <c r="B31" s="153"/>
      <c r="C31" s="163"/>
      <c r="F31" s="153"/>
    </row>
    <row r="32" spans="1:6" x14ac:dyDescent="0.2">
      <c r="A32" s="179"/>
      <c r="B32" s="153"/>
      <c r="C32" s="153"/>
      <c r="F32" s="153"/>
    </row>
    <row r="33" spans="1:6" x14ac:dyDescent="0.2">
      <c r="A33" s="199"/>
      <c r="B33" s="153"/>
      <c r="C33" s="153"/>
      <c r="F33" s="153"/>
    </row>
    <row r="34" spans="1:6" x14ac:dyDescent="0.2">
      <c r="A34" s="179"/>
      <c r="B34" s="153"/>
      <c r="C34" s="153"/>
      <c r="F34" s="153"/>
    </row>
    <row r="35" spans="1:6" ht="13.5" thickBot="1" x14ac:dyDescent="0.25">
      <c r="A35" s="153"/>
      <c r="B35" s="153"/>
      <c r="C35" s="153"/>
      <c r="D35" s="153"/>
      <c r="E35" s="153"/>
      <c r="F35" s="182">
        <f>SUM(F19:F34)</f>
        <v>4380.72</v>
      </c>
    </row>
    <row r="36" spans="1:6" ht="13.5" thickTop="1" x14ac:dyDescent="0.2">
      <c r="A36" s="156"/>
      <c r="B36" s="153"/>
      <c r="C36" s="153"/>
    </row>
    <row r="37" spans="1:6" ht="20.100000000000001" customHeight="1" x14ac:dyDescent="0.2">
      <c r="A37" s="171" t="s">
        <v>122</v>
      </c>
      <c r="B37" s="213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Three Hundred Eighty and 72/100 -----------</v>
      </c>
      <c r="C37" s="172"/>
      <c r="D37" s="172"/>
      <c r="E37" s="172"/>
      <c r="F37" s="172"/>
    </row>
    <row r="38" spans="1:6" x14ac:dyDescent="0.2">
      <c r="A38" s="169" t="s">
        <v>11</v>
      </c>
      <c r="B38" s="153"/>
      <c r="C38" s="153"/>
      <c r="D38" s="153"/>
      <c r="E38" s="153"/>
      <c r="F38" s="153"/>
    </row>
    <row r="39" spans="1:6" ht="25.5" x14ac:dyDescent="0.2">
      <c r="A39" s="156" t="s">
        <v>10</v>
      </c>
      <c r="B39" s="153"/>
      <c r="C39" s="153"/>
      <c r="D39" s="242" t="s">
        <v>3975</v>
      </c>
      <c r="E39" s="243"/>
      <c r="F39" s="244"/>
    </row>
    <row r="40" spans="1:6" x14ac:dyDescent="0.2">
      <c r="A40" s="153"/>
      <c r="B40" s="153"/>
      <c r="C40" s="153"/>
      <c r="D40" s="153"/>
      <c r="E40" s="153"/>
      <c r="F40" s="153"/>
    </row>
    <row r="41" spans="1:6" x14ac:dyDescent="0.2">
      <c r="A41" s="225"/>
      <c r="B41" s="153"/>
      <c r="C41" s="153"/>
      <c r="D41" s="153"/>
      <c r="E41" s="153"/>
      <c r="F41" s="153"/>
    </row>
    <row r="42" spans="1:6" x14ac:dyDescent="0.2">
      <c r="A42" s="153"/>
      <c r="B42" s="153"/>
      <c r="C42" s="173"/>
      <c r="D42" s="153"/>
      <c r="E42" s="153"/>
      <c r="F42" s="153"/>
    </row>
    <row r="43" spans="1:6" x14ac:dyDescent="0.2">
      <c r="A43" s="174"/>
      <c r="B43" s="174"/>
      <c r="C43" s="153"/>
      <c r="D43" s="153"/>
      <c r="E43" s="153"/>
      <c r="F43" s="153"/>
    </row>
    <row r="44" spans="1:6" x14ac:dyDescent="0.2">
      <c r="B44" s="153"/>
      <c r="C44" s="153"/>
      <c r="D44" s="153"/>
      <c r="E44" s="153"/>
      <c r="F44" s="153"/>
    </row>
    <row r="45" spans="1:6" x14ac:dyDescent="0.2">
      <c r="A45" s="175" t="s">
        <v>8</v>
      </c>
      <c r="C45" s="153"/>
      <c r="D45" s="175" t="s">
        <v>7</v>
      </c>
      <c r="E45" s="153"/>
      <c r="F45" s="176"/>
    </row>
    <row r="46" spans="1:6" x14ac:dyDescent="0.2">
      <c r="A46" s="153"/>
      <c r="B46" s="153"/>
      <c r="C46" s="153"/>
      <c r="D46" s="153"/>
      <c r="E46" s="153"/>
      <c r="F46" s="153"/>
    </row>
    <row r="47" spans="1:6" x14ac:dyDescent="0.2">
      <c r="A47" s="153"/>
      <c r="B47" s="153"/>
      <c r="C47" s="153"/>
      <c r="D47" s="153"/>
      <c r="E47" s="153"/>
      <c r="F47" s="153"/>
    </row>
    <row r="48" spans="1:6" x14ac:dyDescent="0.2">
      <c r="A48" s="153"/>
      <c r="B48" s="153"/>
      <c r="C48" s="153"/>
      <c r="D48" s="153"/>
      <c r="E48" s="153"/>
      <c r="F48" s="153"/>
    </row>
    <row r="49" spans="1:6" x14ac:dyDescent="0.2">
      <c r="A49" s="174"/>
      <c r="B49" s="174"/>
      <c r="C49" s="153"/>
      <c r="D49" s="174"/>
      <c r="E49" s="174"/>
      <c r="F49" s="174"/>
    </row>
    <row r="50" spans="1:6" s="178" customFormat="1" ht="17.100000000000001" customHeight="1" x14ac:dyDescent="0.2">
      <c r="A50" s="225" t="s">
        <v>4066</v>
      </c>
      <c r="B50" s="177"/>
      <c r="C50" s="156"/>
      <c r="D50" s="156" t="s">
        <v>3</v>
      </c>
      <c r="E50" s="156"/>
      <c r="F50" s="156"/>
    </row>
    <row r="51" spans="1:6" x14ac:dyDescent="0.2">
      <c r="A51" s="153"/>
      <c r="B51" s="153"/>
      <c r="C51" s="153"/>
      <c r="D51" s="153" t="s">
        <v>2</v>
      </c>
      <c r="E51" s="153"/>
      <c r="F51" s="153"/>
    </row>
    <row r="52" spans="1:6" x14ac:dyDescent="0.2">
      <c r="A52" s="153"/>
      <c r="B52" s="153"/>
      <c r="C52" s="153"/>
      <c r="D52" s="153"/>
      <c r="E52" s="153"/>
      <c r="F52" s="153"/>
    </row>
    <row r="53" spans="1:6" x14ac:dyDescent="0.2">
      <c r="A53" s="153"/>
      <c r="B53" s="153"/>
      <c r="C53" s="153"/>
      <c r="D53" s="163" t="s">
        <v>1</v>
      </c>
      <c r="E53" s="153"/>
      <c r="F53" s="153"/>
    </row>
    <row r="54" spans="1:6" x14ac:dyDescent="0.2">
      <c r="A54" s="153"/>
      <c r="B54" s="153"/>
      <c r="C54" s="153"/>
      <c r="D54" s="163" t="s">
        <v>0</v>
      </c>
      <c r="E54" s="153"/>
      <c r="F54" s="153"/>
    </row>
    <row r="55" spans="1:6" x14ac:dyDescent="0.2">
      <c r="A55" s="153"/>
      <c r="B55" s="153"/>
      <c r="C55" s="153"/>
      <c r="D55" s="153"/>
      <c r="E55" s="153"/>
      <c r="F55" s="153"/>
    </row>
    <row r="56" spans="1:6" x14ac:dyDescent="0.2">
      <c r="A56" s="153"/>
      <c r="B56" s="153"/>
      <c r="C56" s="153"/>
      <c r="D56" s="153"/>
      <c r="E56" s="153"/>
      <c r="F56" s="153"/>
    </row>
  </sheetData>
  <customSheetViews>
    <customSheetView guid="{6428A7A0-B31B-40C1-A13E-AD0DCC619E51}" showPageBreaks="1" view="pageBreakPreview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404">
    <pageSetUpPr fitToPage="1"/>
  </sheetPr>
  <dimension ref="A1:G55"/>
  <sheetViews>
    <sheetView workbookViewId="0">
      <selection activeCell="F34" sqref="F34"/>
    </sheetView>
  </sheetViews>
  <sheetFormatPr defaultRowHeight="12.75" x14ac:dyDescent="0.2"/>
  <cols>
    <col min="1" max="1" width="16.42578125" style="91" customWidth="1"/>
    <col min="2" max="2" width="13.28515625" style="91" customWidth="1"/>
    <col min="3" max="3" width="15.85546875" style="91" customWidth="1"/>
    <col min="4" max="4" width="15.28515625" style="91" customWidth="1"/>
    <col min="5" max="5" width="11.5703125" style="91" customWidth="1"/>
    <col min="6" max="6" width="14" style="91" customWidth="1"/>
    <col min="7" max="7" width="13.28515625" style="91" customWidth="1"/>
    <col min="8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E8" s="22" t="s">
        <v>31</v>
      </c>
    </row>
    <row r="9" spans="1:6" x14ac:dyDescent="0.2">
      <c r="E9" s="92" t="s">
        <v>1393</v>
      </c>
      <c r="F9" s="91" t="s">
        <v>5009</v>
      </c>
    </row>
    <row r="10" spans="1:6" x14ac:dyDescent="0.2">
      <c r="A10" s="91" t="s">
        <v>4496</v>
      </c>
      <c r="E10" s="92" t="s">
        <v>1356</v>
      </c>
      <c r="F10" s="92" t="s">
        <v>5003</v>
      </c>
    </row>
    <row r="11" spans="1:6" x14ac:dyDescent="0.2">
      <c r="A11" s="91" t="s">
        <v>4502</v>
      </c>
      <c r="E11" s="92" t="s">
        <v>1364</v>
      </c>
      <c r="F11" s="92" t="s">
        <v>1220</v>
      </c>
    </row>
    <row r="12" spans="1:6" x14ac:dyDescent="0.2">
      <c r="A12" s="91" t="s">
        <v>4498</v>
      </c>
      <c r="E12" s="92" t="s">
        <v>1394</v>
      </c>
      <c r="F12" s="94" t="s">
        <v>5010</v>
      </c>
    </row>
    <row r="13" spans="1:6" x14ac:dyDescent="0.2">
      <c r="A13" s="91" t="s">
        <v>4500</v>
      </c>
    </row>
    <row r="14" spans="1:6" x14ac:dyDescent="0.2">
      <c r="A14" s="91" t="s">
        <v>4499</v>
      </c>
      <c r="E14" s="92"/>
    </row>
    <row r="15" spans="1:6" x14ac:dyDescent="0.2">
      <c r="A15" s="91" t="s">
        <v>4497</v>
      </c>
    </row>
    <row r="17" spans="1:6" s="14" customFormat="1" ht="20.100000000000001" customHeight="1" x14ac:dyDescent="0.2">
      <c r="A17" s="17" t="s">
        <v>1247</v>
      </c>
      <c r="B17" s="31" t="s">
        <v>128</v>
      </c>
      <c r="C17" s="18" t="s">
        <v>19</v>
      </c>
      <c r="D17" s="18"/>
      <c r="E17" s="17"/>
      <c r="F17" s="15" t="s">
        <v>18</v>
      </c>
    </row>
    <row r="19" spans="1:6" x14ac:dyDescent="0.2">
      <c r="B19" s="240"/>
      <c r="C19" s="2" t="s">
        <v>4449</v>
      </c>
    </row>
    <row r="20" spans="1:6" x14ac:dyDescent="0.2">
      <c r="A20" s="94"/>
      <c r="B20" s="240"/>
    </row>
    <row r="21" spans="1:6" x14ac:dyDescent="0.2">
      <c r="A21" s="93" t="s">
        <v>4501</v>
      </c>
      <c r="B21" s="195"/>
      <c r="C21" s="91" t="s">
        <v>5011</v>
      </c>
      <c r="F21" s="91">
        <v>2400</v>
      </c>
    </row>
    <row r="22" spans="1:6" x14ac:dyDescent="0.2">
      <c r="A22" s="92"/>
      <c r="B22" s="195"/>
      <c r="C22" s="91" t="s">
        <v>5012</v>
      </c>
    </row>
    <row r="23" spans="1:6" x14ac:dyDescent="0.2">
      <c r="B23" s="195"/>
    </row>
    <row r="24" spans="1:6" x14ac:dyDescent="0.2">
      <c r="B24" s="195"/>
    </row>
    <row r="25" spans="1:6" x14ac:dyDescent="0.2">
      <c r="A25" s="93"/>
      <c r="B25" s="195"/>
    </row>
    <row r="26" spans="1:6" x14ac:dyDescent="0.2">
      <c r="B26" s="94"/>
    </row>
    <row r="27" spans="1:6" x14ac:dyDescent="0.2">
      <c r="A27" s="93"/>
      <c r="B27" s="93"/>
    </row>
    <row r="28" spans="1:6" x14ac:dyDescent="0.2">
      <c r="A28" s="93"/>
      <c r="B28" s="93"/>
    </row>
    <row r="30" spans="1:6" x14ac:dyDescent="0.2">
      <c r="C30" s="2"/>
    </row>
    <row r="31" spans="1:6" x14ac:dyDescent="0.2">
      <c r="B31" s="94"/>
    </row>
    <row r="32" spans="1:6" x14ac:dyDescent="0.2">
      <c r="A32" s="93"/>
      <c r="B32" s="93"/>
    </row>
    <row r="33" spans="1:7" x14ac:dyDescent="0.2">
      <c r="B33" s="94"/>
    </row>
    <row r="34" spans="1:7" x14ac:dyDescent="0.2">
      <c r="A34" s="93"/>
      <c r="B34" s="93"/>
      <c r="D34" s="2"/>
    </row>
    <row r="35" spans="1:7" x14ac:dyDescent="0.2">
      <c r="B35" s="94"/>
    </row>
    <row r="36" spans="1:7" ht="13.5" thickBot="1" x14ac:dyDescent="0.25">
      <c r="F36" s="107">
        <f>SUM(F19:F34)</f>
        <v>2400</v>
      </c>
    </row>
    <row r="37" spans="1:7" ht="13.5" thickTop="1" x14ac:dyDescent="0.2"/>
    <row r="38" spans="1:7" ht="20.100000000000001" customHeight="1" x14ac:dyDescent="0.2">
      <c r="A38" s="96" t="s">
        <v>1465</v>
      </c>
      <c r="B38" s="185" t="str">
        <f>IF(OR(F36&gt;1000000,F36&lt;=0),"",IF(F36&lt;1000,"",IF(MOD(F36,1000000)&gt;=100000,INDEX(numbers,TRUNC(MOD(F36,1000000)/100000,0)+1)&amp;" Hundred","")&amp;IF(MOD(F36,100000)&gt;=20000," "&amp;INDEX(teb,TRUNC(MOD(F36,100000)/10000,0)+1)&amp;IF(MOD(MOD(F36,100000),10000)&gt;=1000,"-"&amp;INDEX(numbers,TRUNC(MOD(MOD(F36,100000),10000)/1000,0)+1),""),IF(MOD(F36,100000)&gt;=1000,"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"&amp;INDEX(teb,TRUNC(MOD(F36,100)/10,0)+1)&amp;IF(MOD(MOD(F36,100),10)&gt;=1,"-"&amp;INDEX(numbers,TRUNC(MOD(MOD(F36,100),10),0)+1),""),IF(MOD(F36,100)&gt;=1,"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Thousand Four Hundred and NO/100 -----------</v>
      </c>
      <c r="C38" s="97"/>
      <c r="D38" s="97"/>
      <c r="E38" s="97"/>
      <c r="F38" s="97"/>
    </row>
    <row r="39" spans="1:7" x14ac:dyDescent="0.2">
      <c r="A39" s="94" t="s">
        <v>11</v>
      </c>
    </row>
    <row r="40" spans="1:7" ht="25.5" x14ac:dyDescent="0.2">
      <c r="A40" s="103" t="s">
        <v>10</v>
      </c>
      <c r="D40" s="218" t="s">
        <v>3975</v>
      </c>
      <c r="E40" s="219"/>
      <c r="F40" s="220"/>
    </row>
    <row r="42" spans="1:7" x14ac:dyDescent="0.2">
      <c r="E42" s="227"/>
      <c r="F42" s="227"/>
      <c r="G42" s="227"/>
    </row>
    <row r="43" spans="1:7" x14ac:dyDescent="0.2">
      <c r="C43" s="99"/>
      <c r="D43" s="99"/>
      <c r="E43" s="228"/>
      <c r="F43" s="229"/>
      <c r="G43" s="229"/>
    </row>
    <row r="44" spans="1:7" x14ac:dyDescent="0.2">
      <c r="A44" s="101"/>
      <c r="B44" s="101"/>
    </row>
    <row r="46" spans="1:7" x14ac:dyDescent="0.2">
      <c r="A46" s="98" t="s">
        <v>8</v>
      </c>
      <c r="E46" s="98" t="s">
        <v>7</v>
      </c>
      <c r="F46" s="102"/>
    </row>
    <row r="50" spans="1:6" x14ac:dyDescent="0.2">
      <c r="A50" s="101"/>
      <c r="B50" s="101"/>
      <c r="E50" s="101"/>
      <c r="F50" s="101"/>
    </row>
    <row r="51" spans="1:6" s="61" customFormat="1" ht="17.100000000000001" customHeight="1" x14ac:dyDescent="0.2">
      <c r="A51" s="209" t="s">
        <v>4066</v>
      </c>
      <c r="B51" s="104"/>
      <c r="E51" s="61" t="s">
        <v>3</v>
      </c>
    </row>
    <row r="52" spans="1:6" x14ac:dyDescent="0.2">
      <c r="E52" s="91" t="s">
        <v>2</v>
      </c>
    </row>
    <row r="54" spans="1:6" x14ac:dyDescent="0.2">
      <c r="E54" s="2" t="s">
        <v>1</v>
      </c>
    </row>
    <row r="55" spans="1:6" x14ac:dyDescent="0.2">
      <c r="E55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405">
    <pageSetUpPr fitToPage="1"/>
  </sheetPr>
  <dimension ref="A1:F54"/>
  <sheetViews>
    <sheetView workbookViewId="0">
      <selection activeCell="F34" sqref="F34"/>
    </sheetView>
  </sheetViews>
  <sheetFormatPr defaultRowHeight="12.75" x14ac:dyDescent="0.2"/>
  <cols>
    <col min="1" max="1" width="12.42578125" style="91" customWidth="1"/>
    <col min="2" max="2" width="15.5703125" style="91" customWidth="1"/>
    <col min="3" max="3" width="14.42578125" style="91" customWidth="1"/>
    <col min="4" max="4" width="16" style="91" customWidth="1"/>
    <col min="5" max="5" width="11.85546875" style="91" customWidth="1"/>
    <col min="6" max="6" width="13.425781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1393</v>
      </c>
      <c r="E9" s="91" t="s">
        <v>6405</v>
      </c>
    </row>
    <row r="10" spans="1:6" x14ac:dyDescent="0.2">
      <c r="A10" s="91" t="s">
        <v>4274</v>
      </c>
      <c r="D10" s="92" t="s">
        <v>1356</v>
      </c>
      <c r="E10" s="92" t="s">
        <v>6345</v>
      </c>
    </row>
    <row r="11" spans="1:6" x14ac:dyDescent="0.2">
      <c r="A11" s="91" t="s">
        <v>4275</v>
      </c>
      <c r="D11" s="92" t="s">
        <v>1364</v>
      </c>
      <c r="E11" s="92" t="s">
        <v>1220</v>
      </c>
    </row>
    <row r="12" spans="1:6" x14ac:dyDescent="0.2">
      <c r="A12" s="91" t="s">
        <v>4276</v>
      </c>
      <c r="D12" s="92" t="s">
        <v>1394</v>
      </c>
      <c r="E12" s="92" t="s">
        <v>6406</v>
      </c>
    </row>
    <row r="13" spans="1:6" x14ac:dyDescent="0.2">
      <c r="A13" s="91" t="s">
        <v>1471</v>
      </c>
      <c r="D13" s="92"/>
    </row>
    <row r="14" spans="1:6" x14ac:dyDescent="0.2">
      <c r="A14" s="91" t="s">
        <v>1314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5" t="s">
        <v>18</v>
      </c>
      <c r="F16" s="205"/>
    </row>
    <row r="18" spans="1:6" x14ac:dyDescent="0.2">
      <c r="A18" s="93"/>
      <c r="B18" s="93"/>
      <c r="C18" s="2" t="s">
        <v>4931</v>
      </c>
    </row>
    <row r="19" spans="1:6" x14ac:dyDescent="0.2">
      <c r="A19" s="94"/>
    </row>
    <row r="20" spans="1:6" x14ac:dyDescent="0.2">
      <c r="A20" s="93" t="s">
        <v>6407</v>
      </c>
      <c r="B20" s="93" t="s">
        <v>6408</v>
      </c>
      <c r="C20" s="91" t="s">
        <v>6194</v>
      </c>
      <c r="F20" s="91">
        <f>16800/2</f>
        <v>8400</v>
      </c>
    </row>
    <row r="21" spans="1:6" x14ac:dyDescent="0.2">
      <c r="C21" s="91" t="s">
        <v>2147</v>
      </c>
      <c r="F21" s="91">
        <f>F20*6%</f>
        <v>504</v>
      </c>
    </row>
    <row r="22" spans="1:6" x14ac:dyDescent="0.2">
      <c r="A22" s="92"/>
      <c r="B22" s="93"/>
      <c r="C22" s="91" t="s">
        <v>6195</v>
      </c>
    </row>
    <row r="23" spans="1:6" x14ac:dyDescent="0.2">
      <c r="A23" s="93"/>
      <c r="B23" s="93"/>
    </row>
    <row r="24" spans="1:6" x14ac:dyDescent="0.2">
      <c r="A24" s="93"/>
      <c r="B24" s="99"/>
    </row>
    <row r="25" spans="1:6" x14ac:dyDescent="0.2">
      <c r="A25" s="93"/>
      <c r="B25" s="99"/>
    </row>
    <row r="26" spans="1:6" x14ac:dyDescent="0.2">
      <c r="A26" s="93"/>
      <c r="B26" s="99"/>
    </row>
    <row r="28" spans="1:6" x14ac:dyDescent="0.2">
      <c r="A28" s="93"/>
      <c r="B28" s="99"/>
    </row>
    <row r="29" spans="1:6" x14ac:dyDescent="0.2">
      <c r="B29" s="94"/>
    </row>
    <row r="30" spans="1:6" x14ac:dyDescent="0.2">
      <c r="B30" s="94"/>
    </row>
    <row r="31" spans="1:6" x14ac:dyDescent="0.2">
      <c r="A31" s="93"/>
      <c r="B31" s="99"/>
    </row>
    <row r="32" spans="1:6" x14ac:dyDescent="0.2">
      <c r="B32" s="94"/>
    </row>
    <row r="33" spans="1:6" x14ac:dyDescent="0.2">
      <c r="B33" s="94"/>
    </row>
    <row r="34" spans="1:6" x14ac:dyDescent="0.2">
      <c r="B34" s="94"/>
    </row>
    <row r="35" spans="1:6" ht="13.5" thickBot="1" x14ac:dyDescent="0.25">
      <c r="F35" s="107">
        <f>SUM(F18:F33)</f>
        <v>8904</v>
      </c>
    </row>
    <row r="36" spans="1:6" ht="13.5" thickTop="1" x14ac:dyDescent="0.2"/>
    <row r="37" spans="1:6" ht="20.100000000000001" customHeight="1" x14ac:dyDescent="0.2">
      <c r="A37" s="96" t="s">
        <v>1465</v>
      </c>
      <c r="B37" s="185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Eight Thousand Nine Hundred Four and NO/100 -----------</v>
      </c>
      <c r="C37" s="97"/>
      <c r="D37" s="97"/>
      <c r="E37" s="97"/>
      <c r="F37" s="206"/>
    </row>
    <row r="38" spans="1:6" x14ac:dyDescent="0.2">
      <c r="A38" s="94" t="s">
        <v>11</v>
      </c>
    </row>
    <row r="39" spans="1:6" ht="24" customHeight="1" x14ac:dyDescent="0.2">
      <c r="A39" s="91" t="s">
        <v>10</v>
      </c>
      <c r="D39" s="218" t="s">
        <v>3975</v>
      </c>
      <c r="E39" s="219"/>
      <c r="F39" s="220"/>
    </row>
    <row r="41" spans="1:6" x14ac:dyDescent="0.2">
      <c r="D41" s="227"/>
      <c r="E41" s="227"/>
      <c r="F41" s="227"/>
    </row>
    <row r="42" spans="1:6" x14ac:dyDescent="0.2">
      <c r="C42" s="99"/>
      <c r="D42" s="228"/>
      <c r="E42" s="229"/>
      <c r="F42" s="229"/>
    </row>
    <row r="43" spans="1:6" x14ac:dyDescent="0.2">
      <c r="A43" s="101"/>
      <c r="B43" s="101"/>
    </row>
    <row r="45" spans="1:6" x14ac:dyDescent="0.2">
      <c r="A45" s="98" t="s">
        <v>8</v>
      </c>
      <c r="D45" s="98" t="s">
        <v>7</v>
      </c>
      <c r="E45" s="102"/>
    </row>
    <row r="49" spans="1:6" x14ac:dyDescent="0.2">
      <c r="A49" s="101"/>
      <c r="B49" s="101"/>
      <c r="D49" s="101"/>
      <c r="E49" s="101"/>
      <c r="F49" s="101"/>
    </row>
    <row r="50" spans="1:6" s="61" customFormat="1" ht="17.100000000000001" customHeight="1" x14ac:dyDescent="0.2">
      <c r="A50" s="209" t="s">
        <v>4047</v>
      </c>
      <c r="B50" s="104"/>
      <c r="D50" s="61" t="s">
        <v>3</v>
      </c>
    </row>
    <row r="51" spans="1:6" x14ac:dyDescent="0.2">
      <c r="D51" s="91" t="s">
        <v>2</v>
      </c>
    </row>
    <row r="53" spans="1:6" x14ac:dyDescent="0.2">
      <c r="D53" s="2" t="s">
        <v>1</v>
      </c>
    </row>
    <row r="54" spans="1:6" x14ac:dyDescent="0.2">
      <c r="D54" s="2" t="s">
        <v>0</v>
      </c>
    </row>
  </sheetData>
  <customSheetViews>
    <customSheetView guid="{6428A7A0-B31B-40C1-A13E-AD0DCC619E51}" fitToPage="1">
      <selection activeCell="E9" sqref="E9"/>
      <pageMargins left="0.55118110236220474" right="0.55118110236220474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406">
    <pageSetUpPr fitToPage="1"/>
  </sheetPr>
  <dimension ref="A1:G52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1.85546875" style="91" customWidth="1"/>
    <col min="3" max="3" width="21" style="91" customWidth="1"/>
    <col min="4" max="4" width="16.42578125" style="91" customWidth="1"/>
    <col min="5" max="5" width="8.2851562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1563</v>
      </c>
      <c r="E9" s="113" t="s">
        <v>4119</v>
      </c>
    </row>
    <row r="10" spans="1:6" x14ac:dyDescent="0.2">
      <c r="A10" s="91" t="s">
        <v>4149</v>
      </c>
      <c r="D10" s="92" t="s">
        <v>1356</v>
      </c>
      <c r="E10" s="113" t="s">
        <v>4148</v>
      </c>
    </row>
    <row r="11" spans="1:6" x14ac:dyDescent="0.2">
      <c r="A11" s="91" t="s">
        <v>4150</v>
      </c>
      <c r="D11" s="92" t="s">
        <v>1364</v>
      </c>
      <c r="E11" s="113" t="s">
        <v>1220</v>
      </c>
    </row>
    <row r="12" spans="1:6" x14ac:dyDescent="0.2">
      <c r="A12" s="91" t="s">
        <v>4151</v>
      </c>
      <c r="D12" s="92" t="s">
        <v>1224</v>
      </c>
      <c r="E12" s="113" t="s">
        <v>770</v>
      </c>
    </row>
    <row r="13" spans="1:6" x14ac:dyDescent="0.2">
      <c r="A13" s="91" t="s">
        <v>4152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7" x14ac:dyDescent="0.2">
      <c r="A18" s="93"/>
      <c r="B18" s="93"/>
      <c r="C18" s="2" t="s">
        <v>4153</v>
      </c>
      <c r="G18" s="193"/>
    </row>
    <row r="20" spans="1:7" x14ac:dyDescent="0.2">
      <c r="A20" s="93" t="s">
        <v>4154</v>
      </c>
      <c r="B20" s="93" t="s">
        <v>4155</v>
      </c>
      <c r="C20" s="91" t="s">
        <v>4156</v>
      </c>
      <c r="F20" s="91">
        <f>3450*5.3413</f>
        <v>18427.485000000001</v>
      </c>
    </row>
    <row r="21" spans="1:7" x14ac:dyDescent="0.2">
      <c r="A21" s="93"/>
      <c r="B21" s="93"/>
      <c r="C21" s="91" t="s">
        <v>4157</v>
      </c>
    </row>
    <row r="22" spans="1:7" x14ac:dyDescent="0.2">
      <c r="A22" s="93"/>
      <c r="B22" s="93"/>
    </row>
    <row r="23" spans="1:7" x14ac:dyDescent="0.2">
      <c r="A23" s="93"/>
      <c r="B23" s="93"/>
      <c r="C23" s="91" t="s">
        <v>52</v>
      </c>
      <c r="F23" s="91">
        <v>30</v>
      </c>
    </row>
    <row r="25" spans="1:7" x14ac:dyDescent="0.2">
      <c r="A25" s="93"/>
      <c r="B25" s="93"/>
      <c r="C25" s="143" t="s">
        <v>4158</v>
      </c>
    </row>
    <row r="27" spans="1:7" x14ac:dyDescent="0.2">
      <c r="A27" s="93"/>
      <c r="B27" s="93"/>
    </row>
    <row r="29" spans="1:7" x14ac:dyDescent="0.2">
      <c r="A29" s="93"/>
      <c r="B29" s="93"/>
      <c r="C29" s="2"/>
    </row>
    <row r="30" spans="1:7" x14ac:dyDescent="0.2">
      <c r="C30" s="2"/>
    </row>
    <row r="31" spans="1:7" x14ac:dyDescent="0.2">
      <c r="A31" s="142"/>
      <c r="B31" s="142"/>
    </row>
    <row r="33" spans="1:6" ht="13.5" thickBot="1" x14ac:dyDescent="0.25">
      <c r="F33" s="107">
        <f>SUM(F18:F31)</f>
        <v>18457.485000000001</v>
      </c>
    </row>
    <row r="34" spans="1:6" ht="13.5" thickTop="1" x14ac:dyDescent="0.2"/>
    <row r="35" spans="1:6" ht="20.100000000000001" customHeight="1" x14ac:dyDescent="0.2">
      <c r="A35" s="96" t="s">
        <v>122</v>
      </c>
      <c r="B35" s="185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Eighteen Thousand Four Hundred Fifty-Seven and 49/100 -----------</v>
      </c>
      <c r="C35" s="97"/>
      <c r="D35" s="222"/>
      <c r="E35" s="222"/>
      <c r="F35" s="222"/>
    </row>
    <row r="36" spans="1:6" ht="20.100000000000001" customHeight="1" x14ac:dyDescent="0.2">
      <c r="A36" s="113"/>
      <c r="B36" s="103"/>
      <c r="C36" s="61"/>
      <c r="D36" s="222"/>
      <c r="E36" s="222"/>
      <c r="F36" s="222"/>
    </row>
    <row r="37" spans="1:6" ht="25.5" x14ac:dyDescent="0.2">
      <c r="A37" s="113" t="s">
        <v>3973</v>
      </c>
      <c r="D37" s="218" t="s">
        <v>3975</v>
      </c>
      <c r="E37" s="219"/>
      <c r="F37" s="220"/>
    </row>
    <row r="38" spans="1:6" x14ac:dyDescent="0.2">
      <c r="D38" s="228"/>
      <c r="E38" s="229"/>
      <c r="F38" s="229"/>
    </row>
    <row r="39" spans="1:6" x14ac:dyDescent="0.2">
      <c r="C39" s="99"/>
    </row>
    <row r="40" spans="1:6" x14ac:dyDescent="0.2">
      <c r="C40" s="99"/>
    </row>
    <row r="41" spans="1:6" x14ac:dyDescent="0.2">
      <c r="A41" s="101"/>
      <c r="B41" s="101"/>
    </row>
    <row r="43" spans="1:6" x14ac:dyDescent="0.2">
      <c r="A43" s="98" t="s">
        <v>8</v>
      </c>
      <c r="D43" s="98" t="s">
        <v>7</v>
      </c>
      <c r="F43" s="102"/>
    </row>
    <row r="47" spans="1:6" x14ac:dyDescent="0.2">
      <c r="A47" s="101"/>
      <c r="B47" s="101"/>
      <c r="D47" s="101"/>
      <c r="E47" s="101"/>
      <c r="F47" s="101"/>
    </row>
    <row r="48" spans="1:6" s="61" customFormat="1" ht="17.100000000000001" customHeight="1" x14ac:dyDescent="0.2">
      <c r="A48" s="91" t="s">
        <v>4066</v>
      </c>
      <c r="B48" s="104"/>
      <c r="D48" s="61" t="s">
        <v>3</v>
      </c>
    </row>
    <row r="49" spans="4:4" x14ac:dyDescent="0.2">
      <c r="D49" s="91" t="s">
        <v>2</v>
      </c>
    </row>
    <row r="51" spans="4:4" x14ac:dyDescent="0.2">
      <c r="D51" s="2" t="s">
        <v>1</v>
      </c>
    </row>
    <row r="52" spans="4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363">
    <tabColor rgb="FFFF0000"/>
    <pageSetUpPr fitToPage="1"/>
  </sheetPr>
  <dimension ref="A1:Q53"/>
  <sheetViews>
    <sheetView zoomScaleNormal="100" workbookViewId="0">
      <selection activeCell="G9" sqref="G9:G13"/>
    </sheetView>
  </sheetViews>
  <sheetFormatPr defaultRowHeight="12.75" x14ac:dyDescent="0.2"/>
  <cols>
    <col min="1" max="1" width="15.5703125" style="91" customWidth="1"/>
    <col min="2" max="2" width="11.85546875" style="91" customWidth="1"/>
    <col min="3" max="3" width="1" style="91" customWidth="1"/>
    <col min="4" max="4" width="21.5703125" style="91" customWidth="1"/>
    <col min="5" max="5" width="0.7109375" style="91" customWidth="1"/>
    <col min="6" max="6" width="16.42578125" style="91" customWidth="1"/>
    <col min="7" max="7" width="11.28515625" style="91" customWidth="1"/>
    <col min="8" max="8" width="13.28515625" style="91" customWidth="1"/>
    <col min="9" max="16384" width="9.140625" style="91"/>
  </cols>
  <sheetData>
    <row r="1" spans="1:17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7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7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7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7" x14ac:dyDescent="0.2">
      <c r="A8" s="91" t="s">
        <v>32</v>
      </c>
      <c r="F8" s="22" t="s">
        <v>31</v>
      </c>
      <c r="J8" s="91" t="s">
        <v>6089</v>
      </c>
      <c r="K8" s="91">
        <v>43038</v>
      </c>
      <c r="M8" s="91" t="s">
        <v>6090</v>
      </c>
    </row>
    <row r="9" spans="1:17" x14ac:dyDescent="0.2">
      <c r="F9" s="92" t="s">
        <v>1393</v>
      </c>
      <c r="G9" s="155" t="s">
        <v>8256</v>
      </c>
    </row>
    <row r="10" spans="1:17" x14ac:dyDescent="0.2">
      <c r="A10" s="91" t="s">
        <v>7848</v>
      </c>
      <c r="F10" s="92" t="s">
        <v>1356</v>
      </c>
      <c r="G10" s="155" t="s">
        <v>8255</v>
      </c>
    </row>
    <row r="11" spans="1:17" x14ac:dyDescent="0.2">
      <c r="A11" s="91" t="s">
        <v>7849</v>
      </c>
      <c r="F11" s="92" t="s">
        <v>1364</v>
      </c>
      <c r="G11" s="155" t="s">
        <v>1220</v>
      </c>
    </row>
    <row r="12" spans="1:17" x14ac:dyDescent="0.2">
      <c r="A12" s="91" t="s">
        <v>7850</v>
      </c>
      <c r="F12" s="92" t="s">
        <v>1394</v>
      </c>
      <c r="G12" s="91" t="s">
        <v>8257</v>
      </c>
    </row>
    <row r="13" spans="1:17" x14ac:dyDescent="0.2">
      <c r="A13" s="91" t="s">
        <v>701</v>
      </c>
      <c r="F13" s="92"/>
      <c r="G13" s="91" t="s">
        <v>7931</v>
      </c>
    </row>
    <row r="14" spans="1:17" x14ac:dyDescent="0.2">
      <c r="A14" s="91" t="s">
        <v>7851</v>
      </c>
    </row>
    <row r="15" spans="1:17" x14ac:dyDescent="0.2">
      <c r="L15" s="91" t="s">
        <v>5750</v>
      </c>
      <c r="P15" s="91">
        <v>2184.6</v>
      </c>
    </row>
    <row r="16" spans="1:17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5" t="s">
        <v>18</v>
      </c>
      <c r="H16" s="205"/>
      <c r="L16" s="61" t="s">
        <v>5751</v>
      </c>
      <c r="M16" s="61"/>
      <c r="N16" s="61"/>
      <c r="O16" s="61"/>
      <c r="P16" s="61">
        <v>4637.3999999999996</v>
      </c>
      <c r="Q16" s="61"/>
    </row>
    <row r="17" spans="1:16" x14ac:dyDescent="0.2">
      <c r="L17" s="91" t="s">
        <v>5752</v>
      </c>
      <c r="P17" s="91">
        <v>4019.08</v>
      </c>
    </row>
    <row r="18" spans="1:16" x14ac:dyDescent="0.2">
      <c r="B18" s="93"/>
      <c r="C18" s="93"/>
      <c r="D18" s="2" t="s">
        <v>6735</v>
      </c>
      <c r="E18" s="2"/>
    </row>
    <row r="19" spans="1:16" x14ac:dyDescent="0.2">
      <c r="A19" s="94"/>
      <c r="L19" s="91" t="s">
        <v>5753</v>
      </c>
      <c r="P19" s="91">
        <v>4000</v>
      </c>
    </row>
    <row r="20" spans="1:16" x14ac:dyDescent="0.2">
      <c r="A20" s="93" t="s">
        <v>8111</v>
      </c>
      <c r="B20" s="93" t="s">
        <v>8164</v>
      </c>
      <c r="C20" s="93"/>
      <c r="D20" s="91" t="s">
        <v>8165</v>
      </c>
      <c r="H20" s="91">
        <f>5143*0.45</f>
        <v>2314.35</v>
      </c>
    </row>
    <row r="21" spans="1:16" x14ac:dyDescent="0.2">
      <c r="A21" s="93"/>
      <c r="B21" s="99"/>
      <c r="D21" s="91" t="s">
        <v>8166</v>
      </c>
      <c r="H21" s="91">
        <f>8287*0.45</f>
        <v>3729.15</v>
      </c>
      <c r="L21" s="91" t="s">
        <v>2147</v>
      </c>
      <c r="P21" s="91">
        <v>890.46</v>
      </c>
    </row>
    <row r="22" spans="1:16" x14ac:dyDescent="0.2">
      <c r="A22" s="93"/>
      <c r="B22" s="99"/>
      <c r="C22" s="93"/>
      <c r="E22" s="191"/>
    </row>
    <row r="23" spans="1:16" x14ac:dyDescent="0.2">
      <c r="A23" s="93"/>
      <c r="B23" s="99"/>
      <c r="D23" s="91" t="s">
        <v>8167</v>
      </c>
      <c r="H23" s="91">
        <f>5143*0.55</f>
        <v>2828.65</v>
      </c>
    </row>
    <row r="24" spans="1:16" x14ac:dyDescent="0.2">
      <c r="A24" s="93"/>
      <c r="B24" s="99"/>
    </row>
    <row r="25" spans="1:16" x14ac:dyDescent="0.2">
      <c r="A25" s="93"/>
      <c r="B25" s="99"/>
      <c r="D25" s="91" t="s">
        <v>8258</v>
      </c>
      <c r="H25" s="91">
        <v>-402.9</v>
      </c>
    </row>
    <row r="26" spans="1:16" x14ac:dyDescent="0.2">
      <c r="A26" s="93"/>
      <c r="B26" s="99"/>
    </row>
    <row r="27" spans="1:16" x14ac:dyDescent="0.2">
      <c r="A27" s="93"/>
      <c r="B27" s="99"/>
      <c r="E27" s="191"/>
    </row>
    <row r="28" spans="1:16" x14ac:dyDescent="0.2">
      <c r="A28" s="93"/>
      <c r="B28" s="93"/>
      <c r="C28" s="93"/>
    </row>
    <row r="30" spans="1:16" x14ac:dyDescent="0.2">
      <c r="A30" s="93"/>
      <c r="B30" s="93"/>
      <c r="C30" s="93"/>
    </row>
    <row r="32" spans="1:16" x14ac:dyDescent="0.2">
      <c r="A32" s="93"/>
      <c r="B32" s="99"/>
      <c r="C32" s="99"/>
    </row>
    <row r="33" spans="1:8" x14ac:dyDescent="0.2">
      <c r="A33" s="93"/>
      <c r="B33" s="93"/>
      <c r="C33" s="93"/>
    </row>
    <row r="34" spans="1:8" ht="13.5" thickBot="1" x14ac:dyDescent="0.25">
      <c r="H34" s="107">
        <f>SUM(H18:H32)</f>
        <v>8469.25</v>
      </c>
    </row>
    <row r="35" spans="1:8" ht="13.5" thickTop="1" x14ac:dyDescent="0.2"/>
    <row r="36" spans="1:8" ht="20.100000000000001" customHeight="1" x14ac:dyDescent="0.2">
      <c r="A36" s="96" t="s">
        <v>1465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Eight Thousand Four Hundred Sixty-Nine and 25/100 -----------</v>
      </c>
      <c r="C36" s="185"/>
      <c r="D36" s="97"/>
      <c r="E36" s="97"/>
      <c r="F36" s="97"/>
      <c r="G36" s="97"/>
      <c r="H36" s="206"/>
    </row>
    <row r="37" spans="1:8" x14ac:dyDescent="0.2">
      <c r="A37" s="94" t="s">
        <v>11</v>
      </c>
    </row>
    <row r="38" spans="1:8" ht="25.5" x14ac:dyDescent="0.2">
      <c r="A38" s="91" t="s">
        <v>10</v>
      </c>
      <c r="F38" s="218" t="s">
        <v>3975</v>
      </c>
      <c r="G38" s="219"/>
      <c r="H38" s="220"/>
    </row>
    <row r="40" spans="1:8" x14ac:dyDescent="0.2">
      <c r="F40" s="227"/>
      <c r="G40" s="227"/>
      <c r="H40" s="227"/>
    </row>
    <row r="41" spans="1:8" x14ac:dyDescent="0.2">
      <c r="D41" s="99"/>
      <c r="E41" s="99"/>
      <c r="F41" s="228"/>
      <c r="G41" s="229"/>
      <c r="H41" s="229"/>
    </row>
    <row r="42" spans="1:8" x14ac:dyDescent="0.2">
      <c r="A42" s="101"/>
      <c r="B42" s="101"/>
    </row>
    <row r="44" spans="1:8" x14ac:dyDescent="0.2">
      <c r="A44" s="98" t="s">
        <v>8</v>
      </c>
      <c r="D44" s="98" t="s">
        <v>8</v>
      </c>
      <c r="F44" s="98" t="s">
        <v>7</v>
      </c>
      <c r="G44" s="102"/>
    </row>
    <row r="48" spans="1:8" x14ac:dyDescent="0.2">
      <c r="B48" s="101"/>
      <c r="F48" s="101"/>
      <c r="G48" s="101"/>
      <c r="H48" s="101"/>
    </row>
    <row r="49" spans="1:6" s="61" customFormat="1" ht="17.100000000000001" customHeight="1" x14ac:dyDescent="0.2">
      <c r="A49" s="209" t="s">
        <v>4047</v>
      </c>
      <c r="B49" s="104"/>
      <c r="C49" s="104"/>
      <c r="D49" s="209" t="s">
        <v>50</v>
      </c>
      <c r="F49" s="61" t="s">
        <v>3</v>
      </c>
    </row>
    <row r="50" spans="1:6" x14ac:dyDescent="0.2">
      <c r="F50" s="91" t="s">
        <v>2</v>
      </c>
    </row>
    <row r="52" spans="1:6" x14ac:dyDescent="0.2">
      <c r="F52" s="2" t="s">
        <v>1</v>
      </c>
    </row>
    <row r="53" spans="1:6" x14ac:dyDescent="0.2">
      <c r="F53" s="2" t="s">
        <v>0</v>
      </c>
    </row>
  </sheetData>
  <customSheetViews>
    <customSheetView guid="{6428A7A0-B31B-40C1-A13E-AD0DCC619E51}" showPageBreaks="1" fitToPage="1" topLeftCell="A13">
      <selection activeCell="C19" sqref="C19"/>
      <pageMargins left="0.55118110236220474" right="0.55118110236220474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364">
    <pageSetUpPr fitToPage="1"/>
  </sheetPr>
  <dimension ref="A1:F53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6.42578125" style="91" customWidth="1"/>
    <col min="5" max="5" width="7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3879</v>
      </c>
    </row>
    <row r="10" spans="1:6" x14ac:dyDescent="0.2">
      <c r="A10" s="91" t="s">
        <v>3881</v>
      </c>
      <c r="D10" s="92" t="s">
        <v>1444</v>
      </c>
      <c r="E10" s="92" t="s">
        <v>3865</v>
      </c>
    </row>
    <row r="11" spans="1:6" x14ac:dyDescent="0.2">
      <c r="A11" s="94" t="s">
        <v>3882</v>
      </c>
      <c r="D11" s="92" t="s">
        <v>1431</v>
      </c>
      <c r="E11" s="92" t="s">
        <v>1220</v>
      </c>
    </row>
    <row r="12" spans="1:6" x14ac:dyDescent="0.2">
      <c r="A12" s="91" t="s">
        <v>1973</v>
      </c>
      <c r="D12" s="92" t="s">
        <v>1268</v>
      </c>
      <c r="E12" s="92" t="s">
        <v>3880</v>
      </c>
    </row>
    <row r="13" spans="1:6" x14ac:dyDescent="0.2">
      <c r="A13" s="91" t="s">
        <v>3883</v>
      </c>
    </row>
    <row r="14" spans="1:6" x14ac:dyDescent="0.2">
      <c r="A14" s="91" t="s">
        <v>3884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146" t="s">
        <v>3885</v>
      </c>
    </row>
    <row r="20" spans="1:6" x14ac:dyDescent="0.2">
      <c r="A20" s="93"/>
      <c r="B20" s="93" t="s">
        <v>3886</v>
      </c>
      <c r="C20" s="91" t="s">
        <v>3887</v>
      </c>
      <c r="F20" s="91">
        <f>198*3*3</f>
        <v>1782</v>
      </c>
    </row>
    <row r="23" spans="1:6" x14ac:dyDescent="0.2">
      <c r="C23" s="2"/>
    </row>
    <row r="25" spans="1:6" x14ac:dyDescent="0.2">
      <c r="A25" s="111"/>
      <c r="B25" s="93"/>
    </row>
    <row r="26" spans="1:6" x14ac:dyDescent="0.2">
      <c r="A26" s="111"/>
      <c r="B26" s="93"/>
      <c r="F26" s="94"/>
    </row>
    <row r="27" spans="1:6" x14ac:dyDescent="0.2">
      <c r="A27" s="111"/>
      <c r="B27" s="93"/>
      <c r="C27" s="2"/>
      <c r="F27" s="94"/>
    </row>
    <row r="28" spans="1:6" x14ac:dyDescent="0.2">
      <c r="A28" s="111"/>
      <c r="B28" s="93"/>
      <c r="F28" s="94"/>
    </row>
    <row r="29" spans="1:6" x14ac:dyDescent="0.2">
      <c r="A29" s="93"/>
      <c r="B29" s="93"/>
    </row>
    <row r="30" spans="1:6" x14ac:dyDescent="0.2">
      <c r="B30" s="99"/>
    </row>
    <row r="31" spans="1:6" x14ac:dyDescent="0.2">
      <c r="A31" s="93"/>
      <c r="B31" s="93"/>
    </row>
    <row r="32" spans="1:6" x14ac:dyDescent="0.2">
      <c r="B32" s="99"/>
    </row>
    <row r="34" spans="1:6" ht="13.5" thickBot="1" x14ac:dyDescent="0.25">
      <c r="F34" s="95">
        <f>SUM(F18:F32)</f>
        <v>1782</v>
      </c>
    </row>
    <row r="35" spans="1:6" ht="13.5" thickTop="1" x14ac:dyDescent="0.2"/>
    <row r="36" spans="1:6" ht="20.100000000000001" customHeight="1" x14ac:dyDescent="0.2">
      <c r="A36" s="96" t="s">
        <v>336</v>
      </c>
      <c r="B36" s="185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Seven Hundred Eighty-Two and NO/100 -----------</v>
      </c>
      <c r="C36" s="97"/>
      <c r="D36" s="218" t="s">
        <v>3975</v>
      </c>
      <c r="E36" s="219"/>
      <c r="F36" s="220"/>
    </row>
    <row r="37" spans="1:6" x14ac:dyDescent="0.2">
      <c r="A37" s="94" t="s">
        <v>11</v>
      </c>
    </row>
    <row r="38" spans="1:6" x14ac:dyDescent="0.2">
      <c r="A38" s="94"/>
    </row>
    <row r="39" spans="1:6" x14ac:dyDescent="0.2">
      <c r="A39" s="91" t="s">
        <v>10</v>
      </c>
      <c r="D39" s="227"/>
      <c r="E39" s="227"/>
      <c r="F39" s="227"/>
    </row>
    <row r="40" spans="1:6" x14ac:dyDescent="0.2">
      <c r="D40" s="228"/>
      <c r="E40" s="229"/>
      <c r="F40" s="229"/>
    </row>
    <row r="41" spans="1:6" x14ac:dyDescent="0.2">
      <c r="B41" s="101"/>
    </row>
    <row r="42" spans="1:6" x14ac:dyDescent="0.2">
      <c r="A42" s="101"/>
    </row>
    <row r="44" spans="1:6" x14ac:dyDescent="0.2">
      <c r="A44" s="98" t="s">
        <v>8</v>
      </c>
      <c r="D44" s="98" t="s">
        <v>7</v>
      </c>
      <c r="F44" s="102"/>
    </row>
    <row r="47" spans="1:6" x14ac:dyDescent="0.2">
      <c r="A47" s="91" t="s">
        <v>3972</v>
      </c>
    </row>
    <row r="48" spans="1:6" x14ac:dyDescent="0.2">
      <c r="A48" s="101" t="s">
        <v>120</v>
      </c>
      <c r="B48" s="101"/>
      <c r="D48" s="101"/>
      <c r="E48" s="101"/>
      <c r="F48" s="101"/>
    </row>
    <row r="49" spans="1:4" s="61" customFormat="1" ht="17.100000000000001" customHeight="1" x14ac:dyDescent="0.2">
      <c r="A49" s="104" t="s">
        <v>4066</v>
      </c>
      <c r="B49" s="104"/>
      <c r="D49" s="61" t="s">
        <v>3</v>
      </c>
    </row>
    <row r="50" spans="1:4" x14ac:dyDescent="0.2">
      <c r="D50" s="91" t="s">
        <v>2</v>
      </c>
    </row>
    <row r="52" spans="1:4" x14ac:dyDescent="0.2">
      <c r="D52" s="2" t="s">
        <v>1</v>
      </c>
    </row>
    <row r="53" spans="1:4" x14ac:dyDescent="0.2">
      <c r="D53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2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92">
    <pageSetUpPr fitToPage="1"/>
  </sheetPr>
  <dimension ref="A1:H56"/>
  <sheetViews>
    <sheetView topLeftCell="A4" workbookViewId="0">
      <selection activeCell="J32" sqref="J32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1.5703125" style="1" customWidth="1"/>
    <col min="4" max="4" width="23" style="1" customWidth="1"/>
    <col min="5" max="5" width="1.710937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2113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8" x14ac:dyDescent="0.2">
      <c r="A9" s="91"/>
      <c r="B9" s="91"/>
      <c r="C9" s="91"/>
      <c r="D9" s="91"/>
      <c r="E9" s="91"/>
      <c r="F9" s="92" t="s">
        <v>1517</v>
      </c>
      <c r="G9" s="91" t="s">
        <v>8928</v>
      </c>
      <c r="H9" s="91"/>
    </row>
    <row r="10" spans="1:8" x14ac:dyDescent="0.2">
      <c r="A10" s="91" t="s">
        <v>8761</v>
      </c>
      <c r="B10" s="91"/>
      <c r="C10" s="91"/>
      <c r="D10" s="91"/>
      <c r="E10" s="91"/>
      <c r="F10" s="92" t="s">
        <v>1357</v>
      </c>
      <c r="G10" s="98" t="s">
        <v>8898</v>
      </c>
      <c r="H10" s="91"/>
    </row>
    <row r="11" spans="1:8" x14ac:dyDescent="0.2">
      <c r="A11" s="91" t="s">
        <v>1228</v>
      </c>
      <c r="B11" s="91"/>
      <c r="C11" s="91"/>
      <c r="D11" s="91"/>
      <c r="E11" s="91"/>
      <c r="F11" s="92" t="s">
        <v>1330</v>
      </c>
      <c r="G11" s="92" t="s">
        <v>1220</v>
      </c>
      <c r="H11" s="91"/>
    </row>
    <row r="12" spans="1:8" x14ac:dyDescent="0.2">
      <c r="A12" s="91" t="s">
        <v>8762</v>
      </c>
      <c r="B12" s="91"/>
      <c r="C12" s="91"/>
      <c r="D12" s="91"/>
      <c r="E12" s="91"/>
      <c r="F12" s="92" t="s">
        <v>1224</v>
      </c>
      <c r="G12" s="94" t="s">
        <v>8929</v>
      </c>
      <c r="H12" s="91"/>
    </row>
    <row r="13" spans="1:8" x14ac:dyDescent="0.2">
      <c r="A13" s="91"/>
      <c r="B13" s="91"/>
      <c r="C13" s="91"/>
      <c r="D13" s="91"/>
      <c r="E13" s="91"/>
      <c r="F13" s="91"/>
      <c r="G13" s="91" t="s">
        <v>7762</v>
      </c>
      <c r="H13" s="91"/>
    </row>
    <row r="14" spans="1:8" x14ac:dyDescent="0.2">
      <c r="A14" s="91"/>
      <c r="B14" s="91"/>
      <c r="C14" s="91"/>
      <c r="D14" s="91"/>
      <c r="E14" s="91"/>
      <c r="F14" s="91"/>
      <c r="G14" s="91"/>
      <c r="H14" s="91"/>
    </row>
    <row r="15" spans="1:8" x14ac:dyDescent="0.2">
      <c r="A15" s="91"/>
      <c r="B15" s="91"/>
      <c r="C15" s="91"/>
      <c r="D15" s="91"/>
      <c r="E15" s="91"/>
      <c r="F15" s="91"/>
      <c r="G15" s="91"/>
      <c r="H15" s="91"/>
    </row>
    <row r="16" spans="1:8" s="14" customFormat="1" ht="20.100000000000001" customHeight="1" x14ac:dyDescent="0.2">
      <c r="A16" s="17" t="s">
        <v>129</v>
      </c>
      <c r="B16" s="31" t="s">
        <v>128</v>
      </c>
      <c r="C16" s="508"/>
      <c r="D16" s="18" t="s">
        <v>19</v>
      </c>
      <c r="E16" s="18"/>
      <c r="F16" s="17"/>
      <c r="G16" s="16"/>
      <c r="H16" s="15" t="s">
        <v>18</v>
      </c>
    </row>
    <row r="17" spans="1:8" x14ac:dyDescent="0.2">
      <c r="A17" s="91"/>
      <c r="B17" s="91"/>
      <c r="C17" s="91"/>
      <c r="D17" s="91"/>
      <c r="E17" s="91"/>
      <c r="F17" s="91"/>
      <c r="G17" s="91"/>
      <c r="H17" s="91"/>
    </row>
    <row r="18" spans="1:8" x14ac:dyDescent="0.2">
      <c r="B18" s="93"/>
      <c r="C18" s="93"/>
      <c r="D18" s="2" t="s">
        <v>1230</v>
      </c>
      <c r="E18" s="2"/>
      <c r="F18" s="91"/>
      <c r="G18" s="91"/>
      <c r="H18" s="91"/>
    </row>
    <row r="19" spans="1:8" x14ac:dyDescent="0.2">
      <c r="A19" s="91"/>
      <c r="B19" s="91"/>
      <c r="C19" s="91"/>
      <c r="D19" s="2" t="s">
        <v>8759</v>
      </c>
      <c r="E19" s="2"/>
      <c r="F19" s="91"/>
      <c r="G19" s="91"/>
      <c r="H19" s="91"/>
    </row>
    <row r="20" spans="1:8" x14ac:dyDescent="0.2">
      <c r="A20" s="106"/>
      <c r="B20" s="91"/>
      <c r="C20" s="91"/>
      <c r="F20" s="91"/>
      <c r="G20" s="91"/>
      <c r="H20" s="91"/>
    </row>
    <row r="21" spans="1:8" x14ac:dyDescent="0.2">
      <c r="A21" s="105" t="s">
        <v>8760</v>
      </c>
      <c r="B21" s="91"/>
      <c r="C21" s="91"/>
      <c r="D21" s="91" t="s">
        <v>1967</v>
      </c>
      <c r="E21" s="91"/>
      <c r="F21" s="91"/>
      <c r="G21" s="91"/>
      <c r="H21" s="91"/>
    </row>
    <row r="22" spans="1:8" x14ac:dyDescent="0.2">
      <c r="A22" s="137"/>
      <c r="B22" s="91"/>
      <c r="C22" s="91"/>
      <c r="D22" s="91" t="s">
        <v>8930</v>
      </c>
      <c r="E22" s="91"/>
      <c r="F22" s="91"/>
      <c r="G22" s="91"/>
      <c r="H22" s="91">
        <v>350</v>
      </c>
    </row>
    <row r="23" spans="1:8" x14ac:dyDescent="0.2">
      <c r="A23" s="106"/>
      <c r="B23" s="91"/>
      <c r="C23" s="91"/>
      <c r="D23" s="91"/>
      <c r="E23" s="91"/>
      <c r="F23" s="91"/>
      <c r="G23" s="91"/>
      <c r="H23" s="91"/>
    </row>
    <row r="25" spans="1:8" x14ac:dyDescent="0.2">
      <c r="A25" s="137"/>
      <c r="B25" s="91"/>
      <c r="C25" s="91"/>
      <c r="D25" s="91"/>
      <c r="E25" s="91"/>
      <c r="F25" s="91"/>
      <c r="G25" s="91"/>
      <c r="H25" s="91"/>
    </row>
    <row r="26" spans="1:8" x14ac:dyDescent="0.2">
      <c r="A26" s="106"/>
      <c r="B26" s="91"/>
      <c r="C26" s="91"/>
      <c r="D26" s="143"/>
      <c r="E26" s="143"/>
      <c r="F26" s="91"/>
      <c r="G26" s="91"/>
      <c r="H26" s="91"/>
    </row>
    <row r="27" spans="1:8" x14ac:dyDescent="0.2">
      <c r="A27" s="91"/>
      <c r="B27" s="91"/>
      <c r="C27" s="91"/>
      <c r="D27" s="91"/>
      <c r="E27" s="91"/>
      <c r="F27" s="91"/>
      <c r="G27" s="91"/>
      <c r="H27" s="91"/>
    </row>
    <row r="28" spans="1:8" x14ac:dyDescent="0.2">
      <c r="A28" s="91"/>
      <c r="B28" s="91"/>
      <c r="C28" s="91"/>
      <c r="D28" s="91"/>
      <c r="E28" s="91"/>
      <c r="F28" s="91"/>
      <c r="G28" s="91"/>
      <c r="H28" s="91"/>
    </row>
    <row r="29" spans="1:8" x14ac:dyDescent="0.2">
      <c r="A29" s="91"/>
      <c r="B29" s="91"/>
      <c r="C29" s="91"/>
      <c r="D29" s="91"/>
      <c r="E29" s="91"/>
      <c r="F29" s="91"/>
      <c r="G29" s="91"/>
      <c r="H29" s="91"/>
    </row>
    <row r="30" spans="1:8" x14ac:dyDescent="0.2">
      <c r="A30" s="91"/>
      <c r="B30" s="91"/>
      <c r="C30" s="91"/>
      <c r="D30" s="91"/>
      <c r="E30" s="91"/>
      <c r="F30" s="91"/>
      <c r="G30" s="91"/>
      <c r="H30" s="91"/>
    </row>
    <row r="31" spans="1:8" x14ac:dyDescent="0.2">
      <c r="A31" s="91"/>
      <c r="B31" s="91"/>
      <c r="C31" s="91"/>
      <c r="D31" s="91"/>
      <c r="E31" s="91"/>
      <c r="F31" s="91"/>
      <c r="G31" s="91"/>
      <c r="H31" s="91"/>
    </row>
    <row r="32" spans="1:8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350</v>
      </c>
    </row>
    <row r="36" spans="1:8" ht="13.5" thickTop="1" x14ac:dyDescent="0.2">
      <c r="A36" s="91"/>
      <c r="B36" s="91"/>
      <c r="C36" s="91"/>
      <c r="D36" s="91"/>
      <c r="E36" s="91"/>
      <c r="F36" s="91"/>
      <c r="G36" s="91"/>
      <c r="H36" s="91"/>
    </row>
    <row r="37" spans="1:8" ht="20.100000000000001" customHeight="1" x14ac:dyDescent="0.2">
      <c r="A37" s="96" t="s">
        <v>122</v>
      </c>
      <c r="B37" s="18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Fifty and NO/100 -----------</v>
      </c>
      <c r="C37" s="185"/>
      <c r="D37" s="97"/>
      <c r="E37" s="97"/>
      <c r="F37" s="97"/>
      <c r="G37" s="97"/>
      <c r="H37" s="97"/>
    </row>
    <row r="38" spans="1:8" x14ac:dyDescent="0.2">
      <c r="A38" s="94" t="s">
        <v>11</v>
      </c>
      <c r="B38" s="91"/>
      <c r="C38" s="91"/>
      <c r="D38" s="91"/>
      <c r="E38" s="91"/>
    </row>
    <row r="39" spans="1:8" ht="25.5" x14ac:dyDescent="0.2">
      <c r="A39" s="91" t="s">
        <v>10</v>
      </c>
      <c r="B39" s="91"/>
      <c r="C39" s="91"/>
      <c r="D39" s="91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91"/>
      <c r="G40" s="91"/>
      <c r="H40" s="91"/>
    </row>
    <row r="41" spans="1:8" x14ac:dyDescent="0.2">
      <c r="A41" s="91"/>
      <c r="B41" s="91"/>
      <c r="C41" s="91"/>
      <c r="D41" s="91"/>
      <c r="E41" s="91"/>
      <c r="F41" s="227"/>
      <c r="G41" s="227"/>
      <c r="H41" s="227"/>
    </row>
    <row r="42" spans="1:8" x14ac:dyDescent="0.2">
      <c r="A42" s="91"/>
      <c r="B42" s="91"/>
      <c r="C42" s="91"/>
      <c r="D42" s="99"/>
      <c r="E42" s="509"/>
      <c r="F42" s="228"/>
      <c r="G42" s="229"/>
      <c r="H42" s="229"/>
    </row>
    <row r="43" spans="1:8" x14ac:dyDescent="0.2">
      <c r="A43" s="23"/>
      <c r="B43" s="101"/>
      <c r="C43" s="386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91"/>
      <c r="E44" s="91"/>
      <c r="F44" s="91"/>
      <c r="G44" s="91"/>
      <c r="H44" s="91"/>
    </row>
    <row r="45" spans="1:8" x14ac:dyDescent="0.2">
      <c r="A45" s="98" t="s">
        <v>8</v>
      </c>
      <c r="B45" s="91"/>
      <c r="C45" s="91"/>
      <c r="D45" s="98" t="s">
        <v>8</v>
      </c>
      <c r="E45" s="91"/>
      <c r="F45" s="98" t="s">
        <v>7</v>
      </c>
      <c r="G45" s="91"/>
      <c r="H45" s="102"/>
    </row>
    <row r="46" spans="1:8" x14ac:dyDescent="0.2">
      <c r="A46" s="91"/>
      <c r="B46" s="91"/>
      <c r="C46" s="91"/>
      <c r="D46" s="91"/>
      <c r="E46" s="91"/>
      <c r="F46" s="91"/>
      <c r="G46" s="91"/>
      <c r="H46" s="91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101"/>
      <c r="B49" s="101"/>
      <c r="C49" s="386"/>
      <c r="D49" s="101"/>
      <c r="E49" s="91"/>
      <c r="F49" s="101"/>
      <c r="G49" s="101"/>
      <c r="H49" s="101"/>
    </row>
    <row r="50" spans="1:8" s="3" customFormat="1" ht="17.100000000000001" customHeight="1" x14ac:dyDescent="0.2">
      <c r="A50" s="103" t="s">
        <v>4066</v>
      </c>
      <c r="B50" s="104"/>
      <c r="C50" s="104"/>
      <c r="D50" s="103" t="s">
        <v>50</v>
      </c>
      <c r="E50" s="61"/>
      <c r="F50" s="61" t="s">
        <v>3</v>
      </c>
      <c r="G50" s="61"/>
      <c r="H50" s="61"/>
    </row>
    <row r="51" spans="1:8" x14ac:dyDescent="0.2">
      <c r="A51" s="91"/>
      <c r="B51" s="91"/>
      <c r="C51" s="91"/>
      <c r="D51" s="91"/>
      <c r="E51" s="91"/>
      <c r="F51" s="91" t="s">
        <v>2</v>
      </c>
      <c r="G51" s="91"/>
      <c r="H51" s="91"/>
    </row>
    <row r="52" spans="1:8" x14ac:dyDescent="0.2">
      <c r="A52" s="91"/>
      <c r="B52" s="91"/>
      <c r="C52" s="91"/>
      <c r="D52" s="91"/>
      <c r="E52" s="91"/>
      <c r="F52" s="91"/>
      <c r="G52" s="91"/>
      <c r="H52" s="91"/>
    </row>
    <row r="53" spans="1:8" x14ac:dyDescent="0.2">
      <c r="A53" s="91"/>
      <c r="B53" s="91"/>
      <c r="C53" s="91"/>
      <c r="D53" s="91"/>
      <c r="E53" s="91"/>
      <c r="F53" s="2" t="s">
        <v>1</v>
      </c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0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91"/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</sheetData>
  <customSheetViews>
    <customSheetView guid="{6428A7A0-B31B-40C1-A13E-AD0DCC619E51}" fitToPage="1" topLeftCell="A4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9" orientation="portrait" r:id="rId1"/>
      <headerFooter alignWithMargins="0"/>
    </customSheetView>
  </customSheetViews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24">
    <pageSetUpPr fitToPage="1"/>
  </sheetPr>
  <dimension ref="A1:F51"/>
  <sheetViews>
    <sheetView workbookViewId="0">
      <selection activeCell="F34" sqref="F34"/>
    </sheetView>
  </sheetViews>
  <sheetFormatPr defaultRowHeight="12.75" x14ac:dyDescent="0.2"/>
  <cols>
    <col min="1" max="1" width="15.85546875" style="91" customWidth="1"/>
    <col min="2" max="2" width="15.42578125" style="91" customWidth="1"/>
    <col min="3" max="3" width="21" style="91" customWidth="1"/>
    <col min="4" max="4" width="16.42578125" style="91" customWidth="1"/>
    <col min="5" max="5" width="7.7109375" style="91" customWidth="1"/>
    <col min="6" max="6" width="13.28515625" style="91" customWidth="1"/>
    <col min="7" max="16384" width="9.140625" style="9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61" t="s">
        <v>3589</v>
      </c>
    </row>
    <row r="10" spans="1:6" x14ac:dyDescent="0.2">
      <c r="A10" s="91" t="s">
        <v>3591</v>
      </c>
      <c r="D10" s="92" t="s">
        <v>1444</v>
      </c>
      <c r="E10" s="113" t="s">
        <v>3588</v>
      </c>
    </row>
    <row r="11" spans="1:6" x14ac:dyDescent="0.2">
      <c r="A11" s="94" t="s">
        <v>3592</v>
      </c>
      <c r="D11" s="92" t="s">
        <v>1431</v>
      </c>
      <c r="E11" s="113" t="s">
        <v>1220</v>
      </c>
    </row>
    <row r="12" spans="1:6" x14ac:dyDescent="0.2">
      <c r="D12" s="92" t="s">
        <v>1268</v>
      </c>
      <c r="E12" s="113" t="s">
        <v>3590</v>
      </c>
    </row>
    <row r="16" spans="1:6" s="14" customFormat="1" ht="20.100000000000001" customHeight="1" x14ac:dyDescent="0.2">
      <c r="A16" s="17" t="s">
        <v>1261</v>
      </c>
      <c r="B16" s="31" t="s">
        <v>128</v>
      </c>
      <c r="C16" s="18" t="s">
        <v>19</v>
      </c>
      <c r="D16" s="17"/>
      <c r="E16" s="16"/>
      <c r="F16" s="15" t="s">
        <v>18</v>
      </c>
    </row>
    <row r="18" spans="1:6" x14ac:dyDescent="0.2">
      <c r="A18" s="93"/>
      <c r="B18" s="93"/>
      <c r="C18" s="2" t="s">
        <v>3593</v>
      </c>
    </row>
    <row r="20" spans="1:6" x14ac:dyDescent="0.2">
      <c r="A20" s="93"/>
      <c r="B20" s="93"/>
      <c r="C20" s="91" t="s">
        <v>3594</v>
      </c>
      <c r="F20" s="91">
        <v>200</v>
      </c>
    </row>
    <row r="21" spans="1:6" x14ac:dyDescent="0.2">
      <c r="C21" s="91" t="s">
        <v>3595</v>
      </c>
      <c r="F21" s="91">
        <f>98*2</f>
        <v>196</v>
      </c>
    </row>
    <row r="25" spans="1:6" x14ac:dyDescent="0.2">
      <c r="A25" s="111"/>
      <c r="B25" s="93"/>
    </row>
    <row r="26" spans="1:6" x14ac:dyDescent="0.2">
      <c r="A26" s="111"/>
      <c r="B26" s="93"/>
      <c r="F26" s="94"/>
    </row>
    <row r="27" spans="1:6" x14ac:dyDescent="0.2">
      <c r="A27" s="93"/>
      <c r="B27" s="93"/>
    </row>
    <row r="28" spans="1:6" x14ac:dyDescent="0.2">
      <c r="B28" s="99"/>
    </row>
    <row r="29" spans="1:6" x14ac:dyDescent="0.2">
      <c r="A29" s="93"/>
      <c r="B29" s="93"/>
    </row>
    <row r="30" spans="1:6" x14ac:dyDescent="0.2">
      <c r="B30" s="99"/>
    </row>
    <row r="32" spans="1:6" ht="13.5" thickBot="1" x14ac:dyDescent="0.25">
      <c r="F32" s="95">
        <f>SUM(F18:F30)</f>
        <v>396</v>
      </c>
    </row>
    <row r="33" spans="1:6" ht="13.5" thickTop="1" x14ac:dyDescent="0.2"/>
    <row r="34" spans="1:6" ht="20.100000000000001" customHeight="1" thickBot="1" x14ac:dyDescent="0.25">
      <c r="A34" s="96" t="s">
        <v>336</v>
      </c>
      <c r="B34" s="185" t="s">
        <v>3596</v>
      </c>
      <c r="C34" s="97"/>
      <c r="D34" s="97"/>
      <c r="E34" s="97"/>
      <c r="F34" s="132"/>
    </row>
    <row r="35" spans="1:6" ht="13.5" thickTop="1" x14ac:dyDescent="0.2">
      <c r="A35" s="94" t="s">
        <v>11</v>
      </c>
    </row>
    <row r="36" spans="1:6" ht="25.5" x14ac:dyDescent="0.2">
      <c r="A36" s="91" t="s">
        <v>10</v>
      </c>
      <c r="D36" s="218" t="s">
        <v>3975</v>
      </c>
      <c r="E36" s="219"/>
      <c r="F36" s="220"/>
    </row>
    <row r="39" spans="1:6" x14ac:dyDescent="0.2">
      <c r="D39" s="227"/>
      <c r="E39" s="227"/>
      <c r="F39" s="227"/>
    </row>
    <row r="40" spans="1:6" x14ac:dyDescent="0.2">
      <c r="A40" s="101"/>
      <c r="B40" s="101"/>
      <c r="D40" s="228"/>
      <c r="E40" s="229"/>
      <c r="F40" s="229"/>
    </row>
    <row r="41" spans="1:6" x14ac:dyDescent="0.2">
      <c r="D41" s="98" t="s">
        <v>7</v>
      </c>
      <c r="F41" s="102"/>
    </row>
    <row r="42" spans="1:6" x14ac:dyDescent="0.2">
      <c r="A42" s="98" t="s">
        <v>8</v>
      </c>
      <c r="D42" s="98"/>
      <c r="F42" s="102"/>
    </row>
    <row r="46" spans="1:6" x14ac:dyDescent="0.2">
      <c r="A46" s="101" t="s">
        <v>120</v>
      </c>
      <c r="B46" s="101"/>
      <c r="D46" s="101"/>
      <c r="E46" s="101"/>
      <c r="F46" s="101"/>
    </row>
    <row r="47" spans="1:6" s="61" customFormat="1" ht="17.100000000000001" customHeight="1" x14ac:dyDescent="0.2">
      <c r="A47" s="104" t="s">
        <v>3972</v>
      </c>
      <c r="B47" s="104"/>
      <c r="D47" s="61" t="s">
        <v>3</v>
      </c>
    </row>
    <row r="48" spans="1:6" x14ac:dyDescent="0.2">
      <c r="D48" s="91" t="s">
        <v>2</v>
      </c>
    </row>
    <row r="49" spans="1:4" x14ac:dyDescent="0.2">
      <c r="A49" s="91" t="s">
        <v>4066</v>
      </c>
    </row>
    <row r="50" spans="1:4" x14ac:dyDescent="0.2">
      <c r="D50" s="2" t="s">
        <v>1</v>
      </c>
    </row>
    <row r="51" spans="1:4" x14ac:dyDescent="0.2">
      <c r="D51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6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249">
    <pageSetUpPr fitToPage="1"/>
  </sheetPr>
  <dimension ref="A1:F49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.28515625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D9" s="92" t="s">
        <v>1317</v>
      </c>
      <c r="E9" s="91" t="s">
        <v>2697</v>
      </c>
    </row>
    <row r="10" spans="1:6" x14ac:dyDescent="0.2">
      <c r="A10" s="91" t="s">
        <v>2700</v>
      </c>
      <c r="D10" s="92" t="s">
        <v>1329</v>
      </c>
      <c r="E10" s="98" t="s">
        <v>2698</v>
      </c>
    </row>
    <row r="11" spans="1:6" x14ac:dyDescent="0.2">
      <c r="A11" s="91" t="s">
        <v>2701</v>
      </c>
      <c r="D11" s="92" t="s">
        <v>1330</v>
      </c>
      <c r="E11" s="92" t="s">
        <v>1220</v>
      </c>
    </row>
    <row r="12" spans="1:6" x14ac:dyDescent="0.2">
      <c r="A12" s="91" t="s">
        <v>2702</v>
      </c>
      <c r="D12" s="92" t="s">
        <v>1377</v>
      </c>
      <c r="E12" s="92" t="s">
        <v>2699</v>
      </c>
    </row>
    <row r="13" spans="1:6" x14ac:dyDescent="0.2">
      <c r="A13" s="91" t="s">
        <v>2703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C18" s="2" t="s">
        <v>2707</v>
      </c>
    </row>
    <row r="20" spans="1:6" x14ac:dyDescent="0.2">
      <c r="A20" s="137" t="s">
        <v>2704</v>
      </c>
      <c r="B20" s="91" t="s">
        <v>2705</v>
      </c>
      <c r="C20" s="91" t="s">
        <v>2706</v>
      </c>
      <c r="F20" s="91">
        <v>1600</v>
      </c>
    </row>
    <row r="21" spans="1:6" x14ac:dyDescent="0.2">
      <c r="A21" s="106"/>
      <c r="C21" s="94" t="s">
        <v>2708</v>
      </c>
    </row>
    <row r="22" spans="1:6" x14ac:dyDescent="0.2">
      <c r="A22" s="106"/>
      <c r="C22" s="94"/>
    </row>
    <row r="23" spans="1:6" x14ac:dyDescent="0.2">
      <c r="A23" s="106"/>
    </row>
    <row r="25" spans="1:6" x14ac:dyDescent="0.2">
      <c r="A25" s="93"/>
      <c r="B25" s="93"/>
      <c r="C25" s="94"/>
    </row>
    <row r="26" spans="1:6" x14ac:dyDescent="0.2">
      <c r="A26" s="1"/>
      <c r="B26" s="1"/>
      <c r="C26" s="94"/>
    </row>
    <row r="27" spans="1:6" x14ac:dyDescent="0.2">
      <c r="A27" s="1"/>
      <c r="B27" s="1"/>
    </row>
    <row r="28" spans="1:6" x14ac:dyDescent="0.2">
      <c r="A28" s="1"/>
      <c r="B28" s="1"/>
      <c r="C28" s="1"/>
      <c r="D28" s="1"/>
      <c r="E28" s="1"/>
      <c r="F28" s="1"/>
    </row>
    <row r="29" spans="1:6" ht="13.5" thickBot="1" x14ac:dyDescent="0.25">
      <c r="A29" s="106"/>
      <c r="F29" s="107">
        <f>SUM(F19:F28)</f>
        <v>1600</v>
      </c>
    </row>
    <row r="30" spans="1:6" ht="13.5" thickTop="1" x14ac:dyDescent="0.2">
      <c r="A30" s="106"/>
    </row>
    <row r="31" spans="1:6" x14ac:dyDescent="0.2">
      <c r="A31" s="106"/>
    </row>
    <row r="32" spans="1:6" ht="20.100000000000001" customHeight="1" x14ac:dyDescent="0.2">
      <c r="A32" s="96" t="s">
        <v>1248</v>
      </c>
      <c r="B32" s="96" t="s">
        <v>2709</v>
      </c>
      <c r="C32" s="97"/>
      <c r="D32" s="97"/>
      <c r="E32" s="97"/>
      <c r="F32" s="97"/>
    </row>
    <row r="33" spans="1:6" x14ac:dyDescent="0.2">
      <c r="A33" s="94"/>
    </row>
    <row r="34" spans="1:6" ht="13.5" thickBot="1" x14ac:dyDescent="0.25">
      <c r="A34" s="91" t="s">
        <v>10</v>
      </c>
      <c r="F34" s="107"/>
    </row>
    <row r="35" spans="1:6" ht="13.5" thickTop="1" x14ac:dyDescent="0.2"/>
    <row r="36" spans="1:6" ht="25.5" x14ac:dyDescent="0.2">
      <c r="D36" s="218" t="s">
        <v>3975</v>
      </c>
      <c r="E36" s="219"/>
      <c r="F36" s="220"/>
    </row>
    <row r="37" spans="1:6" x14ac:dyDescent="0.2">
      <c r="A37" s="91" t="s">
        <v>120</v>
      </c>
      <c r="C37" s="99"/>
    </row>
    <row r="38" spans="1:6" x14ac:dyDescent="0.2">
      <c r="C38" s="99"/>
    </row>
    <row r="39" spans="1:6" x14ac:dyDescent="0.2">
      <c r="A39" s="101"/>
      <c r="B39" s="101"/>
      <c r="D39" s="227"/>
      <c r="E39" s="227"/>
      <c r="F39" s="227"/>
    </row>
    <row r="40" spans="1:6" x14ac:dyDescent="0.2">
      <c r="A40" s="91" t="s">
        <v>8</v>
      </c>
      <c r="D40" s="228"/>
      <c r="E40" s="229"/>
      <c r="F40" s="229"/>
    </row>
    <row r="41" spans="1:6" x14ac:dyDescent="0.2">
      <c r="A41" s="1"/>
    </row>
    <row r="44" spans="1:6" x14ac:dyDescent="0.2">
      <c r="A44" s="101" t="s">
        <v>120</v>
      </c>
      <c r="B44" s="101"/>
      <c r="D44" s="101"/>
      <c r="E44" s="101"/>
      <c r="F44" s="101"/>
    </row>
    <row r="45" spans="1:6" s="3" customFormat="1" ht="17.100000000000001" customHeight="1" x14ac:dyDescent="0.2">
      <c r="A45" s="61" t="s">
        <v>35</v>
      </c>
      <c r="B45" s="104"/>
      <c r="C45" s="61"/>
      <c r="D45" s="61" t="s">
        <v>3</v>
      </c>
      <c r="E45" s="61"/>
      <c r="F45" s="61"/>
    </row>
    <row r="46" spans="1:6" x14ac:dyDescent="0.2">
      <c r="D46" s="91" t="s">
        <v>2</v>
      </c>
    </row>
    <row r="47" spans="1:6" x14ac:dyDescent="0.2">
      <c r="A47" s="91" t="s">
        <v>3972</v>
      </c>
    </row>
    <row r="48" spans="1:6" x14ac:dyDescent="0.2">
      <c r="D48" s="2" t="s">
        <v>1</v>
      </c>
    </row>
    <row r="49" spans="1:4" x14ac:dyDescent="0.2">
      <c r="A49" s="91" t="s">
        <v>4066</v>
      </c>
      <c r="D49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93">
    <pageSetUpPr fitToPage="1"/>
  </sheetPr>
  <dimension ref="A1:F52"/>
  <sheetViews>
    <sheetView workbookViewId="0">
      <selection activeCell="F34" sqref="F34"/>
    </sheetView>
  </sheetViews>
  <sheetFormatPr defaultRowHeight="12.75" x14ac:dyDescent="0.2"/>
  <cols>
    <col min="1" max="1" width="16" style="91" customWidth="1"/>
    <col min="2" max="2" width="13.42578125" style="91" customWidth="1"/>
    <col min="3" max="3" width="21" style="91" customWidth="1"/>
    <col min="4" max="4" width="16.42578125" style="91" customWidth="1"/>
    <col min="5" max="5" width="9" style="91" customWidth="1"/>
    <col min="6" max="6" width="13.28515625" style="91" customWidth="1"/>
    <col min="7" max="16384" width="9.140625" style="1"/>
  </cols>
  <sheetData>
    <row r="1" spans="1:6" ht="15" x14ac:dyDescent="0.25">
      <c r="A1" s="521" t="s">
        <v>34</v>
      </c>
      <c r="B1" s="521"/>
      <c r="C1" s="521"/>
      <c r="D1" s="521"/>
      <c r="E1" s="521"/>
      <c r="F1" s="521"/>
    </row>
    <row r="2" spans="1:6" x14ac:dyDescent="0.2">
      <c r="A2" s="522" t="s">
        <v>33</v>
      </c>
      <c r="B2" s="522"/>
      <c r="C2" s="522"/>
      <c r="D2" s="522"/>
      <c r="E2" s="522"/>
      <c r="F2" s="522"/>
    </row>
    <row r="3" spans="1:6" x14ac:dyDescent="0.2">
      <c r="A3" s="522" t="s">
        <v>1829</v>
      </c>
      <c r="B3" s="522"/>
      <c r="C3" s="522"/>
      <c r="D3" s="522"/>
      <c r="E3" s="522"/>
      <c r="F3" s="522"/>
    </row>
    <row r="4" spans="1:6" x14ac:dyDescent="0.2">
      <c r="A4" s="522" t="s">
        <v>1828</v>
      </c>
      <c r="B4" s="522"/>
      <c r="C4" s="522"/>
      <c r="D4" s="522"/>
      <c r="E4" s="522"/>
      <c r="F4" s="522"/>
    </row>
    <row r="8" spans="1:6" x14ac:dyDescent="0.2">
      <c r="A8" s="91" t="s">
        <v>32</v>
      </c>
      <c r="D8" s="22" t="s">
        <v>31</v>
      </c>
    </row>
    <row r="9" spans="1:6" x14ac:dyDescent="0.2">
      <c r="A9" s="91" t="s">
        <v>2152</v>
      </c>
      <c r="D9" s="92" t="s">
        <v>1317</v>
      </c>
      <c r="E9" s="91" t="s">
        <v>3276</v>
      </c>
    </row>
    <row r="10" spans="1:6" x14ac:dyDescent="0.2">
      <c r="A10" s="91" t="s">
        <v>3176</v>
      </c>
      <c r="D10" s="92" t="s">
        <v>1329</v>
      </c>
      <c r="E10" s="98" t="s">
        <v>3275</v>
      </c>
    </row>
    <row r="11" spans="1:6" x14ac:dyDescent="0.2">
      <c r="A11" s="91" t="s">
        <v>2153</v>
      </c>
      <c r="D11" s="92" t="s">
        <v>1330</v>
      </c>
      <c r="E11" s="92" t="s">
        <v>1220</v>
      </c>
    </row>
    <row r="12" spans="1:6" x14ac:dyDescent="0.2">
      <c r="A12" s="91" t="s">
        <v>2154</v>
      </c>
      <c r="D12" s="92" t="s">
        <v>1331</v>
      </c>
      <c r="E12" s="94" t="s">
        <v>3277</v>
      </c>
    </row>
    <row r="13" spans="1:6" x14ac:dyDescent="0.2">
      <c r="A13" s="91" t="s">
        <v>3055</v>
      </c>
    </row>
    <row r="14" spans="1:6" x14ac:dyDescent="0.2">
      <c r="A14" s="91" t="s">
        <v>3056</v>
      </c>
    </row>
    <row r="16" spans="1:6" s="14" customFormat="1" ht="20.100000000000001" customHeight="1" x14ac:dyDescent="0.2">
      <c r="A16" s="17" t="s">
        <v>1247</v>
      </c>
      <c r="B16" s="31" t="s">
        <v>128</v>
      </c>
      <c r="C16" s="18" t="s">
        <v>19</v>
      </c>
      <c r="D16" s="17"/>
      <c r="E16" s="16"/>
      <c r="F16" s="15" t="s">
        <v>18</v>
      </c>
    </row>
    <row r="17" spans="1:6" x14ac:dyDescent="0.2">
      <c r="A17" s="106"/>
    </row>
    <row r="18" spans="1:6" x14ac:dyDescent="0.2">
      <c r="A18" s="93"/>
      <c r="B18" s="93"/>
      <c r="C18" s="2" t="s">
        <v>3057</v>
      </c>
    </row>
    <row r="19" spans="1:6" x14ac:dyDescent="0.2">
      <c r="C19" s="2"/>
    </row>
    <row r="20" spans="1:6" x14ac:dyDescent="0.2">
      <c r="A20" s="93" t="s">
        <v>3215</v>
      </c>
      <c r="B20" s="99" t="s">
        <v>3278</v>
      </c>
      <c r="C20" s="91" t="s">
        <v>3279</v>
      </c>
      <c r="F20" s="91">
        <v>230</v>
      </c>
    </row>
    <row r="21" spans="1:6" x14ac:dyDescent="0.2">
      <c r="A21" s="93"/>
      <c r="B21" s="99"/>
      <c r="C21" s="91" t="s">
        <v>3280</v>
      </c>
      <c r="F21" s="91">
        <f>85.34+8.53+5.12+0.01</f>
        <v>99.000000000000014</v>
      </c>
    </row>
    <row r="22" spans="1:6" x14ac:dyDescent="0.2">
      <c r="A22" s="93"/>
      <c r="B22" s="99"/>
    </row>
    <row r="23" spans="1:6" x14ac:dyDescent="0.2">
      <c r="A23" s="93"/>
      <c r="B23" s="99"/>
    </row>
    <row r="24" spans="1:6" x14ac:dyDescent="0.2">
      <c r="A24" s="93"/>
      <c r="B24" s="99"/>
    </row>
    <row r="25" spans="1:6" x14ac:dyDescent="0.2">
      <c r="A25" s="137"/>
      <c r="B25" s="99"/>
    </row>
    <row r="26" spans="1:6" x14ac:dyDescent="0.2">
      <c r="A26" s="137"/>
      <c r="B26" s="99"/>
    </row>
    <row r="27" spans="1:6" x14ac:dyDescent="0.2">
      <c r="A27" s="137"/>
      <c r="B27" s="99"/>
    </row>
    <row r="28" spans="1:6" x14ac:dyDescent="0.2">
      <c r="A28" s="137"/>
      <c r="B28" s="93"/>
    </row>
    <row r="29" spans="1:6" x14ac:dyDescent="0.2">
      <c r="A29" s="137"/>
      <c r="B29" s="93"/>
    </row>
    <row r="30" spans="1:6" x14ac:dyDescent="0.2">
      <c r="A30" s="137"/>
      <c r="B30" s="93"/>
    </row>
    <row r="31" spans="1:6" x14ac:dyDescent="0.2">
      <c r="A31" s="1"/>
      <c r="B31" s="1"/>
      <c r="C31" s="1"/>
      <c r="D31" s="1"/>
      <c r="E31" s="1"/>
      <c r="F31" s="1"/>
    </row>
    <row r="32" spans="1:6" ht="13.5" thickBot="1" x14ac:dyDescent="0.25">
      <c r="A32" s="106"/>
      <c r="F32" s="107">
        <f>SUM(F18:F31)</f>
        <v>329</v>
      </c>
    </row>
    <row r="33" spans="1:6" ht="13.5" thickTop="1" x14ac:dyDescent="0.2">
      <c r="A33" s="106"/>
    </row>
    <row r="34" spans="1:6" ht="13.5" thickBot="1" x14ac:dyDescent="0.25">
      <c r="A34" s="106"/>
      <c r="F34" s="107"/>
    </row>
    <row r="35" spans="1:6" ht="20.100000000000001" customHeight="1" thickTop="1" x14ac:dyDescent="0.2">
      <c r="A35" s="96" t="s">
        <v>1248</v>
      </c>
      <c r="B35" s="185" t="s">
        <v>3281</v>
      </c>
      <c r="C35" s="97"/>
      <c r="D35" s="97"/>
      <c r="E35" s="97"/>
      <c r="F35" s="97"/>
    </row>
    <row r="36" spans="1:6" ht="25.5" x14ac:dyDescent="0.2">
      <c r="A36" s="94"/>
      <c r="D36" s="218" t="s">
        <v>3975</v>
      </c>
      <c r="E36" s="219"/>
      <c r="F36" s="220"/>
    </row>
    <row r="37" spans="1:6" x14ac:dyDescent="0.2">
      <c r="A37" s="91" t="s">
        <v>10</v>
      </c>
    </row>
    <row r="39" spans="1:6" x14ac:dyDescent="0.2">
      <c r="D39" s="227"/>
      <c r="E39" s="227"/>
      <c r="F39" s="227"/>
    </row>
    <row r="40" spans="1:6" x14ac:dyDescent="0.2">
      <c r="A40" s="91" t="s">
        <v>120</v>
      </c>
      <c r="C40" s="99"/>
      <c r="D40" s="228"/>
      <c r="E40" s="229"/>
      <c r="F40" s="229"/>
    </row>
    <row r="41" spans="1:6" x14ac:dyDescent="0.2">
      <c r="A41" s="1"/>
    </row>
    <row r="43" spans="1:6" x14ac:dyDescent="0.2">
      <c r="A43" s="91" t="s">
        <v>8</v>
      </c>
      <c r="D43" s="98" t="s">
        <v>7</v>
      </c>
      <c r="F43" s="102"/>
    </row>
    <row r="47" spans="1:6" x14ac:dyDescent="0.2">
      <c r="A47" s="101" t="s">
        <v>3972</v>
      </c>
      <c r="B47" s="101"/>
      <c r="D47" s="101"/>
      <c r="E47" s="101"/>
      <c r="F47" s="101"/>
    </row>
    <row r="48" spans="1:6" s="3" customFormat="1" ht="17.100000000000001" customHeight="1" x14ac:dyDescent="0.2">
      <c r="A48" s="61" t="s">
        <v>35</v>
      </c>
      <c r="B48" s="104"/>
      <c r="C48" s="61"/>
      <c r="D48" s="61" t="s">
        <v>3</v>
      </c>
      <c r="E48" s="61"/>
      <c r="F48" s="61"/>
    </row>
    <row r="49" spans="1:4" x14ac:dyDescent="0.2">
      <c r="A49" s="91" t="s">
        <v>4066</v>
      </c>
      <c r="D49" s="91" t="s">
        <v>2</v>
      </c>
    </row>
    <row r="51" spans="1:4" x14ac:dyDescent="0.2">
      <c r="D51" s="2" t="s">
        <v>1</v>
      </c>
    </row>
    <row r="52" spans="1:4" x14ac:dyDescent="0.2">
      <c r="D52" s="2" t="s">
        <v>0</v>
      </c>
    </row>
  </sheetData>
  <customSheetViews>
    <customSheetView guid="{6428A7A0-B31B-40C1-A13E-AD0DCC619E51}" fitToPage="1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94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E1C3-8905-405F-9573-6625C9C715B2}">
  <sheetPr codeName="Sheet652"/>
  <dimension ref="A1:H56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6.140625" style="152" customWidth="1"/>
    <col min="2" max="2" width="13.42578125" style="152" customWidth="1"/>
    <col min="3" max="3" width="1.140625" style="152" customWidth="1"/>
    <col min="4" max="4" width="23" style="152" customWidth="1"/>
    <col min="5" max="5" width="2" style="152" customWidth="1"/>
    <col min="6" max="6" width="13.85546875" style="152" customWidth="1"/>
    <col min="7" max="7" width="9" style="152" customWidth="1"/>
    <col min="8" max="8" width="12.85546875" style="152" customWidth="1"/>
    <col min="9" max="16384" width="9.140625" style="152"/>
  </cols>
  <sheetData>
    <row r="1" spans="1:8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8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8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8" x14ac:dyDescent="0.2">
      <c r="A4" s="524" t="s">
        <v>2113</v>
      </c>
      <c r="B4" s="524"/>
      <c r="C4" s="524"/>
      <c r="D4" s="524"/>
      <c r="E4" s="524"/>
      <c r="F4" s="524"/>
      <c r="G4" s="524"/>
      <c r="H4" s="524"/>
    </row>
    <row r="8" spans="1:8" x14ac:dyDescent="0.2">
      <c r="A8" s="153" t="s">
        <v>32</v>
      </c>
      <c r="B8" s="153"/>
      <c r="C8" s="153"/>
      <c r="D8" s="153"/>
      <c r="E8" s="153"/>
      <c r="F8" s="154" t="s">
        <v>31</v>
      </c>
      <c r="G8" s="153"/>
      <c r="H8" s="153"/>
    </row>
    <row r="9" spans="1:8" x14ac:dyDescent="0.2">
      <c r="A9" s="153" t="s">
        <v>5520</v>
      </c>
      <c r="B9" s="153"/>
      <c r="C9" s="153"/>
      <c r="D9" s="153"/>
      <c r="E9" s="153"/>
      <c r="F9" s="155" t="s">
        <v>1517</v>
      </c>
      <c r="G9" s="153" t="s">
        <v>6512</v>
      </c>
      <c r="H9" s="153"/>
    </row>
    <row r="10" spans="1:8" x14ac:dyDescent="0.2">
      <c r="A10" s="153" t="s">
        <v>5521</v>
      </c>
      <c r="B10" s="153"/>
      <c r="C10" s="153"/>
      <c r="D10" s="153"/>
      <c r="E10" s="153"/>
      <c r="F10" s="155" t="s">
        <v>1357</v>
      </c>
      <c r="G10" s="155" t="s">
        <v>6513</v>
      </c>
      <c r="H10" s="153"/>
    </row>
    <row r="11" spans="1:8" x14ac:dyDescent="0.2">
      <c r="A11" s="153" t="s">
        <v>6514</v>
      </c>
      <c r="B11" s="153"/>
      <c r="C11" s="153"/>
      <c r="D11" s="153"/>
      <c r="E11" s="153"/>
      <c r="F11" s="155" t="s">
        <v>1330</v>
      </c>
      <c r="G11" s="155" t="s">
        <v>2625</v>
      </c>
      <c r="H11" s="153"/>
    </row>
    <row r="12" spans="1:8" x14ac:dyDescent="0.2">
      <c r="A12" s="153" t="s">
        <v>6515</v>
      </c>
      <c r="B12" s="153"/>
      <c r="C12" s="153"/>
      <c r="D12" s="153"/>
      <c r="E12" s="153"/>
      <c r="F12" s="155" t="s">
        <v>1377</v>
      </c>
      <c r="G12" s="155" t="s">
        <v>770</v>
      </c>
      <c r="H12" s="153"/>
    </row>
    <row r="13" spans="1:8" x14ac:dyDescent="0.2">
      <c r="A13" s="153"/>
      <c r="B13" s="153"/>
      <c r="C13" s="153"/>
      <c r="D13" s="153"/>
      <c r="E13" s="153"/>
      <c r="F13" s="153"/>
      <c r="G13" s="153"/>
      <c r="H13" s="153"/>
    </row>
    <row r="14" spans="1:8" x14ac:dyDescent="0.2">
      <c r="A14" s="153"/>
      <c r="B14" s="153"/>
      <c r="C14" s="153"/>
      <c r="D14" s="153"/>
      <c r="E14" s="153"/>
      <c r="F14" s="153"/>
      <c r="G14" s="153"/>
      <c r="H14" s="153"/>
    </row>
    <row r="15" spans="1:8" x14ac:dyDescent="0.2">
      <c r="A15" s="153"/>
      <c r="B15" s="153"/>
      <c r="C15" s="153"/>
      <c r="D15" s="153"/>
      <c r="E15" s="153"/>
      <c r="F15" s="153"/>
      <c r="G15" s="153"/>
      <c r="H15" s="153"/>
    </row>
    <row r="16" spans="1:8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</row>
    <row r="17" spans="1:8" x14ac:dyDescent="0.2">
      <c r="A17" s="153"/>
      <c r="B17" s="153"/>
      <c r="C17" s="153"/>
      <c r="D17" s="153"/>
      <c r="E17" s="153"/>
      <c r="F17" s="153"/>
      <c r="G17" s="153"/>
      <c r="H17" s="153"/>
    </row>
    <row r="18" spans="1:8" x14ac:dyDescent="0.2">
      <c r="A18" s="179"/>
      <c r="B18" s="153"/>
      <c r="C18" s="153"/>
      <c r="D18" s="163" t="s">
        <v>6516</v>
      </c>
      <c r="E18" s="163"/>
      <c r="F18" s="153"/>
      <c r="G18" s="153"/>
      <c r="H18" s="153"/>
    </row>
    <row r="19" spans="1:8" x14ac:dyDescent="0.2">
      <c r="A19" s="153"/>
      <c r="B19" s="153"/>
      <c r="C19" s="153"/>
      <c r="D19" s="163"/>
      <c r="E19" s="163"/>
      <c r="F19" s="153"/>
      <c r="G19" s="153"/>
      <c r="H19" s="153"/>
    </row>
    <row r="20" spans="1:8" x14ac:dyDescent="0.2">
      <c r="A20" s="187"/>
      <c r="B20" s="153"/>
      <c r="C20" s="153"/>
      <c r="D20" s="169" t="s">
        <v>6517</v>
      </c>
      <c r="E20" s="169"/>
      <c r="F20" s="153"/>
      <c r="G20" s="153"/>
      <c r="H20" s="153">
        <f>16130*3.9313</f>
        <v>63411.868999999999</v>
      </c>
    </row>
    <row r="21" spans="1:8" x14ac:dyDescent="0.2">
      <c r="A21" s="199"/>
      <c r="B21" s="153"/>
      <c r="C21" s="153"/>
      <c r="D21" s="153" t="s">
        <v>6518</v>
      </c>
      <c r="E21" s="153"/>
      <c r="H21" s="153"/>
    </row>
    <row r="22" spans="1:8" x14ac:dyDescent="0.2">
      <c r="A22" s="179"/>
      <c r="B22" s="267"/>
      <c r="C22" s="267"/>
      <c r="D22" s="153"/>
      <c r="E22" s="153"/>
      <c r="F22" s="153"/>
      <c r="G22" s="153"/>
      <c r="H22" s="153"/>
    </row>
    <row r="23" spans="1:8" x14ac:dyDescent="0.2">
      <c r="D23" s="153" t="s">
        <v>52</v>
      </c>
      <c r="E23" s="153"/>
      <c r="H23" s="153">
        <v>30</v>
      </c>
    </row>
    <row r="24" spans="1:8" x14ac:dyDescent="0.2">
      <c r="A24" s="198"/>
      <c r="B24" s="153"/>
      <c r="C24" s="153"/>
    </row>
    <row r="25" spans="1:8" x14ac:dyDescent="0.2">
      <c r="A25" s="199"/>
      <c r="B25" s="153"/>
      <c r="C25" s="153"/>
      <c r="D25" s="153" t="s">
        <v>4596</v>
      </c>
      <c r="E25" s="153"/>
      <c r="H25" s="153">
        <f>H23*6%</f>
        <v>1.7999999999999998</v>
      </c>
    </row>
    <row r="26" spans="1:8" x14ac:dyDescent="0.2">
      <c r="A26" s="179"/>
    </row>
    <row r="27" spans="1:8" x14ac:dyDescent="0.2">
      <c r="B27" s="153"/>
      <c r="C27" s="153"/>
      <c r="D27" s="153"/>
      <c r="E27" s="153"/>
      <c r="H27" s="153"/>
    </row>
    <row r="28" spans="1:8" x14ac:dyDescent="0.2">
      <c r="A28" s="198"/>
      <c r="B28" s="153"/>
      <c r="C28" s="153"/>
      <c r="D28" s="163"/>
      <c r="E28" s="163"/>
      <c r="H28" s="153"/>
    </row>
    <row r="29" spans="1:8" x14ac:dyDescent="0.2">
      <c r="A29" s="199"/>
      <c r="B29" s="153"/>
      <c r="C29" s="153"/>
      <c r="D29" s="153"/>
      <c r="E29" s="153"/>
      <c r="H29" s="153"/>
    </row>
    <row r="30" spans="1:8" x14ac:dyDescent="0.2">
      <c r="A30" s="198"/>
      <c r="B30" s="153"/>
      <c r="C30" s="153"/>
      <c r="D30" s="153"/>
      <c r="E30" s="153"/>
      <c r="H30" s="153"/>
    </row>
    <row r="31" spans="1:8" x14ac:dyDescent="0.2">
      <c r="A31" s="199"/>
      <c r="B31" s="153"/>
      <c r="C31" s="153"/>
      <c r="D31" s="163"/>
      <c r="E31" s="163"/>
      <c r="H31" s="153"/>
    </row>
    <row r="32" spans="1:8" x14ac:dyDescent="0.2">
      <c r="A32" s="179"/>
      <c r="B32" s="153"/>
      <c r="C32" s="153"/>
      <c r="D32" s="153"/>
      <c r="E32" s="153"/>
      <c r="H32" s="153"/>
    </row>
    <row r="33" spans="1:8" x14ac:dyDescent="0.2">
      <c r="A33" s="199"/>
      <c r="B33" s="153"/>
      <c r="C33" s="153"/>
      <c r="D33" s="153"/>
      <c r="E33" s="153"/>
      <c r="H33" s="153"/>
    </row>
    <row r="34" spans="1:8" x14ac:dyDescent="0.2">
      <c r="A34" s="179"/>
      <c r="B34" s="153"/>
      <c r="C34" s="153"/>
      <c r="D34" s="153"/>
      <c r="E34" s="153"/>
      <c r="H34" s="153"/>
    </row>
    <row r="35" spans="1:8" ht="13.5" thickBot="1" x14ac:dyDescent="0.25">
      <c r="A35" s="153"/>
      <c r="B35" s="153"/>
      <c r="C35" s="153"/>
      <c r="D35" s="153"/>
      <c r="E35" s="153"/>
      <c r="F35" s="153"/>
      <c r="G35" s="153"/>
      <c r="H35" s="182">
        <f>SUM(H19:H34)</f>
        <v>63443.669000000002</v>
      </c>
    </row>
    <row r="36" spans="1:8" ht="13.5" thickTop="1" x14ac:dyDescent="0.2">
      <c r="A36" s="156"/>
      <c r="B36" s="153"/>
      <c r="C36" s="153"/>
      <c r="D36" s="153"/>
      <c r="E36" s="153"/>
    </row>
    <row r="37" spans="1:8" ht="20.100000000000001" customHeight="1" x14ac:dyDescent="0.2">
      <c r="A37" s="171" t="s">
        <v>122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Sixty-Three Thousand Four Hundred Forty-Three and 67/100 -----------</v>
      </c>
      <c r="C37" s="213"/>
      <c r="D37" s="172"/>
      <c r="E37" s="172"/>
      <c r="F37" s="172"/>
      <c r="G37" s="172"/>
      <c r="H37" s="172"/>
    </row>
    <row r="38" spans="1:8" x14ac:dyDescent="0.2">
      <c r="A38" s="169" t="s">
        <v>11</v>
      </c>
      <c r="B38" s="153"/>
      <c r="C38" s="153"/>
      <c r="D38" s="153"/>
      <c r="E38" s="153"/>
      <c r="F38" s="153"/>
      <c r="G38" s="153"/>
      <c r="H38" s="153"/>
    </row>
    <row r="39" spans="1:8" ht="25.5" x14ac:dyDescent="0.2">
      <c r="A39" s="156" t="s">
        <v>10</v>
      </c>
      <c r="B39" s="153"/>
      <c r="C39" s="153"/>
      <c r="D39" s="153"/>
      <c r="E39" s="153"/>
      <c r="F39" s="242" t="s">
        <v>3975</v>
      </c>
      <c r="G39" s="243"/>
      <c r="H39" s="244"/>
    </row>
    <row r="40" spans="1:8" x14ac:dyDescent="0.2">
      <c r="A40" s="153"/>
      <c r="B40" s="153"/>
      <c r="C40" s="153"/>
      <c r="D40" s="153"/>
      <c r="E40" s="153"/>
      <c r="F40" s="153"/>
      <c r="G40" s="153"/>
      <c r="H40" s="153"/>
    </row>
    <row r="41" spans="1:8" x14ac:dyDescent="0.2">
      <c r="A41" s="225"/>
      <c r="B41" s="153"/>
      <c r="C41" s="153"/>
      <c r="D41" s="153"/>
      <c r="E41" s="153"/>
      <c r="F41" s="153"/>
      <c r="G41" s="153"/>
      <c r="H41" s="153"/>
    </row>
    <row r="42" spans="1:8" x14ac:dyDescent="0.2">
      <c r="A42" s="153"/>
      <c r="B42" s="153"/>
      <c r="C42" s="153"/>
      <c r="D42" s="173"/>
      <c r="E42" s="173"/>
      <c r="F42" s="153"/>
      <c r="G42" s="153"/>
      <c r="H42" s="153"/>
    </row>
    <row r="43" spans="1:8" x14ac:dyDescent="0.2">
      <c r="A43" s="174"/>
      <c r="B43" s="174"/>
      <c r="C43" s="153"/>
      <c r="D43" s="153"/>
      <c r="E43" s="153"/>
      <c r="F43" s="153"/>
      <c r="G43" s="153"/>
      <c r="H43" s="153"/>
    </row>
    <row r="44" spans="1:8" x14ac:dyDescent="0.2">
      <c r="B44" s="153"/>
      <c r="C44" s="153"/>
      <c r="D44" s="153"/>
      <c r="E44" s="153"/>
      <c r="F44" s="153"/>
      <c r="G44" s="153"/>
      <c r="H44" s="153"/>
    </row>
    <row r="45" spans="1:8" x14ac:dyDescent="0.2">
      <c r="A45" s="175" t="s">
        <v>8</v>
      </c>
      <c r="D45" s="175" t="s">
        <v>8</v>
      </c>
      <c r="E45" s="153"/>
      <c r="F45" s="175" t="s">
        <v>7</v>
      </c>
      <c r="G45" s="153"/>
      <c r="H45" s="176"/>
    </row>
    <row r="46" spans="1:8" x14ac:dyDescent="0.2">
      <c r="A46" s="153"/>
      <c r="B46" s="153"/>
      <c r="C46" s="153"/>
      <c r="D46" s="153"/>
      <c r="E46" s="153"/>
      <c r="F46" s="153"/>
      <c r="G46" s="153"/>
      <c r="H46" s="153"/>
    </row>
    <row r="47" spans="1:8" x14ac:dyDescent="0.2">
      <c r="A47" s="153"/>
      <c r="B47" s="153"/>
      <c r="C47" s="153"/>
      <c r="D47" s="153"/>
      <c r="E47" s="153"/>
      <c r="F47" s="153"/>
      <c r="G47" s="153"/>
      <c r="H47" s="153"/>
    </row>
    <row r="48" spans="1:8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x14ac:dyDescent="0.2">
      <c r="A49" s="174"/>
      <c r="B49" s="174"/>
      <c r="C49" s="153"/>
      <c r="D49" s="174"/>
      <c r="E49" s="153"/>
      <c r="F49" s="174"/>
      <c r="G49" s="174"/>
      <c r="H49" s="174"/>
    </row>
    <row r="50" spans="1:8" s="178" customFormat="1" ht="17.100000000000001" customHeight="1" x14ac:dyDescent="0.2">
      <c r="A50" s="225" t="s">
        <v>4066</v>
      </c>
      <c r="B50" s="177"/>
      <c r="C50" s="177"/>
      <c r="D50" s="225" t="s">
        <v>50</v>
      </c>
      <c r="E50" s="156"/>
      <c r="F50" s="156" t="s">
        <v>3</v>
      </c>
      <c r="G50" s="156"/>
      <c r="H50" s="156"/>
    </row>
    <row r="51" spans="1:8" x14ac:dyDescent="0.2">
      <c r="A51" s="153"/>
      <c r="B51" s="153"/>
      <c r="C51" s="153"/>
      <c r="D51" s="153"/>
      <c r="E51" s="153"/>
      <c r="F51" s="153" t="s">
        <v>2</v>
      </c>
      <c r="G51" s="153"/>
      <c r="H51" s="153"/>
    </row>
    <row r="52" spans="1:8" x14ac:dyDescent="0.2">
      <c r="A52" s="153"/>
      <c r="B52" s="153"/>
      <c r="C52" s="153"/>
      <c r="D52" s="153"/>
      <c r="E52" s="153"/>
      <c r="F52" s="153"/>
      <c r="G52" s="153"/>
      <c r="H52" s="153"/>
    </row>
    <row r="53" spans="1:8" x14ac:dyDescent="0.2">
      <c r="A53" s="153"/>
      <c r="B53" s="153"/>
      <c r="C53" s="153"/>
      <c r="D53" s="153"/>
      <c r="E53" s="153"/>
      <c r="F53" s="163" t="s">
        <v>1</v>
      </c>
      <c r="G53" s="153"/>
      <c r="H53" s="153"/>
    </row>
    <row r="54" spans="1:8" x14ac:dyDescent="0.2">
      <c r="A54" s="153"/>
      <c r="B54" s="153"/>
      <c r="C54" s="153"/>
      <c r="D54" s="153"/>
      <c r="E54" s="153"/>
      <c r="F54" s="163" t="s">
        <v>0</v>
      </c>
      <c r="G54" s="153"/>
      <c r="H54" s="153"/>
    </row>
    <row r="55" spans="1:8" x14ac:dyDescent="0.2">
      <c r="A55" s="153"/>
      <c r="B55" s="153"/>
      <c r="C55" s="153"/>
      <c r="D55" s="153"/>
      <c r="E55" s="153"/>
      <c r="F55" s="153"/>
      <c r="G55" s="153"/>
      <c r="H55" s="153"/>
    </row>
    <row r="56" spans="1:8" x14ac:dyDescent="0.2">
      <c r="A56" s="153"/>
      <c r="B56" s="153"/>
      <c r="C56" s="153"/>
      <c r="D56" s="153"/>
      <c r="E56" s="153"/>
      <c r="F56" s="153"/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97A0-D09D-4349-BA3A-4BB8F35F4457}">
  <sheetPr codeName="Sheet779"/>
  <dimension ref="A1:O53"/>
  <sheetViews>
    <sheetView view="pageBreakPreview" zoomScaleNormal="100" zoomScaleSheetLayoutView="100" workbookViewId="0">
      <selection activeCell="G9" sqref="G9:G13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0.5703125" style="91" customWidth="1"/>
    <col min="4" max="4" width="19.5703125" style="91" customWidth="1"/>
    <col min="5" max="5" width="1.140625" style="91" customWidth="1"/>
    <col min="6" max="6" width="15" style="91" customWidth="1"/>
    <col min="7" max="7" width="8.7109375" style="91" customWidth="1"/>
    <col min="8" max="8" width="10.5703125" style="91" customWidth="1"/>
    <col min="9" max="16384" width="9.140625" style="1"/>
  </cols>
  <sheetData>
    <row r="1" spans="1:15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5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5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5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5" x14ac:dyDescent="0.2">
      <c r="A8" s="91" t="s">
        <v>32</v>
      </c>
      <c r="F8" s="22" t="s">
        <v>31</v>
      </c>
    </row>
    <row r="9" spans="1:15" x14ac:dyDescent="0.2">
      <c r="F9" s="92" t="s">
        <v>1334</v>
      </c>
      <c r="G9" s="91" t="s">
        <v>8567</v>
      </c>
      <c r="I9" s="61"/>
    </row>
    <row r="10" spans="1:15" x14ac:dyDescent="0.2">
      <c r="A10" s="91" t="s">
        <v>8569</v>
      </c>
      <c r="F10" s="92" t="s">
        <v>1335</v>
      </c>
      <c r="G10" s="92" t="s">
        <v>8559</v>
      </c>
      <c r="I10" s="113"/>
    </row>
    <row r="11" spans="1:15" x14ac:dyDescent="0.2">
      <c r="A11" s="91" t="s">
        <v>8570</v>
      </c>
      <c r="F11" s="92" t="s">
        <v>1333</v>
      </c>
      <c r="G11" s="92" t="s">
        <v>1220</v>
      </c>
      <c r="I11" s="113"/>
    </row>
    <row r="12" spans="1:15" x14ac:dyDescent="0.2">
      <c r="A12" s="91" t="s">
        <v>8571</v>
      </c>
      <c r="F12" s="92" t="s">
        <v>1331</v>
      </c>
      <c r="G12" s="92" t="s">
        <v>8568</v>
      </c>
      <c r="I12" s="113"/>
    </row>
    <row r="13" spans="1:15" x14ac:dyDescent="0.2">
      <c r="A13" s="91" t="s">
        <v>5541</v>
      </c>
      <c r="G13" s="91" t="s">
        <v>7931</v>
      </c>
    </row>
    <row r="16" spans="1:15" s="14" customFormat="1" ht="20.100000000000001" customHeight="1" x14ac:dyDescent="0.2">
      <c r="A16" s="17" t="s">
        <v>129</v>
      </c>
      <c r="B16" s="17" t="s">
        <v>1379</v>
      </c>
      <c r="C16" s="17"/>
      <c r="D16" s="18" t="s">
        <v>19</v>
      </c>
      <c r="E16" s="18"/>
      <c r="F16" s="17"/>
      <c r="G16" s="16"/>
      <c r="H16" s="15" t="s">
        <v>18</v>
      </c>
      <c r="J16" s="91"/>
      <c r="K16" s="91"/>
      <c r="L16" s="2" t="s">
        <v>5431</v>
      </c>
      <c r="M16" s="91"/>
      <c r="N16" s="91"/>
      <c r="O16" s="91"/>
    </row>
    <row r="17" spans="1:15" x14ac:dyDescent="0.2">
      <c r="J17" s="91"/>
      <c r="K17" s="91"/>
      <c r="L17" s="91"/>
      <c r="M17" s="91"/>
      <c r="N17" s="91"/>
      <c r="O17" s="91"/>
    </row>
    <row r="18" spans="1:15" x14ac:dyDescent="0.2">
      <c r="D18" s="2" t="s">
        <v>8572</v>
      </c>
      <c r="E18" s="2"/>
      <c r="I18" s="14"/>
      <c r="J18" s="93" t="s">
        <v>5432</v>
      </c>
      <c r="K18" s="111" t="s">
        <v>5433</v>
      </c>
      <c r="L18" s="91" t="s">
        <v>2312</v>
      </c>
      <c r="M18" s="91"/>
      <c r="N18" s="91"/>
      <c r="O18" s="91">
        <v>300</v>
      </c>
    </row>
    <row r="19" spans="1:15" x14ac:dyDescent="0.2">
      <c r="J19" s="91"/>
      <c r="K19" s="91"/>
      <c r="L19" s="91" t="s">
        <v>2313</v>
      </c>
      <c r="M19" s="91"/>
      <c r="N19" s="91"/>
      <c r="O19" s="110"/>
    </row>
    <row r="20" spans="1:15" x14ac:dyDescent="0.2">
      <c r="A20" s="93" t="s">
        <v>8531</v>
      </c>
      <c r="B20" s="111" t="s">
        <v>8573</v>
      </c>
      <c r="C20" s="111"/>
      <c r="D20" s="91" t="s">
        <v>8575</v>
      </c>
      <c r="H20" s="91">
        <v>1000</v>
      </c>
      <c r="J20" s="91"/>
      <c r="K20" s="91"/>
      <c r="L20" s="91" t="s">
        <v>4563</v>
      </c>
      <c r="M20" s="91"/>
      <c r="N20" s="91"/>
      <c r="O20" s="110">
        <v>20</v>
      </c>
    </row>
    <row r="21" spans="1:15" x14ac:dyDescent="0.2">
      <c r="D21" s="91" t="s">
        <v>8574</v>
      </c>
      <c r="H21" s="110">
        <v>600</v>
      </c>
      <c r="J21" s="111"/>
      <c r="K21" s="111"/>
      <c r="L21" s="91" t="s">
        <v>4564</v>
      </c>
      <c r="O21" s="110">
        <v>30</v>
      </c>
    </row>
    <row r="22" spans="1:15" x14ac:dyDescent="0.2">
      <c r="H22" s="110"/>
      <c r="J22" s="80"/>
      <c r="K22" s="80"/>
      <c r="L22" s="91" t="s">
        <v>2316</v>
      </c>
      <c r="M22" s="91"/>
      <c r="N22" s="91"/>
      <c r="O22" s="91">
        <v>40</v>
      </c>
    </row>
    <row r="23" spans="1:15" x14ac:dyDescent="0.2">
      <c r="A23" s="111"/>
      <c r="B23" s="111"/>
      <c r="C23" s="111"/>
      <c r="F23" s="1"/>
      <c r="G23" s="1"/>
      <c r="H23" s="110"/>
      <c r="J23" s="93"/>
      <c r="K23" s="111"/>
      <c r="L23" s="91"/>
      <c r="M23" s="91"/>
      <c r="N23" s="91"/>
      <c r="O23" s="91"/>
    </row>
    <row r="24" spans="1:15" x14ac:dyDescent="0.2">
      <c r="A24" s="80"/>
      <c r="B24" s="80"/>
      <c r="C24" s="80"/>
      <c r="J24" s="91"/>
      <c r="K24" s="91"/>
      <c r="L24" s="91"/>
      <c r="M24" s="91"/>
      <c r="N24" s="91"/>
      <c r="O24" s="91"/>
    </row>
    <row r="25" spans="1:15" x14ac:dyDescent="0.2">
      <c r="A25" s="80"/>
      <c r="B25" s="80"/>
      <c r="C25" s="80"/>
      <c r="J25" s="91"/>
      <c r="K25" s="91"/>
      <c r="L25" s="2" t="s">
        <v>5451</v>
      </c>
      <c r="M25" s="91"/>
      <c r="N25" s="91"/>
      <c r="O25" s="91"/>
    </row>
    <row r="26" spans="1:15" x14ac:dyDescent="0.2">
      <c r="A26" s="93"/>
      <c r="B26" s="111"/>
      <c r="C26" s="111"/>
      <c r="F26" s="1"/>
      <c r="J26" s="91"/>
      <c r="K26" s="91"/>
      <c r="L26" s="91"/>
      <c r="M26" s="91"/>
      <c r="N26" s="91"/>
      <c r="O26" s="91"/>
    </row>
    <row r="27" spans="1:15" x14ac:dyDescent="0.2">
      <c r="J27" s="93" t="s">
        <v>5452</v>
      </c>
      <c r="K27" s="111" t="s">
        <v>5453</v>
      </c>
      <c r="L27" s="91" t="s">
        <v>5454</v>
      </c>
      <c r="M27" s="91"/>
      <c r="N27" s="91"/>
      <c r="O27" s="91">
        <v>300</v>
      </c>
    </row>
    <row r="28" spans="1:15" x14ac:dyDescent="0.2">
      <c r="A28" s="93"/>
      <c r="B28" s="111"/>
      <c r="C28" s="111"/>
      <c r="J28" s="91"/>
      <c r="K28" s="91"/>
      <c r="L28" s="91" t="s">
        <v>5455</v>
      </c>
      <c r="M28" s="91"/>
      <c r="N28" s="91"/>
      <c r="O28" s="110"/>
    </row>
    <row r="29" spans="1:15" x14ac:dyDescent="0.2">
      <c r="J29" s="91"/>
      <c r="K29" s="91"/>
      <c r="L29" s="91"/>
      <c r="M29" s="91"/>
      <c r="N29" s="91"/>
      <c r="O29" s="110"/>
    </row>
    <row r="30" spans="1:15" x14ac:dyDescent="0.2">
      <c r="J30" s="111"/>
      <c r="K30" s="111"/>
      <c r="L30" s="91" t="s">
        <v>2313</v>
      </c>
      <c r="M30" s="91"/>
      <c r="O30" s="110"/>
    </row>
    <row r="31" spans="1:15" x14ac:dyDescent="0.2">
      <c r="J31" s="80"/>
      <c r="K31" s="80"/>
      <c r="L31" s="91" t="s">
        <v>4563</v>
      </c>
      <c r="M31" s="91"/>
      <c r="N31" s="91"/>
      <c r="O31" s="91">
        <v>30</v>
      </c>
    </row>
    <row r="32" spans="1:15" x14ac:dyDescent="0.2">
      <c r="J32" s="93"/>
      <c r="K32" s="111"/>
      <c r="L32" s="91" t="s">
        <v>4564</v>
      </c>
      <c r="N32" s="91"/>
      <c r="O32" s="91">
        <v>50</v>
      </c>
    </row>
    <row r="33" spans="1:15" x14ac:dyDescent="0.2">
      <c r="A33" s="93"/>
      <c r="B33" s="111"/>
      <c r="C33" s="111"/>
      <c r="J33" s="91"/>
      <c r="K33" s="91"/>
      <c r="L33" s="91" t="s">
        <v>2316</v>
      </c>
      <c r="M33" s="91"/>
      <c r="N33" s="91"/>
      <c r="O33" s="91">
        <v>30</v>
      </c>
    </row>
    <row r="34" spans="1:15" ht="13.5" thickBot="1" x14ac:dyDescent="0.25">
      <c r="H34" s="95">
        <f>SUM(H18:H33)</f>
        <v>1600</v>
      </c>
    </row>
    <row r="35" spans="1:15" ht="13.5" thickTop="1" x14ac:dyDescent="0.2"/>
    <row r="36" spans="1:15" ht="20.100000000000001" customHeight="1" x14ac:dyDescent="0.2">
      <c r="A36" s="96" t="s">
        <v>336</v>
      </c>
      <c r="B36" s="185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Six Hundred and NO/100 -----------</v>
      </c>
      <c r="C36" s="185"/>
      <c r="D36" s="97"/>
      <c r="E36" s="97"/>
      <c r="F36" s="97"/>
      <c r="G36" s="97"/>
      <c r="H36" s="97"/>
    </row>
    <row r="37" spans="1:15" x14ac:dyDescent="0.2">
      <c r="A37" s="94" t="s">
        <v>11</v>
      </c>
    </row>
    <row r="38" spans="1:15" ht="25.5" x14ac:dyDescent="0.2">
      <c r="A38" s="91" t="s">
        <v>10</v>
      </c>
      <c r="F38" s="218" t="s">
        <v>3975</v>
      </c>
      <c r="G38" s="219"/>
      <c r="H38" s="220"/>
    </row>
    <row r="41" spans="1:15" x14ac:dyDescent="0.2">
      <c r="F41" s="227"/>
      <c r="G41" s="227"/>
      <c r="H41" s="227"/>
    </row>
    <row r="42" spans="1:15" x14ac:dyDescent="0.2">
      <c r="A42" s="101"/>
      <c r="B42" s="101"/>
      <c r="C42" s="386"/>
      <c r="F42" s="228"/>
      <c r="G42" s="229"/>
      <c r="H42" s="229"/>
    </row>
    <row r="43" spans="1:15" x14ac:dyDescent="0.2">
      <c r="A43" s="1"/>
      <c r="F43" s="98" t="s">
        <v>7</v>
      </c>
      <c r="H43" s="102"/>
    </row>
    <row r="44" spans="1:15" x14ac:dyDescent="0.2">
      <c r="A44" s="98" t="s">
        <v>8</v>
      </c>
      <c r="D44" s="98" t="s">
        <v>8</v>
      </c>
      <c r="F44" s="98"/>
      <c r="H44" s="102"/>
    </row>
    <row r="48" spans="1:15" x14ac:dyDescent="0.2">
      <c r="A48" s="101" t="s">
        <v>120</v>
      </c>
      <c r="B48" s="101"/>
      <c r="C48" s="386"/>
      <c r="D48" s="101" t="s">
        <v>120</v>
      </c>
      <c r="F48" s="101"/>
      <c r="G48" s="101"/>
      <c r="H48" s="101"/>
    </row>
    <row r="49" spans="1:8" s="3" customFormat="1" ht="17.100000000000001" customHeight="1" x14ac:dyDescent="0.2">
      <c r="A49" s="103" t="s">
        <v>4066</v>
      </c>
      <c r="B49" s="104"/>
      <c r="C49" s="104"/>
      <c r="D49" s="103" t="s">
        <v>50</v>
      </c>
      <c r="E49" s="61"/>
      <c r="F49" s="61" t="s">
        <v>3</v>
      </c>
      <c r="G49" s="61"/>
      <c r="H49" s="61"/>
    </row>
    <row r="50" spans="1:8" x14ac:dyDescent="0.2">
      <c r="F50" s="91" t="s">
        <v>2</v>
      </c>
    </row>
    <row r="52" spans="1:8" x14ac:dyDescent="0.2">
      <c r="F52" s="2" t="s">
        <v>1</v>
      </c>
    </row>
    <row r="53" spans="1:8" x14ac:dyDescent="0.2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EDE7-9B07-443E-9A97-5999A9F34130}">
  <sheetPr codeName="Sheet747">
    <pageSetUpPr fitToPage="1"/>
  </sheetPr>
  <dimension ref="A1:P65"/>
  <sheetViews>
    <sheetView workbookViewId="0">
      <selection activeCell="D14" sqref="D14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9.42578125" style="1" bestFit="1" customWidth="1"/>
    <col min="12" max="16384" width="9.140625" style="1"/>
  </cols>
  <sheetData>
    <row r="1" spans="1:10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0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0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0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0" x14ac:dyDescent="0.2">
      <c r="A8" s="91" t="s">
        <v>32</v>
      </c>
      <c r="B8" s="91"/>
      <c r="C8" s="91"/>
      <c r="D8" s="91"/>
      <c r="E8" s="91"/>
      <c r="F8" s="22" t="s">
        <v>31</v>
      </c>
      <c r="G8" s="91"/>
      <c r="H8" s="91"/>
    </row>
    <row r="9" spans="1:10" x14ac:dyDescent="0.2">
      <c r="A9" s="91"/>
      <c r="B9" s="91"/>
      <c r="C9" s="91"/>
      <c r="D9" s="91"/>
      <c r="E9" s="91"/>
      <c r="F9" s="92" t="s">
        <v>30</v>
      </c>
      <c r="G9" s="91" t="s">
        <v>8018</v>
      </c>
      <c r="H9" s="91"/>
    </row>
    <row r="10" spans="1:10" x14ac:dyDescent="0.2">
      <c r="A10" s="91" t="s">
        <v>7967</v>
      </c>
      <c r="B10" s="91"/>
      <c r="C10" s="91"/>
      <c r="D10" s="91"/>
      <c r="E10" s="91"/>
      <c r="F10" s="92" t="s">
        <v>27</v>
      </c>
      <c r="G10" s="92" t="s">
        <v>7957</v>
      </c>
      <c r="H10" s="91"/>
      <c r="J10" s="20"/>
    </row>
    <row r="11" spans="1:10" x14ac:dyDescent="0.2">
      <c r="A11" s="91" t="s">
        <v>7968</v>
      </c>
      <c r="B11" s="91"/>
      <c r="C11" s="91"/>
      <c r="D11" s="91"/>
      <c r="E11" s="91"/>
      <c r="F11" s="92" t="s">
        <v>24</v>
      </c>
      <c r="G11" s="92" t="s">
        <v>1220</v>
      </c>
      <c r="H11" s="91"/>
      <c r="J11" s="81"/>
    </row>
    <row r="12" spans="1:10" x14ac:dyDescent="0.2">
      <c r="A12" s="91" t="s">
        <v>7969</v>
      </c>
      <c r="B12" s="91"/>
      <c r="C12" s="91"/>
      <c r="D12" s="91"/>
      <c r="E12" s="91"/>
      <c r="F12" s="92" t="s">
        <v>22</v>
      </c>
      <c r="G12" s="92" t="s">
        <v>770</v>
      </c>
      <c r="H12" s="91"/>
    </row>
    <row r="13" spans="1:10" x14ac:dyDescent="0.2">
      <c r="A13" s="91"/>
      <c r="B13" s="91"/>
      <c r="C13" s="91"/>
      <c r="D13" s="91"/>
      <c r="E13" s="91"/>
      <c r="F13" s="91"/>
      <c r="G13" s="91"/>
      <c r="H13" s="91"/>
    </row>
    <row r="14" spans="1:10" x14ac:dyDescent="0.2">
      <c r="A14" s="91"/>
      <c r="B14" s="91"/>
      <c r="C14" s="91"/>
      <c r="D14" s="91"/>
      <c r="E14" s="91"/>
      <c r="F14" s="91"/>
      <c r="G14" s="91"/>
      <c r="H14" s="91"/>
    </row>
    <row r="15" spans="1:10" x14ac:dyDescent="0.2">
      <c r="A15" s="91"/>
      <c r="B15" s="91"/>
      <c r="C15" s="91"/>
      <c r="D15" s="91"/>
      <c r="E15" s="91"/>
      <c r="F15" s="91"/>
      <c r="G15" s="91"/>
      <c r="H15" s="91"/>
    </row>
    <row r="16" spans="1:10" s="14" customFormat="1" ht="20.100000000000001" customHeight="1" x14ac:dyDescent="0.2">
      <c r="A16" s="17" t="s">
        <v>1247</v>
      </c>
      <c r="B16" s="461" t="s">
        <v>128</v>
      </c>
      <c r="C16" s="461"/>
      <c r="D16" s="18" t="s">
        <v>19</v>
      </c>
      <c r="E16" s="18"/>
      <c r="F16" s="17"/>
      <c r="G16" s="16"/>
      <c r="H16" s="15" t="s">
        <v>18</v>
      </c>
    </row>
    <row r="17" spans="1:16" x14ac:dyDescent="0.2">
      <c r="A17" s="91"/>
      <c r="B17" s="91"/>
      <c r="C17" s="91"/>
      <c r="D17" s="91"/>
      <c r="E17" s="91"/>
      <c r="F17" s="91"/>
      <c r="G17" s="91"/>
      <c r="H17" s="91"/>
    </row>
    <row r="18" spans="1:16" x14ac:dyDescent="0.2">
      <c r="A18" s="91"/>
      <c r="B18" s="91"/>
      <c r="C18" s="91"/>
      <c r="D18" s="2" t="s">
        <v>7970</v>
      </c>
      <c r="E18" s="2"/>
      <c r="F18" s="91"/>
      <c r="G18" s="91"/>
      <c r="H18" s="91"/>
      <c r="K18" s="247"/>
      <c r="L18" s="91"/>
      <c r="M18" s="91"/>
      <c r="N18" s="91"/>
      <c r="O18" s="91"/>
      <c r="P18" s="91"/>
    </row>
    <row r="19" spans="1:16" x14ac:dyDescent="0.2">
      <c r="A19" s="91"/>
      <c r="B19" s="261"/>
      <c r="C19" s="91"/>
      <c r="D19" s="2"/>
      <c r="E19" s="2"/>
      <c r="F19" s="91"/>
      <c r="G19" s="91"/>
      <c r="H19" s="91"/>
      <c r="L19" s="91"/>
      <c r="M19" s="91"/>
      <c r="N19" s="91"/>
      <c r="O19" s="91"/>
      <c r="P19" s="91"/>
    </row>
    <row r="20" spans="1:16" x14ac:dyDescent="0.2">
      <c r="A20" s="93" t="s">
        <v>8019</v>
      </c>
      <c r="B20" s="278" t="s">
        <v>7971</v>
      </c>
      <c r="C20" s="93"/>
      <c r="D20" s="91" t="s">
        <v>7972</v>
      </c>
      <c r="E20" s="91"/>
      <c r="F20" s="91"/>
      <c r="G20" s="91"/>
      <c r="H20" s="91">
        <f>752510*0.038518</f>
        <v>28985.180179999996</v>
      </c>
      <c r="L20" s="91"/>
      <c r="P20" s="91"/>
    </row>
    <row r="21" spans="1:16" x14ac:dyDescent="0.2">
      <c r="A21" s="91"/>
      <c r="B21" s="94"/>
      <c r="C21" s="94"/>
      <c r="D21" s="91" t="s">
        <v>7973</v>
      </c>
      <c r="E21" s="91"/>
      <c r="F21" s="91"/>
      <c r="G21" s="91"/>
      <c r="H21" s="91">
        <f>132000*0.038518</f>
        <v>5084.3759999999993</v>
      </c>
      <c r="L21" s="91"/>
      <c r="N21" s="91"/>
      <c r="O21" s="91"/>
      <c r="P21" s="91"/>
    </row>
    <row r="22" spans="1:16" x14ac:dyDescent="0.2">
      <c r="A22" s="93"/>
      <c r="B22" s="278"/>
      <c r="C22" s="93"/>
      <c r="D22" s="91"/>
      <c r="H22" s="91"/>
      <c r="L22" s="91"/>
      <c r="M22" s="91"/>
      <c r="N22" s="91"/>
      <c r="O22" s="91"/>
      <c r="P22" s="91"/>
    </row>
    <row r="23" spans="1:16" x14ac:dyDescent="0.2">
      <c r="A23" s="91"/>
      <c r="B23" s="94"/>
      <c r="C23" s="94"/>
      <c r="D23" s="91" t="s">
        <v>8020</v>
      </c>
      <c r="F23" s="91"/>
      <c r="G23" s="91"/>
      <c r="H23" s="91"/>
      <c r="L23" s="91"/>
      <c r="M23" s="91"/>
      <c r="N23" s="91"/>
      <c r="O23" s="91"/>
      <c r="P23" s="91"/>
    </row>
    <row r="24" spans="1:16" x14ac:dyDescent="0.2">
      <c r="A24" s="93"/>
      <c r="B24" s="278"/>
      <c r="C24" s="93"/>
      <c r="D24" s="91"/>
      <c r="E24" s="91"/>
      <c r="F24" s="91"/>
      <c r="G24" s="91"/>
      <c r="H24" s="91"/>
      <c r="L24" s="91"/>
      <c r="M24" s="91"/>
      <c r="P24" s="91"/>
    </row>
    <row r="25" spans="1:16" x14ac:dyDescent="0.2">
      <c r="A25" s="93"/>
      <c r="B25" s="261"/>
      <c r="C25" s="91"/>
      <c r="D25" s="91" t="s">
        <v>52</v>
      </c>
      <c r="E25" s="91"/>
      <c r="F25" s="91"/>
      <c r="G25" s="91"/>
      <c r="H25" s="91">
        <v>30</v>
      </c>
    </row>
    <row r="26" spans="1:16" x14ac:dyDescent="0.2">
      <c r="A26" s="91"/>
      <c r="B26" s="94"/>
      <c r="C26" s="94"/>
      <c r="D26" s="91"/>
      <c r="E26" s="91"/>
      <c r="H26" s="91"/>
      <c r="L26" s="91"/>
      <c r="M26" s="91"/>
      <c r="N26" s="91"/>
      <c r="O26" s="91"/>
      <c r="P26" s="91"/>
    </row>
    <row r="27" spans="1:16" x14ac:dyDescent="0.2">
      <c r="A27" s="91"/>
      <c r="B27" s="91"/>
      <c r="C27" s="91"/>
      <c r="D27" s="91"/>
    </row>
    <row r="28" spans="1:16" x14ac:dyDescent="0.2">
      <c r="A28" s="91"/>
      <c r="B28" s="91"/>
      <c r="C28" s="91"/>
      <c r="D28" s="91"/>
      <c r="E28" s="91"/>
      <c r="F28" s="467"/>
      <c r="G28" s="91"/>
      <c r="H28" s="91"/>
    </row>
    <row r="29" spans="1:16" x14ac:dyDescent="0.2">
      <c r="A29" s="91"/>
      <c r="B29" s="91"/>
      <c r="C29" s="91"/>
      <c r="D29" s="91"/>
      <c r="F29" s="91"/>
      <c r="G29" s="91"/>
      <c r="H29" s="91"/>
    </row>
    <row r="30" spans="1:16" x14ac:dyDescent="0.2">
      <c r="A30" s="91"/>
      <c r="B30" s="94"/>
      <c r="C30" s="94"/>
      <c r="D30" s="91"/>
      <c r="E30" s="143"/>
      <c r="F30" s="91"/>
      <c r="G30" s="91"/>
      <c r="H30" s="91"/>
    </row>
    <row r="31" spans="1:16" x14ac:dyDescent="0.2">
      <c r="A31" s="91"/>
      <c r="B31" s="91"/>
      <c r="C31" s="91"/>
    </row>
    <row r="32" spans="1:16" x14ac:dyDescent="0.2">
      <c r="A32" s="91"/>
      <c r="B32" s="91"/>
      <c r="C32" s="91"/>
      <c r="D32" s="91"/>
      <c r="E32" s="91"/>
      <c r="F32" s="91"/>
      <c r="G32" s="91"/>
      <c r="H32" s="91"/>
    </row>
    <row r="33" spans="1:8" x14ac:dyDescent="0.2">
      <c r="A33" s="91"/>
      <c r="B33" s="91"/>
      <c r="C33" s="91"/>
      <c r="D33" s="91"/>
      <c r="E33" s="91"/>
      <c r="F33" s="91"/>
      <c r="G33" s="91"/>
      <c r="H33" s="91"/>
    </row>
    <row r="34" spans="1:8" x14ac:dyDescent="0.2">
      <c r="A34" s="91"/>
      <c r="B34" s="91"/>
      <c r="C34" s="91"/>
      <c r="D34" s="91"/>
      <c r="E34" s="91"/>
      <c r="F34" s="91"/>
      <c r="G34" s="91"/>
      <c r="H34" s="91"/>
    </row>
    <row r="35" spans="1:8" ht="13.5" thickBot="1" x14ac:dyDescent="0.25">
      <c r="A35" s="91"/>
      <c r="B35" s="91"/>
      <c r="C35" s="91"/>
      <c r="D35" s="91"/>
      <c r="E35" s="91"/>
      <c r="F35" s="91"/>
      <c r="G35" s="91"/>
      <c r="H35" s="107">
        <f>SUM(H18:H33)</f>
        <v>34099.556179999992</v>
      </c>
    </row>
    <row r="36" spans="1:8" ht="13.5" thickTop="1" x14ac:dyDescent="0.2">
      <c r="A36" s="91"/>
      <c r="B36" s="91"/>
      <c r="C36" s="91"/>
      <c r="D36" s="91"/>
      <c r="E36" s="91"/>
    </row>
    <row r="37" spans="1:8" ht="20.100000000000001" customHeight="1" x14ac:dyDescent="0.2">
      <c r="A37" s="96" t="s">
        <v>336</v>
      </c>
      <c r="B37" s="213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Thirty-Four Thousand Ninety-Nine and 56/100 -----------</v>
      </c>
      <c r="C37" s="213"/>
      <c r="D37" s="97"/>
      <c r="E37" s="97"/>
      <c r="F37" s="97"/>
      <c r="G37" s="97"/>
      <c r="H37" s="97"/>
    </row>
    <row r="38" spans="1:8" ht="20.100000000000001" customHeight="1" x14ac:dyDescent="0.2">
      <c r="A38" s="113"/>
      <c r="B38" s="225"/>
      <c r="C38" s="225"/>
      <c r="D38" s="61"/>
      <c r="E38" s="61"/>
      <c r="F38" s="61"/>
      <c r="G38" s="61"/>
      <c r="H38" s="61"/>
    </row>
    <row r="39" spans="1:8" ht="25.5" x14ac:dyDescent="0.2">
      <c r="A39" s="94" t="s">
        <v>3973</v>
      </c>
      <c r="B39" s="91"/>
      <c r="C39" s="91"/>
      <c r="D39" s="98"/>
      <c r="E39" s="91"/>
      <c r="F39" s="218" t="s">
        <v>3975</v>
      </c>
      <c r="G39" s="219"/>
      <c r="H39" s="220"/>
    </row>
    <row r="40" spans="1:8" x14ac:dyDescent="0.2">
      <c r="A40" s="91"/>
      <c r="B40" s="91"/>
      <c r="C40" s="91"/>
      <c r="D40" s="91"/>
      <c r="E40" s="91"/>
      <c r="F40" s="228"/>
      <c r="G40" s="229"/>
      <c r="H40" s="229"/>
    </row>
    <row r="41" spans="1:8" x14ac:dyDescent="0.2">
      <c r="B41" s="91"/>
      <c r="C41" s="91"/>
      <c r="D41" s="91"/>
      <c r="E41" s="91"/>
      <c r="F41" s="91"/>
      <c r="G41" s="91"/>
      <c r="H41" s="91"/>
    </row>
    <row r="42" spans="1:8" x14ac:dyDescent="0.2">
      <c r="A42" s="91"/>
      <c r="B42" s="91"/>
      <c r="C42" s="91"/>
      <c r="D42" s="91"/>
      <c r="E42" s="91"/>
      <c r="F42" s="91"/>
      <c r="G42" s="91"/>
      <c r="H42" s="91"/>
    </row>
    <row r="43" spans="1:8" x14ac:dyDescent="0.2">
      <c r="A43" s="101"/>
      <c r="B43" s="101"/>
      <c r="C43" s="91"/>
      <c r="D43" s="91"/>
      <c r="E43" s="91"/>
      <c r="F43" s="91"/>
      <c r="G43" s="91"/>
      <c r="H43" s="91"/>
    </row>
    <row r="44" spans="1:8" x14ac:dyDescent="0.2">
      <c r="A44" s="91"/>
      <c r="B44" s="91"/>
      <c r="C44" s="91"/>
      <c r="D44" s="103"/>
      <c r="E44" s="91"/>
      <c r="F44" s="91"/>
      <c r="G44" s="91"/>
      <c r="H44" s="91"/>
    </row>
    <row r="45" spans="1:8" x14ac:dyDescent="0.2">
      <c r="A45" s="91"/>
      <c r="B45" s="91"/>
      <c r="C45" s="91"/>
      <c r="D45" s="103"/>
      <c r="E45" s="91"/>
      <c r="F45" s="91"/>
      <c r="G45" s="91"/>
      <c r="H45" s="91"/>
    </row>
    <row r="46" spans="1:8" x14ac:dyDescent="0.2">
      <c r="A46" s="98" t="s">
        <v>8</v>
      </c>
      <c r="B46" s="91"/>
      <c r="C46" s="91"/>
      <c r="D46" s="98" t="s">
        <v>8</v>
      </c>
      <c r="E46" s="91"/>
      <c r="F46" s="98" t="s">
        <v>7</v>
      </c>
      <c r="G46" s="91"/>
      <c r="H46" s="102"/>
    </row>
    <row r="47" spans="1:8" x14ac:dyDescent="0.2">
      <c r="A47" s="91"/>
      <c r="B47" s="91"/>
      <c r="C47" s="91"/>
      <c r="D47" s="91"/>
      <c r="E47" s="91"/>
      <c r="F47" s="91"/>
      <c r="G47" s="91"/>
      <c r="H47" s="91"/>
    </row>
    <row r="48" spans="1:8" x14ac:dyDescent="0.2">
      <c r="A48" s="91"/>
      <c r="B48" s="91"/>
      <c r="C48" s="91"/>
      <c r="D48" s="91"/>
      <c r="E48" s="91"/>
      <c r="F48" s="91"/>
      <c r="G48" s="91"/>
      <c r="H48" s="91"/>
    </row>
    <row r="49" spans="1:8" x14ac:dyDescent="0.2">
      <c r="A49" s="91"/>
      <c r="B49" s="91"/>
      <c r="C49" s="91"/>
      <c r="D49" s="91"/>
      <c r="E49" s="91"/>
      <c r="F49" s="91"/>
      <c r="G49" s="91"/>
      <c r="H49" s="91"/>
    </row>
    <row r="50" spans="1:8" x14ac:dyDescent="0.2">
      <c r="A50" s="101"/>
      <c r="B50" s="101"/>
      <c r="C50" s="91"/>
      <c r="D50" s="101"/>
      <c r="E50" s="91"/>
      <c r="F50" s="101"/>
      <c r="G50" s="101"/>
      <c r="H50" s="101"/>
    </row>
    <row r="51" spans="1:8" s="3" customFormat="1" ht="17.100000000000001" customHeight="1" x14ac:dyDescent="0.2">
      <c r="A51" s="103" t="s">
        <v>4066</v>
      </c>
      <c r="B51" s="104"/>
      <c r="C51" s="104"/>
      <c r="D51" s="103" t="s">
        <v>50</v>
      </c>
      <c r="E51" s="61"/>
      <c r="F51" s="61" t="s">
        <v>3</v>
      </c>
      <c r="G51" s="61"/>
      <c r="H51" s="61"/>
    </row>
    <row r="52" spans="1:8" x14ac:dyDescent="0.2">
      <c r="A52" s="91"/>
      <c r="B52" s="91"/>
      <c r="C52" s="91"/>
      <c r="D52" s="91"/>
      <c r="E52" s="91"/>
      <c r="F52" s="91" t="s">
        <v>2</v>
      </c>
      <c r="G52" s="91"/>
      <c r="H52" s="91"/>
    </row>
    <row r="53" spans="1:8" x14ac:dyDescent="0.2">
      <c r="A53" s="91"/>
      <c r="B53" s="91"/>
      <c r="C53" s="91"/>
      <c r="D53" s="91"/>
      <c r="E53" s="91"/>
      <c r="F53" s="91"/>
      <c r="G53" s="91"/>
      <c r="H53" s="91"/>
    </row>
    <row r="54" spans="1:8" x14ac:dyDescent="0.2">
      <c r="A54" s="91"/>
      <c r="B54" s="91"/>
      <c r="C54" s="91"/>
      <c r="D54" s="91"/>
      <c r="E54" s="91"/>
      <c r="F54" s="2" t="s">
        <v>1</v>
      </c>
      <c r="G54" s="91"/>
      <c r="H54" s="91"/>
    </row>
    <row r="55" spans="1:8" x14ac:dyDescent="0.2">
      <c r="A55" s="91"/>
      <c r="B55" s="91"/>
      <c r="C55" s="91"/>
      <c r="D55" s="91"/>
      <c r="E55" s="91"/>
      <c r="F55" s="2" t="s">
        <v>0</v>
      </c>
      <c r="G55" s="91"/>
      <c r="H55" s="91"/>
    </row>
    <row r="56" spans="1:8" x14ac:dyDescent="0.2">
      <c r="A56" s="91"/>
      <c r="B56" s="91"/>
      <c r="C56" s="91"/>
      <c r="D56" s="91"/>
      <c r="E56" s="91"/>
      <c r="F56" s="91"/>
      <c r="G56" s="91"/>
      <c r="H56" s="91"/>
    </row>
    <row r="57" spans="1:8" x14ac:dyDescent="0.2">
      <c r="A57" s="91"/>
      <c r="B57" s="91"/>
      <c r="C57" s="91"/>
      <c r="D57" s="91"/>
      <c r="E57" s="91"/>
      <c r="F57" s="91"/>
      <c r="G57" s="91"/>
      <c r="H57" s="91"/>
    </row>
    <row r="58" spans="1:8" x14ac:dyDescent="0.2">
      <c r="A58" s="91"/>
      <c r="B58" s="91"/>
      <c r="C58" s="91"/>
      <c r="D58" s="91"/>
      <c r="E58" s="91"/>
      <c r="F58" s="91"/>
      <c r="G58" s="91"/>
      <c r="H58" s="91"/>
    </row>
    <row r="59" spans="1:8" x14ac:dyDescent="0.2">
      <c r="A59" s="91"/>
      <c r="B59" s="91"/>
      <c r="C59" s="91"/>
      <c r="D59" s="91"/>
      <c r="E59" s="91"/>
      <c r="F59" s="91"/>
      <c r="G59" s="91"/>
      <c r="H59" s="91"/>
    </row>
    <row r="60" spans="1:8" x14ac:dyDescent="0.2">
      <c r="A60" s="91"/>
      <c r="B60" s="91"/>
      <c r="C60" s="91"/>
      <c r="D60" s="91"/>
      <c r="E60" s="91"/>
      <c r="F60" s="91"/>
      <c r="G60" s="91"/>
      <c r="H60" s="91"/>
    </row>
    <row r="61" spans="1:8" x14ac:dyDescent="0.2">
      <c r="A61" s="91"/>
      <c r="B61" s="91"/>
      <c r="C61" s="91"/>
      <c r="D61" s="91"/>
      <c r="E61" s="91"/>
      <c r="F61" s="91"/>
      <c r="G61" s="91"/>
      <c r="H61" s="91"/>
    </row>
    <row r="62" spans="1:8" x14ac:dyDescent="0.2">
      <c r="A62" s="91"/>
      <c r="B62" s="91"/>
      <c r="C62" s="91"/>
      <c r="D62" s="91"/>
      <c r="E62" s="91"/>
      <c r="F62" s="91"/>
      <c r="G62" s="91"/>
      <c r="H62" s="91"/>
    </row>
    <row r="63" spans="1:8" x14ac:dyDescent="0.2">
      <c r="A63" s="91"/>
      <c r="B63" s="91"/>
      <c r="C63" s="91"/>
      <c r="D63" s="91"/>
      <c r="E63" s="91"/>
      <c r="F63" s="91"/>
      <c r="G63" s="91"/>
      <c r="H63" s="91"/>
    </row>
    <row r="64" spans="1:8" x14ac:dyDescent="0.2">
      <c r="A64" s="91"/>
      <c r="B64" s="91"/>
      <c r="C64" s="91"/>
      <c r="D64" s="91"/>
      <c r="E64" s="91"/>
      <c r="F64" s="91"/>
      <c r="G64" s="91"/>
      <c r="H64" s="91"/>
    </row>
    <row r="65" spans="1:8" x14ac:dyDescent="0.2">
      <c r="A65" s="91"/>
      <c r="B65" s="91"/>
      <c r="C65" s="91"/>
      <c r="D65" s="91"/>
      <c r="E65" s="91"/>
      <c r="F65" s="91"/>
      <c r="G65" s="91"/>
      <c r="H65" s="9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2958-12A6-4638-9CAB-CFF023892DD2}">
  <sheetPr codeName="Sheet653"/>
  <dimension ref="A1:N56"/>
  <sheetViews>
    <sheetView zoomScaleNormal="100" workbookViewId="0">
      <selection activeCell="F34" sqref="F34"/>
    </sheetView>
  </sheetViews>
  <sheetFormatPr defaultRowHeight="12.75" x14ac:dyDescent="0.2"/>
  <cols>
    <col min="1" max="1" width="15.42578125" style="91" customWidth="1"/>
    <col min="2" max="2" width="15" style="91" customWidth="1"/>
    <col min="3" max="3" width="0.85546875" style="91" customWidth="1"/>
    <col min="4" max="4" width="19.5703125" style="91" customWidth="1"/>
    <col min="5" max="5" width="1" style="91" customWidth="1"/>
    <col min="6" max="6" width="16.42578125" style="91" customWidth="1"/>
    <col min="7" max="7" width="9.28515625" style="91" customWidth="1"/>
    <col min="8" max="8" width="13.28515625" style="91" customWidth="1"/>
    <col min="9" max="12" width="9.140625" style="91"/>
    <col min="13" max="14" width="9.42578125" style="91" bestFit="1" customWidth="1"/>
    <col min="15" max="16384" width="9.140625" style="91"/>
  </cols>
  <sheetData>
    <row r="1" spans="1:13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13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13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13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13" x14ac:dyDescent="0.2">
      <c r="A8" s="91" t="s">
        <v>32</v>
      </c>
      <c r="F8" s="22" t="s">
        <v>31</v>
      </c>
    </row>
    <row r="9" spans="1:13" x14ac:dyDescent="0.2">
      <c r="A9" s="91" t="s">
        <v>6467</v>
      </c>
      <c r="F9" s="92" t="s">
        <v>1358</v>
      </c>
      <c r="G9" s="155" t="s">
        <v>6465</v>
      </c>
    </row>
    <row r="10" spans="1:13" x14ac:dyDescent="0.2">
      <c r="A10" s="91" t="s">
        <v>6468</v>
      </c>
      <c r="F10" s="92" t="s">
        <v>1357</v>
      </c>
      <c r="G10" s="155" t="s">
        <v>6466</v>
      </c>
    </row>
    <row r="11" spans="1:13" x14ac:dyDescent="0.2">
      <c r="A11" s="91" t="s">
        <v>6469</v>
      </c>
      <c r="F11" s="92" t="s">
        <v>1330</v>
      </c>
      <c r="G11" s="155" t="s">
        <v>1220</v>
      </c>
    </row>
    <row r="12" spans="1:13" x14ac:dyDescent="0.2">
      <c r="A12" s="91" t="s">
        <v>6470</v>
      </c>
      <c r="F12" s="92" t="s">
        <v>1224</v>
      </c>
      <c r="G12" s="91" t="s">
        <v>770</v>
      </c>
      <c r="M12" s="108"/>
    </row>
    <row r="13" spans="1:13" x14ac:dyDescent="0.2">
      <c r="A13" s="91" t="s">
        <v>6471</v>
      </c>
      <c r="M13" s="108"/>
    </row>
    <row r="14" spans="1:13" x14ac:dyDescent="0.2">
      <c r="A14" s="91" t="s">
        <v>3914</v>
      </c>
      <c r="M14" s="108"/>
    </row>
    <row r="15" spans="1:13" x14ac:dyDescent="0.2">
      <c r="M15" s="108"/>
    </row>
    <row r="16" spans="1:13" s="162" customFormat="1" ht="20.100000000000001" customHeight="1" x14ac:dyDescent="0.2">
      <c r="A16" s="157" t="s">
        <v>129</v>
      </c>
      <c r="B16" s="157" t="s">
        <v>1379</v>
      </c>
      <c r="C16" s="157"/>
      <c r="D16" s="159" t="s">
        <v>19</v>
      </c>
      <c r="E16" s="159"/>
      <c r="F16" s="157"/>
      <c r="G16" s="160"/>
      <c r="H16" s="161" t="s">
        <v>18</v>
      </c>
      <c r="M16" s="364"/>
    </row>
    <row r="17" spans="1:14" s="152" customFormat="1" x14ac:dyDescent="0.2">
      <c r="A17" s="153"/>
      <c r="B17" s="153"/>
      <c r="C17" s="153"/>
      <c r="D17" s="153"/>
      <c r="E17" s="153"/>
      <c r="F17" s="153"/>
      <c r="G17" s="153"/>
      <c r="H17" s="153"/>
      <c r="M17" s="365"/>
      <c r="N17" s="365"/>
    </row>
    <row r="18" spans="1:14" s="152" customFormat="1" x14ac:dyDescent="0.2">
      <c r="A18" s="153"/>
      <c r="B18" s="153"/>
      <c r="C18" s="153"/>
      <c r="D18" s="163" t="s">
        <v>4449</v>
      </c>
      <c r="E18" s="163"/>
      <c r="F18" s="153"/>
      <c r="G18" s="153"/>
      <c r="H18" s="153"/>
      <c r="M18" s="365"/>
    </row>
    <row r="19" spans="1:14" s="152" customFormat="1" x14ac:dyDescent="0.2">
      <c r="A19" s="153"/>
      <c r="B19" s="153"/>
      <c r="C19" s="153"/>
      <c r="D19" s="153"/>
      <c r="E19" s="153"/>
      <c r="F19" s="153"/>
      <c r="G19" s="153"/>
      <c r="H19" s="153"/>
      <c r="M19" s="365"/>
    </row>
    <row r="20" spans="1:14" s="152" customFormat="1" x14ac:dyDescent="0.2">
      <c r="A20" s="168" t="s">
        <v>6472</v>
      </c>
      <c r="B20" s="168" t="s">
        <v>6473</v>
      </c>
      <c r="C20" s="168"/>
      <c r="D20" s="153" t="s">
        <v>6474</v>
      </c>
      <c r="E20" s="153"/>
      <c r="F20" s="153"/>
      <c r="G20" s="153"/>
      <c r="H20" s="153">
        <f>10000*3.0626</f>
        <v>30626.000000000004</v>
      </c>
      <c r="M20" s="365"/>
    </row>
    <row r="21" spans="1:14" s="152" customFormat="1" x14ac:dyDescent="0.2">
      <c r="A21" s="168"/>
      <c r="B21" s="168"/>
      <c r="C21" s="168"/>
      <c r="D21" s="153" t="s">
        <v>226</v>
      </c>
      <c r="E21" s="153"/>
      <c r="F21" s="153"/>
      <c r="G21" s="153"/>
      <c r="H21" s="153"/>
      <c r="M21" s="365"/>
    </row>
    <row r="22" spans="1:14" s="152" customFormat="1" x14ac:dyDescent="0.2">
      <c r="A22" s="168"/>
      <c r="B22" s="168"/>
      <c r="C22" s="168"/>
      <c r="D22" s="153" t="s">
        <v>6475</v>
      </c>
      <c r="E22" s="153"/>
      <c r="F22" s="153"/>
      <c r="G22" s="153"/>
      <c r="H22" s="153"/>
      <c r="M22" s="365"/>
    </row>
    <row r="23" spans="1:14" s="152" customFormat="1" x14ac:dyDescent="0.2">
      <c r="A23" s="153"/>
      <c r="B23" s="169"/>
      <c r="C23" s="169"/>
      <c r="D23" s="153"/>
      <c r="E23" s="153"/>
      <c r="F23" s="153"/>
      <c r="G23" s="153"/>
      <c r="H23" s="153"/>
      <c r="M23" s="365"/>
    </row>
    <row r="24" spans="1:14" s="152" customFormat="1" x14ac:dyDescent="0.2">
      <c r="A24" s="168"/>
      <c r="B24" s="173"/>
      <c r="C24" s="173"/>
      <c r="D24" s="153" t="s">
        <v>52</v>
      </c>
      <c r="E24" s="153"/>
      <c r="F24" s="153"/>
      <c r="G24" s="153"/>
      <c r="H24" s="153">
        <v>30</v>
      </c>
      <c r="M24" s="365"/>
    </row>
    <row r="25" spans="1:14" s="152" customFormat="1" x14ac:dyDescent="0.2">
      <c r="A25" s="168"/>
      <c r="B25" s="173"/>
      <c r="C25" s="173"/>
      <c r="M25" s="365"/>
    </row>
    <row r="26" spans="1:14" s="152" customFormat="1" x14ac:dyDescent="0.2">
      <c r="A26" s="168"/>
      <c r="B26" s="173"/>
      <c r="C26" s="173"/>
      <c r="D26" s="153" t="s">
        <v>2147</v>
      </c>
      <c r="E26" s="153"/>
      <c r="F26" s="153"/>
      <c r="G26" s="153"/>
      <c r="H26" s="153">
        <v>1.8</v>
      </c>
      <c r="M26" s="365"/>
    </row>
    <row r="27" spans="1:14" s="152" customFormat="1" x14ac:dyDescent="0.2">
      <c r="A27" s="168"/>
      <c r="B27" s="173"/>
      <c r="C27" s="173"/>
      <c r="D27" s="153"/>
      <c r="E27" s="153"/>
      <c r="F27" s="153"/>
      <c r="G27" s="153"/>
      <c r="H27" s="153"/>
      <c r="M27" s="365"/>
    </row>
    <row r="28" spans="1:14" s="152" customFormat="1" x14ac:dyDescent="0.2">
      <c r="A28" s="198"/>
      <c r="B28" s="169"/>
      <c r="C28" s="169"/>
      <c r="D28" s="153"/>
      <c r="E28" s="153"/>
      <c r="F28" s="153"/>
      <c r="G28" s="153"/>
      <c r="H28" s="153"/>
    </row>
    <row r="29" spans="1:14" s="152" customFormat="1" x14ac:dyDescent="0.2">
      <c r="A29" s="198"/>
      <c r="B29" s="169"/>
      <c r="C29" s="169"/>
      <c r="D29" s="153"/>
      <c r="E29" s="153"/>
      <c r="F29" s="153"/>
      <c r="G29" s="153"/>
      <c r="H29" s="153"/>
    </row>
    <row r="30" spans="1:14" s="152" customFormat="1" x14ac:dyDescent="0.2">
      <c r="A30" s="198"/>
      <c r="B30" s="169"/>
      <c r="C30" s="169"/>
      <c r="D30" s="153"/>
      <c r="E30" s="153"/>
      <c r="F30" s="153"/>
      <c r="G30" s="153"/>
      <c r="H30" s="153"/>
    </row>
    <row r="31" spans="1:14" s="152" customFormat="1" x14ac:dyDescent="0.2">
      <c r="A31" s="198"/>
      <c r="B31" s="169"/>
      <c r="C31" s="169"/>
      <c r="D31" s="153"/>
      <c r="E31" s="153"/>
      <c r="F31" s="153"/>
      <c r="G31" s="153"/>
      <c r="H31" s="153"/>
    </row>
    <row r="32" spans="1:14" s="152" customFormat="1" x14ac:dyDescent="0.2"/>
    <row r="33" spans="1:8" s="152" customFormat="1" x14ac:dyDescent="0.2">
      <c r="A33" s="187"/>
      <c r="B33" s="168"/>
      <c r="C33" s="168"/>
      <c r="D33" s="153"/>
      <c r="E33" s="153"/>
      <c r="F33" s="153"/>
      <c r="G33" s="153"/>
      <c r="H33" s="153"/>
    </row>
    <row r="34" spans="1:8" s="152" customFormat="1" x14ac:dyDescent="0.2">
      <c r="A34" s="198"/>
      <c r="B34" s="169"/>
      <c r="C34" s="169"/>
      <c r="D34" s="153"/>
      <c r="E34" s="153"/>
      <c r="F34" s="153"/>
      <c r="G34" s="153"/>
      <c r="H34" s="153"/>
    </row>
    <row r="35" spans="1:8" s="152" customFormat="1" x14ac:dyDescent="0.2">
      <c r="A35" s="153"/>
      <c r="B35" s="153"/>
      <c r="C35" s="153"/>
      <c r="D35" s="153"/>
      <c r="E35" s="153"/>
    </row>
    <row r="36" spans="1:8" s="152" customFormat="1" ht="13.5" thickBot="1" x14ac:dyDescent="0.25">
      <c r="A36" s="153"/>
      <c r="B36" s="153"/>
      <c r="C36" s="153"/>
      <c r="D36" s="153"/>
      <c r="E36" s="153"/>
      <c r="F36" s="153"/>
      <c r="G36" s="153"/>
      <c r="H36" s="170">
        <f>SUM(H20:H35)</f>
        <v>30657.800000000003</v>
      </c>
    </row>
    <row r="37" spans="1:8" s="152" customFormat="1" ht="13.5" thickTop="1" x14ac:dyDescent="0.2">
      <c r="A37" s="153"/>
      <c r="B37" s="153"/>
      <c r="C37" s="153"/>
      <c r="D37" s="153"/>
      <c r="E37" s="153"/>
      <c r="F37" s="153"/>
      <c r="G37" s="153"/>
      <c r="H37" s="153"/>
    </row>
    <row r="38" spans="1:8" s="152" customFormat="1" ht="21.75" customHeight="1" x14ac:dyDescent="0.2">
      <c r="A38" s="171" t="s">
        <v>122</v>
      </c>
      <c r="B38" s="18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Thirty Thousand Six Hundred Fifty-Seven and 80/100 -----------</v>
      </c>
      <c r="C38" s="185"/>
      <c r="D38" s="172"/>
      <c r="E38" s="172"/>
      <c r="F38" s="237"/>
      <c r="G38" s="237"/>
      <c r="H38" s="237"/>
    </row>
    <row r="39" spans="1:8" s="152" customFormat="1" x14ac:dyDescent="0.2">
      <c r="A39" s="197"/>
      <c r="B39" s="103"/>
      <c r="C39" s="103"/>
      <c r="D39" s="156"/>
      <c r="E39" s="156"/>
      <c r="F39" s="227"/>
      <c r="G39" s="227"/>
      <c r="H39" s="227"/>
    </row>
    <row r="40" spans="1:8" s="152" customFormat="1" ht="25.5" x14ac:dyDescent="0.2">
      <c r="A40" s="156" t="s">
        <v>10</v>
      </c>
      <c r="B40" s="103"/>
      <c r="C40" s="103"/>
      <c r="D40" s="156"/>
      <c r="E40" s="156"/>
      <c r="F40" s="218" t="s">
        <v>3975</v>
      </c>
      <c r="G40" s="219"/>
      <c r="H40" s="220"/>
    </row>
    <row r="41" spans="1:8" s="152" customFormat="1" x14ac:dyDescent="0.2">
      <c r="B41" s="153"/>
      <c r="C41" s="153"/>
      <c r="D41" s="153"/>
      <c r="E41" s="153"/>
      <c r="F41" s="228"/>
      <c r="G41" s="229"/>
      <c r="H41" s="229"/>
    </row>
    <row r="42" spans="1:8" s="152" customFormat="1" x14ac:dyDescent="0.2">
      <c r="B42" s="153"/>
      <c r="C42" s="153"/>
      <c r="D42" s="153"/>
      <c r="E42" s="153"/>
    </row>
    <row r="43" spans="1:8" s="152" customFormat="1" x14ac:dyDescent="0.2">
      <c r="A43" s="153"/>
      <c r="B43" s="153"/>
      <c r="C43" s="153"/>
      <c r="D43" s="153"/>
      <c r="E43" s="153"/>
      <c r="F43" s="153"/>
      <c r="G43" s="153"/>
      <c r="H43" s="153"/>
    </row>
    <row r="44" spans="1:8" s="152" customFormat="1" x14ac:dyDescent="0.2">
      <c r="A44" s="153"/>
      <c r="B44" s="153"/>
      <c r="C44" s="153"/>
      <c r="D44" s="173"/>
      <c r="E44" s="173"/>
      <c r="F44" s="153"/>
      <c r="G44" s="153"/>
      <c r="H44" s="153"/>
    </row>
    <row r="45" spans="1:8" s="152" customFormat="1" x14ac:dyDescent="0.2">
      <c r="A45" s="174"/>
      <c r="B45" s="174"/>
      <c r="C45" s="153"/>
      <c r="D45" s="153"/>
      <c r="E45" s="153"/>
      <c r="F45" s="153"/>
      <c r="G45" s="153"/>
      <c r="H45" s="153"/>
    </row>
    <row r="46" spans="1:8" s="152" customFormat="1" x14ac:dyDescent="0.2">
      <c r="B46" s="153"/>
      <c r="C46" s="153"/>
      <c r="D46" s="153"/>
      <c r="E46" s="153"/>
      <c r="F46" s="153"/>
      <c r="G46" s="153"/>
      <c r="H46" s="153"/>
    </row>
    <row r="47" spans="1:8" s="152" customFormat="1" x14ac:dyDescent="0.2">
      <c r="A47" s="175" t="s">
        <v>8</v>
      </c>
      <c r="D47" s="175" t="s">
        <v>8</v>
      </c>
      <c r="E47" s="153"/>
      <c r="F47" s="175" t="s">
        <v>7</v>
      </c>
      <c r="G47" s="153"/>
      <c r="H47" s="176"/>
    </row>
    <row r="48" spans="1:8" s="152" customFormat="1" x14ac:dyDescent="0.2">
      <c r="A48" s="153"/>
      <c r="B48" s="153"/>
      <c r="C48" s="153"/>
      <c r="D48" s="153"/>
      <c r="E48" s="153"/>
      <c r="F48" s="153"/>
      <c r="G48" s="153"/>
      <c r="H48" s="153"/>
    </row>
    <row r="49" spans="1:8" s="152" customFormat="1" x14ac:dyDescent="0.2">
      <c r="A49" s="153"/>
      <c r="B49" s="153"/>
      <c r="C49" s="153"/>
      <c r="D49" s="153"/>
      <c r="E49" s="153"/>
      <c r="F49" s="153"/>
      <c r="G49" s="153"/>
      <c r="H49" s="153"/>
    </row>
    <row r="50" spans="1:8" s="152" customFormat="1" x14ac:dyDescent="0.2">
      <c r="A50" s="153"/>
      <c r="B50" s="153"/>
      <c r="C50" s="153"/>
      <c r="D50" s="153"/>
      <c r="E50" s="153"/>
      <c r="F50" s="153"/>
      <c r="G50" s="153"/>
      <c r="H50" s="153"/>
    </row>
    <row r="51" spans="1:8" s="152" customFormat="1" x14ac:dyDescent="0.2">
      <c r="A51" s="174"/>
      <c r="B51" s="174"/>
      <c r="C51" s="153"/>
      <c r="D51" s="174"/>
      <c r="E51" s="153"/>
      <c r="F51" s="174"/>
      <c r="G51" s="174"/>
      <c r="H51" s="174"/>
    </row>
    <row r="52" spans="1:8" s="178" customFormat="1" ht="17.100000000000001" customHeight="1" x14ac:dyDescent="0.2">
      <c r="A52" s="153" t="s">
        <v>4066</v>
      </c>
      <c r="B52" s="177"/>
      <c r="C52" s="177"/>
      <c r="D52" s="153" t="s">
        <v>50</v>
      </c>
      <c r="E52" s="156"/>
      <c r="F52" s="156" t="s">
        <v>3</v>
      </c>
      <c r="G52" s="156"/>
      <c r="H52" s="156"/>
    </row>
    <row r="53" spans="1:8" s="152" customFormat="1" x14ac:dyDescent="0.2">
      <c r="A53" s="153"/>
      <c r="B53" s="153"/>
      <c r="C53" s="153"/>
      <c r="D53" s="153"/>
      <c r="E53" s="153"/>
      <c r="F53" s="153" t="s">
        <v>2</v>
      </c>
      <c r="G53" s="153"/>
      <c r="H53" s="153"/>
    </row>
    <row r="54" spans="1:8" s="152" customFormat="1" x14ac:dyDescent="0.2">
      <c r="A54" s="153"/>
      <c r="B54" s="153"/>
      <c r="C54" s="153"/>
      <c r="D54" s="153"/>
      <c r="E54" s="153"/>
      <c r="F54" s="153"/>
      <c r="G54" s="153"/>
      <c r="H54" s="153"/>
    </row>
    <row r="55" spans="1:8" s="152" customFormat="1" x14ac:dyDescent="0.2">
      <c r="A55" s="153"/>
      <c r="B55" s="153"/>
      <c r="C55" s="153"/>
      <c r="D55" s="153"/>
      <c r="E55" s="153"/>
      <c r="F55" s="163" t="s">
        <v>1</v>
      </c>
      <c r="G55" s="153"/>
      <c r="H55" s="153"/>
    </row>
    <row r="56" spans="1:8" s="152" customFormat="1" x14ac:dyDescent="0.2">
      <c r="A56" s="153"/>
      <c r="B56" s="153"/>
      <c r="C56" s="153"/>
      <c r="D56" s="153"/>
      <c r="E56" s="153"/>
      <c r="F56" s="163" t="s">
        <v>0</v>
      </c>
      <c r="G56" s="153"/>
      <c r="H56" s="15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608"/>
  <dimension ref="A1:N59"/>
  <sheetViews>
    <sheetView view="pageBreakPreview" topLeftCell="A4" zoomScaleNormal="100" zoomScaleSheetLayoutView="100" workbookViewId="0">
      <selection activeCell="G9" sqref="G9:G13"/>
    </sheetView>
  </sheetViews>
  <sheetFormatPr defaultRowHeight="12.75" x14ac:dyDescent="0.2"/>
  <cols>
    <col min="1" max="1" width="16" style="91" customWidth="1"/>
    <col min="2" max="2" width="13.7109375" style="91" customWidth="1"/>
    <col min="3" max="3" width="1.7109375" style="91" customWidth="1"/>
    <col min="4" max="4" width="21" style="91" customWidth="1"/>
    <col min="5" max="5" width="2" style="91" customWidth="1"/>
    <col min="6" max="6" width="16.42578125" style="91" customWidth="1"/>
    <col min="7" max="7" width="10.140625" style="91" customWidth="1"/>
    <col min="8" max="8" width="13.28515625" style="91" customWidth="1"/>
    <col min="9" max="9" width="9.140625" style="91"/>
    <col min="10" max="10" width="9.7109375" style="91" bestFit="1" customWidth="1"/>
    <col min="11" max="11" width="10.28515625" style="91" bestFit="1" customWidth="1"/>
    <col min="12" max="16384" width="9.140625" style="91"/>
  </cols>
  <sheetData>
    <row r="1" spans="1:8" ht="15" x14ac:dyDescent="0.25">
      <c r="A1" s="521" t="s">
        <v>34</v>
      </c>
      <c r="B1" s="521"/>
      <c r="C1" s="521"/>
      <c r="D1" s="521"/>
      <c r="E1" s="521"/>
      <c r="F1" s="521"/>
      <c r="G1" s="521"/>
      <c r="H1" s="521"/>
    </row>
    <row r="2" spans="1:8" x14ac:dyDescent="0.2">
      <c r="A2" s="522" t="s">
        <v>33</v>
      </c>
      <c r="B2" s="522"/>
      <c r="C2" s="522"/>
      <c r="D2" s="522"/>
      <c r="E2" s="522"/>
      <c r="F2" s="522"/>
      <c r="G2" s="522"/>
      <c r="H2" s="522"/>
    </row>
    <row r="3" spans="1:8" x14ac:dyDescent="0.2">
      <c r="A3" s="522" t="s">
        <v>1829</v>
      </c>
      <c r="B3" s="522"/>
      <c r="C3" s="522"/>
      <c r="D3" s="522"/>
      <c r="E3" s="522"/>
      <c r="F3" s="522"/>
      <c r="G3" s="522"/>
      <c r="H3" s="522"/>
    </row>
    <row r="4" spans="1:8" x14ac:dyDescent="0.2">
      <c r="A4" s="522" t="s">
        <v>1828</v>
      </c>
      <c r="B4" s="522"/>
      <c r="C4" s="522"/>
      <c r="D4" s="522"/>
      <c r="E4" s="522"/>
      <c r="F4" s="522"/>
      <c r="G4" s="522"/>
      <c r="H4" s="522"/>
    </row>
    <row r="8" spans="1:8" x14ac:dyDescent="0.2">
      <c r="A8" s="91" t="s">
        <v>32</v>
      </c>
      <c r="F8" s="22" t="s">
        <v>31</v>
      </c>
    </row>
    <row r="9" spans="1:8" x14ac:dyDescent="0.2">
      <c r="F9" s="92" t="s">
        <v>1300</v>
      </c>
      <c r="G9" s="91" t="s">
        <v>8858</v>
      </c>
    </row>
    <row r="10" spans="1:8" x14ac:dyDescent="0.2">
      <c r="A10" s="91" t="s">
        <v>6233</v>
      </c>
      <c r="F10" s="92" t="s">
        <v>1356</v>
      </c>
      <c r="G10" s="92" t="s">
        <v>8852</v>
      </c>
    </row>
    <row r="11" spans="1:8" x14ac:dyDescent="0.2">
      <c r="F11" s="92" t="s">
        <v>1364</v>
      </c>
      <c r="G11" s="92" t="s">
        <v>1220</v>
      </c>
    </row>
    <row r="12" spans="1:8" x14ac:dyDescent="0.2">
      <c r="A12" s="91" t="s">
        <v>5967</v>
      </c>
      <c r="F12" s="92" t="s">
        <v>1224</v>
      </c>
      <c r="G12" s="92" t="s">
        <v>8859</v>
      </c>
    </row>
    <row r="13" spans="1:8" x14ac:dyDescent="0.2">
      <c r="G13" s="91" t="s">
        <v>7931</v>
      </c>
    </row>
    <row r="16" spans="1:8" s="14" customFormat="1" ht="20.100000000000001" customHeight="1" x14ac:dyDescent="0.2">
      <c r="A16" s="17" t="s">
        <v>1247</v>
      </c>
      <c r="B16" s="31" t="s">
        <v>128</v>
      </c>
      <c r="C16" s="31"/>
      <c r="D16" s="18" t="s">
        <v>19</v>
      </c>
      <c r="E16" s="18"/>
      <c r="F16" s="17"/>
      <c r="G16" s="16"/>
      <c r="H16" s="15" t="s">
        <v>18</v>
      </c>
    </row>
    <row r="17" spans="1:14" x14ac:dyDescent="0.2">
      <c r="A17" s="106"/>
    </row>
    <row r="18" spans="1:14" x14ac:dyDescent="0.2">
      <c r="D18" s="2" t="s">
        <v>5965</v>
      </c>
      <c r="E18" s="2"/>
      <c r="J18" s="91" t="s">
        <v>8048</v>
      </c>
      <c r="N18" s="91">
        <v>2049</v>
      </c>
    </row>
    <row r="19" spans="1:14" x14ac:dyDescent="0.2">
      <c r="A19" s="106"/>
      <c r="D19" s="2"/>
      <c r="E19" s="2"/>
    </row>
    <row r="20" spans="1:14" x14ac:dyDescent="0.2">
      <c r="A20" s="105" t="s">
        <v>8860</v>
      </c>
      <c r="B20" s="93"/>
      <c r="C20" s="93"/>
      <c r="D20" s="91" t="s">
        <v>7122</v>
      </c>
      <c r="H20" s="91">
        <v>1994.31</v>
      </c>
      <c r="J20" s="91" t="s">
        <v>8049</v>
      </c>
      <c r="N20" s="91">
        <v>99.26</v>
      </c>
    </row>
    <row r="21" spans="1:14" x14ac:dyDescent="0.2">
      <c r="A21" s="137"/>
      <c r="D21" s="91" t="s">
        <v>6886</v>
      </c>
      <c r="H21" s="91">
        <f>H20*6%</f>
        <v>119.65859999999999</v>
      </c>
      <c r="J21" s="91" t="s">
        <v>5966</v>
      </c>
      <c r="N21" s="91">
        <f>N20*1%</f>
        <v>0.99260000000000004</v>
      </c>
    </row>
    <row r="22" spans="1:14" x14ac:dyDescent="0.2">
      <c r="A22" s="137"/>
      <c r="D22" s="91" t="s">
        <v>5966</v>
      </c>
      <c r="H22" s="91">
        <f>SUM(H20+H21)*1%</f>
        <v>21.139686000000001</v>
      </c>
    </row>
    <row r="23" spans="1:14" x14ac:dyDescent="0.2">
      <c r="A23" s="106"/>
      <c r="H23" s="110"/>
      <c r="J23" s="2" t="s">
        <v>8050</v>
      </c>
    </row>
    <row r="24" spans="1:14" x14ac:dyDescent="0.2">
      <c r="A24" s="137"/>
      <c r="D24" s="2" t="s">
        <v>8864</v>
      </c>
      <c r="J24" s="91" t="s">
        <v>8051</v>
      </c>
      <c r="N24" s="91">
        <v>198.63</v>
      </c>
    </row>
    <row r="25" spans="1:14" x14ac:dyDescent="0.2">
      <c r="A25" s="106"/>
      <c r="D25" s="91" t="s">
        <v>8865</v>
      </c>
      <c r="H25" s="91">
        <v>549.85</v>
      </c>
      <c r="J25" s="91" t="s">
        <v>8053</v>
      </c>
      <c r="N25" s="91">
        <v>61.61</v>
      </c>
    </row>
    <row r="26" spans="1:14" x14ac:dyDescent="0.2">
      <c r="A26" s="137"/>
      <c r="D26" s="91" t="s">
        <v>8866</v>
      </c>
      <c r="J26" s="91" t="s">
        <v>8052</v>
      </c>
      <c r="N26" s="91">
        <v>96.43</v>
      </c>
    </row>
    <row r="27" spans="1:14" x14ac:dyDescent="0.2">
      <c r="A27" s="106"/>
      <c r="D27" s="2"/>
    </row>
    <row r="28" spans="1:14" x14ac:dyDescent="0.2">
      <c r="A28" s="106"/>
      <c r="D28" s="2" t="s">
        <v>8867</v>
      </c>
    </row>
    <row r="29" spans="1:14" x14ac:dyDescent="0.2">
      <c r="A29" s="106"/>
      <c r="D29" s="91" t="s">
        <v>8868</v>
      </c>
      <c r="H29" s="91">
        <v>317.39</v>
      </c>
    </row>
    <row r="30" spans="1:14" x14ac:dyDescent="0.2">
      <c r="A30" s="106"/>
      <c r="K30" s="91">
        <v>157.94999999999999</v>
      </c>
    </row>
    <row r="31" spans="1:14" x14ac:dyDescent="0.2">
      <c r="D31" s="2" t="s">
        <v>8608</v>
      </c>
      <c r="K31" s="91">
        <v>154.22999999999999</v>
      </c>
    </row>
    <row r="32" spans="1:14" x14ac:dyDescent="0.2">
      <c r="D32" s="91" t="s">
        <v>8861</v>
      </c>
      <c r="H32" s="91">
        <v>92.85</v>
      </c>
      <c r="K32" s="91">
        <f>SUM(K30:K31)</f>
        <v>312.17999999999995</v>
      </c>
    </row>
    <row r="33" spans="1:8" x14ac:dyDescent="0.2">
      <c r="D33" s="91" t="s">
        <v>8862</v>
      </c>
      <c r="H33" s="91">
        <v>93.81</v>
      </c>
    </row>
    <row r="34" spans="1:8" x14ac:dyDescent="0.2">
      <c r="A34" s="106"/>
      <c r="D34" s="91" t="s">
        <v>8863</v>
      </c>
      <c r="H34" s="91">
        <v>99.99</v>
      </c>
    </row>
    <row r="35" spans="1:8" x14ac:dyDescent="0.2">
      <c r="A35" s="106"/>
    </row>
    <row r="36" spans="1:8" x14ac:dyDescent="0.2">
      <c r="A36" s="106"/>
      <c r="D36" s="2" t="s">
        <v>8607</v>
      </c>
    </row>
    <row r="37" spans="1:8" x14ac:dyDescent="0.2">
      <c r="A37" s="106"/>
      <c r="D37" s="91" t="s">
        <v>8869</v>
      </c>
      <c r="H37" s="91">
        <v>425</v>
      </c>
    </row>
    <row r="38" spans="1:8" x14ac:dyDescent="0.2">
      <c r="A38" s="106"/>
    </row>
    <row r="39" spans="1:8" ht="13.5" thickBot="1" x14ac:dyDescent="0.25">
      <c r="A39" s="106"/>
      <c r="H39" s="107">
        <f>SUM(H19:H37)</f>
        <v>3713.9982859999996</v>
      </c>
    </row>
    <row r="40" spans="1:8" ht="13.5" thickTop="1" x14ac:dyDescent="0.2">
      <c r="A40" s="106"/>
      <c r="H40" s="101"/>
    </row>
    <row r="41" spans="1:8" ht="20.100000000000001" customHeight="1" x14ac:dyDescent="0.2">
      <c r="A41" s="96" t="s">
        <v>1248</v>
      </c>
      <c r="B41" s="185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Three Thousand Seven Hundred Thirteen and 100/100 -----------</v>
      </c>
      <c r="C41" s="185"/>
      <c r="D41" s="97"/>
      <c r="E41" s="97"/>
      <c r="F41" s="97"/>
      <c r="G41" s="97"/>
      <c r="H41" s="207"/>
    </row>
    <row r="42" spans="1:8" ht="20.25" customHeight="1" x14ac:dyDescent="0.2">
      <c r="A42" s="113"/>
      <c r="B42" s="113"/>
      <c r="C42" s="113"/>
      <c r="D42" s="61"/>
      <c r="E42" s="61"/>
      <c r="F42" s="97"/>
      <c r="G42" s="97"/>
      <c r="H42" s="207"/>
    </row>
    <row r="43" spans="1:8" ht="25.5" x14ac:dyDescent="0.2">
      <c r="A43" s="61" t="s">
        <v>10</v>
      </c>
      <c r="F43" s="218" t="s">
        <v>3975</v>
      </c>
      <c r="G43" s="219"/>
      <c r="H43" s="220"/>
    </row>
    <row r="46" spans="1:8" x14ac:dyDescent="0.2">
      <c r="F46" s="227"/>
      <c r="G46" s="227"/>
      <c r="H46" s="227"/>
    </row>
    <row r="47" spans="1:8" x14ac:dyDescent="0.2">
      <c r="A47" s="91" t="s">
        <v>120</v>
      </c>
      <c r="D47" s="392"/>
      <c r="E47" s="99"/>
      <c r="F47" s="228"/>
      <c r="G47" s="229"/>
      <c r="H47" s="229"/>
    </row>
    <row r="48" spans="1:8" x14ac:dyDescent="0.2">
      <c r="A48" s="101"/>
      <c r="B48" s="101"/>
      <c r="D48" s="386"/>
    </row>
    <row r="49" spans="1:8" x14ac:dyDescent="0.2">
      <c r="D49" s="386"/>
    </row>
    <row r="50" spans="1:8" x14ac:dyDescent="0.2">
      <c r="A50" s="91" t="s">
        <v>8</v>
      </c>
      <c r="D50" s="91" t="s">
        <v>8</v>
      </c>
      <c r="F50" s="98" t="s">
        <v>7</v>
      </c>
      <c r="H50" s="102"/>
    </row>
    <row r="54" spans="1:8" x14ac:dyDescent="0.2">
      <c r="A54" s="101"/>
      <c r="B54" s="101"/>
      <c r="D54" s="101"/>
      <c r="F54" s="101"/>
      <c r="G54" s="101"/>
      <c r="H54" s="101"/>
    </row>
    <row r="55" spans="1:8" s="61" customFormat="1" ht="17.100000000000001" customHeight="1" x14ac:dyDescent="0.2">
      <c r="A55" s="61" t="s">
        <v>4066</v>
      </c>
      <c r="B55" s="104"/>
      <c r="C55" s="104"/>
      <c r="D55" s="61" t="s">
        <v>50</v>
      </c>
      <c r="F55" s="61" t="s">
        <v>3</v>
      </c>
    </row>
    <row r="56" spans="1:8" x14ac:dyDescent="0.2">
      <c r="F56" s="91" t="s">
        <v>2</v>
      </c>
    </row>
    <row r="57" spans="1:8" x14ac:dyDescent="0.2">
      <c r="D57" s="386"/>
    </row>
    <row r="58" spans="1:8" x14ac:dyDescent="0.2">
      <c r="F58" s="2" t="s">
        <v>1</v>
      </c>
    </row>
    <row r="59" spans="1:8" x14ac:dyDescent="0.2">
      <c r="F59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1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1-000000000000}">
  <sheetPr codeName="Sheet505"/>
  <dimension ref="A1:L55"/>
  <sheetViews>
    <sheetView zoomScaleNormal="100" zoomScaleSheetLayoutView="85" workbookViewId="0">
      <selection activeCell="F34" sqref="F34"/>
    </sheetView>
  </sheetViews>
  <sheetFormatPr defaultRowHeight="12.75" x14ac:dyDescent="0.2"/>
  <cols>
    <col min="1" max="1" width="15.7109375" style="91" customWidth="1"/>
    <col min="2" max="2" width="14.140625" style="91" customWidth="1"/>
    <col min="3" max="3" width="18.7109375" style="91" customWidth="1"/>
    <col min="4" max="4" width="16.42578125" style="91" customWidth="1"/>
    <col min="5" max="5" width="9.7109375" style="91" customWidth="1"/>
    <col min="6" max="6" width="13.28515625" style="91" customWidth="1"/>
    <col min="7" max="16384" width="9.140625" style="1"/>
  </cols>
  <sheetData>
    <row r="1" spans="1:7" ht="15" x14ac:dyDescent="0.25">
      <c r="A1" s="521" t="s">
        <v>34</v>
      </c>
      <c r="B1" s="521"/>
      <c r="C1" s="521"/>
      <c r="D1" s="521"/>
      <c r="E1" s="521"/>
      <c r="F1" s="521"/>
    </row>
    <row r="2" spans="1:7" x14ac:dyDescent="0.2">
      <c r="A2" s="522" t="s">
        <v>33</v>
      </c>
      <c r="B2" s="522"/>
      <c r="C2" s="522"/>
      <c r="D2" s="522"/>
      <c r="E2" s="522"/>
      <c r="F2" s="522"/>
    </row>
    <row r="3" spans="1:7" x14ac:dyDescent="0.2">
      <c r="A3" s="522" t="s">
        <v>1829</v>
      </c>
      <c r="B3" s="522"/>
      <c r="C3" s="522"/>
      <c r="D3" s="522"/>
      <c r="E3" s="522"/>
      <c r="F3" s="522"/>
    </row>
    <row r="4" spans="1:7" x14ac:dyDescent="0.2">
      <c r="A4" s="522" t="s">
        <v>1828</v>
      </c>
      <c r="B4" s="522"/>
      <c r="C4" s="522"/>
      <c r="D4" s="522"/>
      <c r="E4" s="522"/>
      <c r="F4" s="522"/>
    </row>
    <row r="8" spans="1:7" x14ac:dyDescent="0.2">
      <c r="A8" s="91" t="s">
        <v>32</v>
      </c>
      <c r="D8" s="22" t="s">
        <v>31</v>
      </c>
    </row>
    <row r="9" spans="1:7" x14ac:dyDescent="0.2">
      <c r="D9" s="92" t="s">
        <v>1334</v>
      </c>
      <c r="E9" s="91" t="s">
        <v>4834</v>
      </c>
      <c r="G9" s="61"/>
    </row>
    <row r="10" spans="1:7" x14ac:dyDescent="0.2">
      <c r="A10" s="91" t="s">
        <v>4836</v>
      </c>
      <c r="D10" s="92" t="s">
        <v>1335</v>
      </c>
      <c r="E10" s="92" t="s">
        <v>4815</v>
      </c>
      <c r="G10" s="113"/>
    </row>
    <row r="11" spans="1:7" x14ac:dyDescent="0.2">
      <c r="A11" s="91" t="s">
        <v>4837</v>
      </c>
      <c r="D11" s="92" t="s">
        <v>1333</v>
      </c>
      <c r="E11" s="92" t="s">
        <v>1220</v>
      </c>
      <c r="G11" s="113"/>
    </row>
    <row r="12" spans="1:7" x14ac:dyDescent="0.2">
      <c r="A12" s="91" t="s">
        <v>4838</v>
      </c>
      <c r="D12" s="92" t="s">
        <v>1331</v>
      </c>
      <c r="E12" s="94" t="s">
        <v>4835</v>
      </c>
      <c r="G12" s="113"/>
    </row>
    <row r="13" spans="1:7" x14ac:dyDescent="0.2">
      <c r="A13" s="91" t="s">
        <v>4435</v>
      </c>
    </row>
    <row r="14" spans="1:7" x14ac:dyDescent="0.2">
      <c r="A14" s="94" t="s">
        <v>1314</v>
      </c>
    </row>
    <row r="16" spans="1:7" s="14" customFormat="1" ht="20.100000000000001" customHeight="1" x14ac:dyDescent="0.2">
      <c r="A16" s="17" t="s">
        <v>129</v>
      </c>
      <c r="B16" s="17" t="s">
        <v>1379</v>
      </c>
      <c r="C16" s="18" t="s">
        <v>19</v>
      </c>
      <c r="D16" s="17"/>
      <c r="E16" s="16"/>
      <c r="F16" s="15" t="s">
        <v>18</v>
      </c>
    </row>
    <row r="18" spans="1:12" x14ac:dyDescent="0.2">
      <c r="A18" s="93"/>
      <c r="B18" s="111"/>
      <c r="C18" s="2" t="s">
        <v>4839</v>
      </c>
      <c r="I18" s="91"/>
      <c r="J18" s="91"/>
      <c r="K18" s="91"/>
      <c r="L18" s="91"/>
    </row>
    <row r="19" spans="1:12" x14ac:dyDescent="0.2">
      <c r="C19" s="2" t="s">
        <v>4840</v>
      </c>
      <c r="I19" s="91"/>
      <c r="J19" s="91"/>
      <c r="K19" s="91"/>
      <c r="L19" s="110"/>
    </row>
    <row r="20" spans="1:12" x14ac:dyDescent="0.2">
      <c r="A20" s="93"/>
      <c r="B20" s="93"/>
      <c r="F20" s="110"/>
      <c r="I20" s="91"/>
      <c r="J20" s="91"/>
      <c r="K20" s="91"/>
      <c r="L20" s="91"/>
    </row>
    <row r="21" spans="1:12" x14ac:dyDescent="0.2">
      <c r="C21" s="91" t="s">
        <v>4841</v>
      </c>
      <c r="F21" s="91">
        <v>5000</v>
      </c>
      <c r="I21" s="91"/>
      <c r="J21" s="91"/>
      <c r="K21" s="91"/>
      <c r="L21" s="91"/>
    </row>
    <row r="22" spans="1:12" x14ac:dyDescent="0.2">
      <c r="I22" s="91"/>
      <c r="J22" s="91"/>
      <c r="K22" s="91"/>
      <c r="L22" s="110"/>
    </row>
    <row r="23" spans="1:12" x14ac:dyDescent="0.2">
      <c r="I23" s="91"/>
      <c r="J23" s="91"/>
      <c r="K23" s="91"/>
      <c r="L23" s="91"/>
    </row>
    <row r="24" spans="1:12" x14ac:dyDescent="0.2">
      <c r="A24" s="93"/>
      <c r="B24" s="111"/>
      <c r="I24" s="91"/>
      <c r="J24" s="91"/>
      <c r="K24" s="91"/>
      <c r="L24" s="91"/>
    </row>
    <row r="25" spans="1:12" x14ac:dyDescent="0.2">
      <c r="A25" s="93"/>
      <c r="B25" s="111"/>
    </row>
    <row r="26" spans="1:12" x14ac:dyDescent="0.2">
      <c r="A26" s="93"/>
      <c r="B26" s="111"/>
    </row>
    <row r="28" spans="1:12" x14ac:dyDescent="0.2">
      <c r="F28" s="110"/>
    </row>
    <row r="31" spans="1:12" x14ac:dyDescent="0.2">
      <c r="A31" s="93"/>
      <c r="B31" s="111"/>
    </row>
    <row r="36" spans="1:6" ht="13.5" thickBot="1" x14ac:dyDescent="0.25">
      <c r="F36" s="95">
        <f>SUM(F18:F35)</f>
        <v>5000</v>
      </c>
    </row>
    <row r="37" spans="1:6" ht="13.5" thickTop="1" x14ac:dyDescent="0.2"/>
    <row r="38" spans="1:6" ht="20.100000000000001" customHeight="1" x14ac:dyDescent="0.2">
      <c r="A38" s="96" t="s">
        <v>336</v>
      </c>
      <c r="B38" s="185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Five Thousand and NO/100 -----------</v>
      </c>
      <c r="C38" s="97"/>
      <c r="D38" s="206"/>
      <c r="E38" s="206"/>
      <c r="F38" s="206"/>
    </row>
    <row r="39" spans="1:6" x14ac:dyDescent="0.2">
      <c r="A39" s="94" t="s">
        <v>11</v>
      </c>
    </row>
    <row r="40" spans="1:6" ht="25.5" x14ac:dyDescent="0.2">
      <c r="A40" s="91" t="s">
        <v>10</v>
      </c>
      <c r="D40" s="218" t="s">
        <v>3975</v>
      </c>
      <c r="E40" s="219"/>
      <c r="F40" s="220"/>
    </row>
    <row r="41" spans="1:6" x14ac:dyDescent="0.2">
      <c r="D41" s="227"/>
      <c r="E41" s="227"/>
      <c r="F41" s="227"/>
    </row>
    <row r="42" spans="1:6" x14ac:dyDescent="0.2">
      <c r="D42" s="228"/>
      <c r="E42" s="229"/>
      <c r="F42" s="229"/>
    </row>
    <row r="43" spans="1:6" x14ac:dyDescent="0.2">
      <c r="A43" s="1"/>
    </row>
    <row r="44" spans="1:6" x14ac:dyDescent="0.2">
      <c r="A44" s="101"/>
      <c r="B44" s="101"/>
    </row>
    <row r="46" spans="1:6" x14ac:dyDescent="0.2">
      <c r="A46" s="98" t="s">
        <v>8</v>
      </c>
      <c r="D46" s="98" t="s">
        <v>7</v>
      </c>
      <c r="F46" s="102"/>
    </row>
    <row r="50" spans="1:6" x14ac:dyDescent="0.2">
      <c r="A50" s="101" t="s">
        <v>120</v>
      </c>
      <c r="B50" s="101"/>
      <c r="D50" s="101"/>
      <c r="E50" s="101"/>
      <c r="F50" s="101"/>
    </row>
    <row r="51" spans="1:6" s="3" customFormat="1" ht="17.100000000000001" customHeight="1" x14ac:dyDescent="0.2">
      <c r="A51" s="91" t="s">
        <v>4066</v>
      </c>
      <c r="B51" s="104"/>
      <c r="C51" s="61"/>
      <c r="D51" s="61" t="s">
        <v>3</v>
      </c>
      <c r="E51" s="61"/>
      <c r="F51" s="61"/>
    </row>
    <row r="52" spans="1:6" x14ac:dyDescent="0.2">
      <c r="D52" s="91" t="s">
        <v>2</v>
      </c>
    </row>
    <row r="54" spans="1:6" x14ac:dyDescent="0.2">
      <c r="D54" s="2" t="s">
        <v>1</v>
      </c>
    </row>
    <row r="55" spans="1:6" x14ac:dyDescent="0.2">
      <c r="D55" s="2" t="s">
        <v>0</v>
      </c>
    </row>
  </sheetData>
  <customSheetViews>
    <customSheetView guid="{6428A7A0-B31B-40C1-A13E-AD0DCC619E51}">
      <selection activeCell="E9" sqref="E9"/>
      <pageMargins left="0.74803149606299213" right="0.74803149606299213" top="0.78740157480314965" bottom="0.98425196850393704" header="0.51181102362204722" footer="0.51181102362204722"/>
      <printOptions horizontalCentered="1"/>
      <pageSetup paperSize="9" scale="87" orientation="portrait" r:id="rId1"/>
      <headerFooter alignWithMargins="0"/>
    </customSheetView>
  </customSheetViews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609"/>
  <dimension ref="A1:U63"/>
  <sheetViews>
    <sheetView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15.28515625" style="153" customWidth="1"/>
    <col min="2" max="2" width="15.85546875" style="153" customWidth="1"/>
    <col min="3" max="3" width="1.28515625" style="153" customWidth="1"/>
    <col min="4" max="4" width="21" style="153" customWidth="1"/>
    <col min="5" max="5" width="1.28515625" style="153" customWidth="1"/>
    <col min="6" max="6" width="13.28515625" style="153" customWidth="1"/>
    <col min="7" max="7" width="9" style="153" customWidth="1"/>
    <col min="8" max="8" width="13.28515625" style="153" customWidth="1"/>
    <col min="9" max="11" width="9.140625" style="152"/>
    <col min="12" max="12" width="10.42578125" style="152" bestFit="1" customWidth="1"/>
    <col min="13" max="16384" width="9.140625" style="152"/>
  </cols>
  <sheetData>
    <row r="1" spans="1:19" ht="15" x14ac:dyDescent="0.25">
      <c r="A1" s="523" t="s">
        <v>34</v>
      </c>
      <c r="B1" s="523"/>
      <c r="C1" s="523"/>
      <c r="D1" s="523"/>
      <c r="E1" s="523"/>
      <c r="F1" s="523"/>
      <c r="G1" s="523"/>
      <c r="H1" s="523"/>
    </row>
    <row r="2" spans="1:19" x14ac:dyDescent="0.2">
      <c r="A2" s="524" t="s">
        <v>33</v>
      </c>
      <c r="B2" s="524"/>
      <c r="C2" s="524"/>
      <c r="D2" s="524"/>
      <c r="E2" s="524"/>
      <c r="F2" s="524"/>
      <c r="G2" s="524"/>
      <c r="H2" s="524"/>
    </row>
    <row r="3" spans="1:19" x14ac:dyDescent="0.2">
      <c r="A3" s="524" t="s">
        <v>1829</v>
      </c>
      <c r="B3" s="524"/>
      <c r="C3" s="524"/>
      <c r="D3" s="524"/>
      <c r="E3" s="524"/>
      <c r="F3" s="524"/>
      <c r="G3" s="524"/>
      <c r="H3" s="524"/>
    </row>
    <row r="4" spans="1:19" x14ac:dyDescent="0.2">
      <c r="A4" s="524" t="s">
        <v>1828</v>
      </c>
      <c r="B4" s="524"/>
      <c r="C4" s="524"/>
      <c r="D4" s="524"/>
      <c r="E4" s="524"/>
      <c r="F4" s="524"/>
      <c r="G4" s="524"/>
      <c r="H4" s="524"/>
    </row>
    <row r="8" spans="1:19" x14ac:dyDescent="0.2">
      <c r="A8" s="153" t="s">
        <v>32</v>
      </c>
      <c r="F8" s="154" t="s">
        <v>31</v>
      </c>
    </row>
    <row r="9" spans="1:19" x14ac:dyDescent="0.2">
      <c r="F9" s="155" t="s">
        <v>1317</v>
      </c>
      <c r="G9" s="61" t="s">
        <v>7167</v>
      </c>
    </row>
    <row r="10" spans="1:19" x14ac:dyDescent="0.2">
      <c r="A10" s="153" t="s">
        <v>5943</v>
      </c>
      <c r="F10" s="155" t="s">
        <v>1329</v>
      </c>
      <c r="G10" s="113" t="s">
        <v>7168</v>
      </c>
    </row>
    <row r="11" spans="1:19" x14ac:dyDescent="0.2">
      <c r="A11" s="153" t="s">
        <v>5944</v>
      </c>
      <c r="F11" s="155" t="s">
        <v>1330</v>
      </c>
      <c r="G11" s="113" t="s">
        <v>1220</v>
      </c>
    </row>
    <row r="12" spans="1:19" x14ac:dyDescent="0.2">
      <c r="A12" s="153" t="s">
        <v>5945</v>
      </c>
      <c r="F12" s="155" t="s">
        <v>1331</v>
      </c>
      <c r="G12" s="113" t="s">
        <v>770</v>
      </c>
      <c r="P12" s="152" t="s">
        <v>4776</v>
      </c>
    </row>
    <row r="13" spans="1:19" x14ac:dyDescent="0.2">
      <c r="A13" s="153" t="s">
        <v>5946</v>
      </c>
      <c r="K13" s="319"/>
    </row>
    <row r="14" spans="1:19" x14ac:dyDescent="0.2">
      <c r="N14" s="152" t="s">
        <v>4562</v>
      </c>
      <c r="O14" s="152" t="s">
        <v>4777</v>
      </c>
      <c r="P14" s="152" t="s">
        <v>4778</v>
      </c>
      <c r="S14" s="152">
        <v>166002.99008399999</v>
      </c>
    </row>
    <row r="15" spans="1:19" x14ac:dyDescent="0.2">
      <c r="P15" s="152" t="s">
        <v>4779</v>
      </c>
    </row>
    <row r="16" spans="1:19" s="162" customFormat="1" ht="20.100000000000001" customHeight="1" x14ac:dyDescent="0.2">
      <c r="A16" s="158" t="s">
        <v>1226</v>
      </c>
      <c r="B16" s="158" t="s">
        <v>128</v>
      </c>
      <c r="C16" s="158"/>
      <c r="D16" s="159" t="s">
        <v>19</v>
      </c>
      <c r="E16" s="159"/>
      <c r="F16" s="157"/>
      <c r="G16" s="160"/>
      <c r="H16" s="161" t="s">
        <v>18</v>
      </c>
      <c r="P16" s="162" t="s">
        <v>4780</v>
      </c>
    </row>
    <row r="17" spans="1:21" x14ac:dyDescent="0.2">
      <c r="A17" s="164"/>
    </row>
    <row r="18" spans="1:21" x14ac:dyDescent="0.2">
      <c r="D18" s="163" t="s">
        <v>6865</v>
      </c>
      <c r="E18" s="163"/>
      <c r="P18" s="152" t="s">
        <v>4781</v>
      </c>
    </row>
    <row r="20" spans="1:21" x14ac:dyDescent="0.2">
      <c r="A20" s="168"/>
      <c r="B20" s="264"/>
      <c r="C20" s="168"/>
      <c r="D20" s="153" t="s">
        <v>7169</v>
      </c>
      <c r="H20" s="153">
        <f>25600*4.2293</f>
        <v>108270.08</v>
      </c>
      <c r="P20" s="152" t="s">
        <v>52</v>
      </c>
      <c r="S20" s="152">
        <v>10</v>
      </c>
    </row>
    <row r="21" spans="1:21" x14ac:dyDescent="0.2">
      <c r="A21" s="168"/>
      <c r="B21" s="169"/>
      <c r="C21" s="169"/>
      <c r="D21" s="153" t="s">
        <v>7170</v>
      </c>
      <c r="E21" s="167"/>
    </row>
    <row r="22" spans="1:21" x14ac:dyDescent="0.2">
      <c r="A22" s="168"/>
      <c r="B22" s="173"/>
      <c r="C22" s="173"/>
      <c r="P22" s="152" t="s">
        <v>2147</v>
      </c>
      <c r="S22" s="152">
        <v>0.6</v>
      </c>
    </row>
    <row r="23" spans="1:21" x14ac:dyDescent="0.2">
      <c r="D23" s="153" t="s">
        <v>52</v>
      </c>
      <c r="F23" s="152"/>
      <c r="G23" s="152"/>
      <c r="H23" s="153">
        <v>30</v>
      </c>
      <c r="L23" s="319"/>
    </row>
    <row r="28" spans="1:21" x14ac:dyDescent="0.2">
      <c r="A28" s="166"/>
      <c r="B28" s="173"/>
      <c r="C28" s="173"/>
      <c r="N28" s="153"/>
      <c r="O28" s="153"/>
      <c r="P28" s="153"/>
      <c r="Q28" s="163" t="s">
        <v>4776</v>
      </c>
      <c r="R28" s="163"/>
      <c r="S28" s="153"/>
      <c r="T28" s="153"/>
      <c r="U28" s="153"/>
    </row>
    <row r="29" spans="1:21" x14ac:dyDescent="0.2">
      <c r="N29" s="153"/>
      <c r="O29" s="153"/>
      <c r="P29" s="153"/>
      <c r="Q29" s="153"/>
      <c r="R29" s="153"/>
      <c r="S29" s="153"/>
      <c r="T29" s="153"/>
      <c r="U29" s="153"/>
    </row>
    <row r="30" spans="1:21" x14ac:dyDescent="0.2">
      <c r="N30" s="168" t="s">
        <v>5934</v>
      </c>
      <c r="O30" s="168" t="s">
        <v>5935</v>
      </c>
      <c r="P30" s="168"/>
      <c r="Q30" s="153" t="s">
        <v>5936</v>
      </c>
      <c r="R30" s="153"/>
      <c r="S30" s="153"/>
      <c r="T30" s="153"/>
      <c r="U30" s="153">
        <f>71537.26*3.02309999</f>
        <v>216264.28999062738</v>
      </c>
    </row>
    <row r="31" spans="1:21" x14ac:dyDescent="0.2">
      <c r="A31" s="168"/>
      <c r="B31" s="173"/>
      <c r="C31" s="173"/>
      <c r="N31" s="168"/>
      <c r="O31" s="169"/>
      <c r="P31" s="169"/>
      <c r="Q31" s="167" t="s">
        <v>5937</v>
      </c>
      <c r="R31" s="167"/>
      <c r="S31" s="153"/>
      <c r="T31" s="153"/>
      <c r="U31" s="153"/>
    </row>
    <row r="32" spans="1:21" hidden="1" x14ac:dyDescent="0.2">
      <c r="D32" s="167"/>
      <c r="E32" s="167"/>
      <c r="N32" s="168"/>
      <c r="O32" s="173"/>
      <c r="P32" s="173"/>
      <c r="Q32" s="153"/>
      <c r="R32" s="153"/>
      <c r="S32" s="153"/>
      <c r="T32" s="153"/>
      <c r="U32" s="153"/>
    </row>
    <row r="33" spans="1:21" hidden="1" x14ac:dyDescent="0.2">
      <c r="A33" s="168"/>
      <c r="B33" s="173"/>
      <c r="C33" s="173"/>
      <c r="N33" s="153"/>
      <c r="O33" s="153"/>
      <c r="P33" s="153"/>
      <c r="Q33" s="153" t="s">
        <v>5938</v>
      </c>
      <c r="R33" s="153"/>
    </row>
    <row r="34" spans="1:21" hidden="1" x14ac:dyDescent="0.2">
      <c r="A34" s="168"/>
      <c r="B34" s="173"/>
      <c r="C34" s="173"/>
      <c r="D34" s="163"/>
      <c r="E34" s="163"/>
      <c r="N34" s="153"/>
      <c r="O34" s="153"/>
      <c r="P34" s="153"/>
      <c r="Q34" s="153"/>
      <c r="R34" s="153"/>
      <c r="S34" s="153"/>
      <c r="T34" s="153"/>
      <c r="U34" s="153"/>
    </row>
    <row r="35" spans="1:21" hidden="1" x14ac:dyDescent="0.2">
      <c r="A35" s="166"/>
      <c r="B35" s="169"/>
      <c r="C35" s="169"/>
      <c r="D35" s="152"/>
      <c r="E35" s="152"/>
      <c r="F35" s="152"/>
      <c r="G35" s="152"/>
      <c r="H35" s="152"/>
      <c r="N35" s="166"/>
      <c r="O35" s="173"/>
      <c r="P35" s="173"/>
      <c r="Q35" s="153" t="s">
        <v>52</v>
      </c>
      <c r="R35" s="153"/>
      <c r="S35" s="153"/>
      <c r="T35" s="153"/>
      <c r="U35" s="153">
        <v>10</v>
      </c>
    </row>
    <row r="36" spans="1:21" hidden="1" x14ac:dyDescent="0.2">
      <c r="A36" s="152"/>
      <c r="B36" s="152"/>
      <c r="C36" s="152"/>
      <c r="N36" s="153"/>
      <c r="O36" s="153"/>
      <c r="P36" s="153"/>
      <c r="Q36" s="153"/>
      <c r="R36" s="153"/>
      <c r="S36" s="153"/>
      <c r="T36" s="153"/>
      <c r="U36" s="153"/>
    </row>
    <row r="37" spans="1:21" hidden="1" x14ac:dyDescent="0.2">
      <c r="A37" s="152"/>
      <c r="B37" s="152"/>
      <c r="C37" s="152"/>
      <c r="D37" s="167"/>
      <c r="E37" s="167"/>
      <c r="N37" s="153"/>
      <c r="O37" s="153"/>
      <c r="P37" s="153"/>
      <c r="Q37" s="153" t="s">
        <v>2147</v>
      </c>
      <c r="R37" s="153"/>
      <c r="S37" s="153"/>
      <c r="T37" s="153"/>
      <c r="U37" s="153">
        <v>0.6</v>
      </c>
    </row>
    <row r="38" spans="1:21" hidden="1" x14ac:dyDescent="0.2">
      <c r="A38" s="166"/>
      <c r="B38" s="168"/>
      <c r="C38" s="168"/>
      <c r="D38" s="152"/>
      <c r="E38" s="152"/>
    </row>
    <row r="39" spans="1:21" hidden="1" x14ac:dyDescent="0.2">
      <c r="A39" s="166"/>
      <c r="B39" s="168"/>
      <c r="C39" s="168"/>
    </row>
    <row r="40" spans="1:21" hidden="1" x14ac:dyDescent="0.2">
      <c r="A40" s="166"/>
      <c r="B40" s="169"/>
      <c r="C40" s="169"/>
    </row>
    <row r="41" spans="1:21" x14ac:dyDescent="0.2">
      <c r="A41" s="166"/>
      <c r="B41" s="169"/>
      <c r="C41" s="169"/>
    </row>
    <row r="42" spans="1:21" x14ac:dyDescent="0.2">
      <c r="A42" s="215"/>
      <c r="B42" s="152"/>
      <c r="C42" s="152"/>
      <c r="D42" s="152"/>
      <c r="E42" s="152"/>
      <c r="F42" s="152"/>
      <c r="G42" s="152"/>
      <c r="H42" s="152"/>
    </row>
    <row r="43" spans="1:21" ht="13.5" thickBot="1" x14ac:dyDescent="0.25">
      <c r="A43" s="164"/>
      <c r="H43" s="170">
        <f>SUM(H20:H42)</f>
        <v>108300.08</v>
      </c>
    </row>
    <row r="44" spans="1:21" ht="13.5" thickTop="1" x14ac:dyDescent="0.2">
      <c r="A44" s="164"/>
    </row>
    <row r="45" spans="1:21" ht="20.100000000000001" customHeight="1" x14ac:dyDescent="0.2">
      <c r="A45" s="171" t="s">
        <v>1248</v>
      </c>
      <c r="B45" s="213" t="str">
        <f>IF(OR(H43&gt;1000000,H43&lt;=0),"",IF(H43&lt;1000,"",IF(MOD(H43,1000000)&gt;=100000,INDEX(numbers,TRUNC(MOD(H43,1000000)/100000,0)+1)&amp;" Hundred","")&amp;IF(MOD(H43,100000)&gt;=20000," "&amp;INDEX(tens,TRUNC(MOD(H43,100000)/10000,0)+1)&amp;IF(MOD(MOD(H43,100000),10000)&gt;=1000,"-"&amp;INDEX(numbers,TRUNC(MOD(MOD(H43,100000),10000)/1000,0)+1),""),IF(MOD(H43,100000)&gt;=1000," "&amp;INDEX(numbers,TRUNC(MOD(H43,100000)/1000,0)+1),""))&amp;" Thousand") &amp; IF(H43&lt;1,"Zero Dollars",IF(MOD(H43,1000)&gt;=100," "&amp;INDEX(numbers,TRUNC(MOD(H43,1000)/100,0)+1)&amp;" Hundred","")&amp;IF(MOD(H43,100)&gt;=20," "&amp;INDEX(tens,TRUNC(MOD(H43,100)/10,0)+1)&amp;IF(MOD(MOD(H43,100),10)&gt;=1,"-"&amp;INDEX(numbers,TRUNC(MOD(MOD(H43,100),10),0)+1),""),IF(MOD(H43,100)&gt;=1," "&amp;INDEX(numbers,TRUNC(MOD(H43,100),0)+1),""))&amp;"") &amp; " and " &amp; IF(MOD(H43,1)&lt;0.005,"NO",ROUND(MOD(H43,1)*100,0)) &amp; "/100 -----------")</f>
        <v>One Hundred Eight Thousand Three Hundred and 8/100 -----------</v>
      </c>
      <c r="C45" s="213"/>
      <c r="D45" s="172"/>
      <c r="E45" s="172"/>
      <c r="F45" s="172"/>
      <c r="G45" s="172"/>
      <c r="H45" s="172"/>
      <c r="N45" s="153"/>
      <c r="O45" s="153"/>
      <c r="P45" s="153"/>
      <c r="Q45" s="163" t="s">
        <v>5939</v>
      </c>
      <c r="R45" s="163"/>
      <c r="S45" s="153"/>
      <c r="T45" s="153"/>
      <c r="U45" s="153"/>
    </row>
    <row r="46" spans="1:21" x14ac:dyDescent="0.2">
      <c r="A46" s="273"/>
      <c r="N46" s="153"/>
      <c r="O46" s="153"/>
      <c r="P46" s="153"/>
      <c r="Q46" s="153"/>
      <c r="R46" s="153"/>
      <c r="S46" s="153"/>
      <c r="T46" s="153"/>
      <c r="U46" s="153"/>
    </row>
    <row r="47" spans="1:21" ht="25.5" x14ac:dyDescent="0.2">
      <c r="A47" s="153" t="s">
        <v>10</v>
      </c>
      <c r="D47" s="153" t="s">
        <v>8</v>
      </c>
      <c r="F47" s="218" t="s">
        <v>3975</v>
      </c>
      <c r="G47" s="219"/>
      <c r="H47" s="220"/>
      <c r="N47" s="168" t="s">
        <v>5727</v>
      </c>
      <c r="O47" s="168" t="s">
        <v>5940</v>
      </c>
      <c r="P47" s="168"/>
      <c r="Q47" s="153" t="s">
        <v>5941</v>
      </c>
      <c r="R47" s="153"/>
      <c r="S47" s="153"/>
      <c r="T47" s="153"/>
      <c r="U47" s="153">
        <f>4316.54*3.1221</f>
        <v>13476.669534000001</v>
      </c>
    </row>
    <row r="48" spans="1:21" x14ac:dyDescent="0.2">
      <c r="N48" s="168"/>
      <c r="O48" s="169"/>
      <c r="P48" s="169"/>
      <c r="Q48" s="167"/>
      <c r="R48" s="167"/>
      <c r="S48" s="153"/>
      <c r="T48" s="153"/>
      <c r="U48" s="153"/>
    </row>
    <row r="49" spans="1:21" x14ac:dyDescent="0.2">
      <c r="N49" s="168"/>
      <c r="O49" s="173"/>
      <c r="P49" s="173"/>
      <c r="Q49" s="153" t="s">
        <v>5942</v>
      </c>
      <c r="R49" s="153"/>
      <c r="S49" s="153"/>
      <c r="T49" s="153"/>
      <c r="U49" s="153">
        <f>1402.88*3.1221</f>
        <v>4379.9316480000007</v>
      </c>
    </row>
    <row r="50" spans="1:21" x14ac:dyDescent="0.2">
      <c r="A50" s="153" t="s">
        <v>120</v>
      </c>
      <c r="E50" s="173"/>
      <c r="N50" s="153"/>
      <c r="O50" s="153"/>
      <c r="P50" s="153"/>
      <c r="Q50" s="153"/>
      <c r="R50" s="153"/>
    </row>
    <row r="51" spans="1:21" x14ac:dyDescent="0.2">
      <c r="A51" s="174"/>
      <c r="B51" s="174"/>
      <c r="D51" s="274"/>
      <c r="N51" s="153"/>
      <c r="O51" s="153"/>
      <c r="P51" s="153"/>
      <c r="Q51" s="153" t="s">
        <v>52</v>
      </c>
      <c r="R51" s="153"/>
      <c r="S51" s="153"/>
      <c r="T51" s="153"/>
      <c r="U51" s="153">
        <v>10</v>
      </c>
    </row>
    <row r="52" spans="1:21" x14ac:dyDescent="0.2">
      <c r="D52" s="156" t="s">
        <v>50</v>
      </c>
      <c r="N52" s="166"/>
      <c r="O52" s="173"/>
      <c r="P52" s="173"/>
      <c r="Q52" s="153"/>
      <c r="R52" s="153"/>
      <c r="S52" s="153"/>
      <c r="T52" s="153"/>
      <c r="U52" s="153"/>
    </row>
    <row r="53" spans="1:21" x14ac:dyDescent="0.2">
      <c r="D53" s="156"/>
      <c r="N53" s="153"/>
      <c r="O53" s="153"/>
      <c r="P53" s="153"/>
      <c r="Q53" s="153" t="s">
        <v>2147</v>
      </c>
      <c r="R53" s="153"/>
      <c r="S53" s="153"/>
      <c r="T53" s="153"/>
      <c r="U53" s="153">
        <v>0.6</v>
      </c>
    </row>
    <row r="54" spans="1:21" x14ac:dyDescent="0.2">
      <c r="A54" s="153" t="s">
        <v>8</v>
      </c>
      <c r="D54" s="153" t="s">
        <v>8</v>
      </c>
      <c r="F54" s="175" t="s">
        <v>7</v>
      </c>
      <c r="H54" s="176"/>
      <c r="N54" s="153"/>
      <c r="O54" s="153"/>
      <c r="P54" s="153"/>
      <c r="Q54" s="153"/>
      <c r="R54" s="153"/>
      <c r="S54" s="153"/>
      <c r="T54" s="153"/>
      <c r="U54" s="153"/>
    </row>
    <row r="58" spans="1:21" x14ac:dyDescent="0.2">
      <c r="A58" s="274"/>
      <c r="B58" s="174"/>
      <c r="D58" s="274"/>
      <c r="F58" s="174"/>
      <c r="G58" s="174"/>
      <c r="H58" s="174"/>
    </row>
    <row r="59" spans="1:21" s="178" customFormat="1" ht="17.100000000000001" customHeight="1" x14ac:dyDescent="0.2">
      <c r="A59" s="156" t="s">
        <v>4066</v>
      </c>
      <c r="B59" s="177"/>
      <c r="C59" s="177"/>
      <c r="D59" s="156" t="s">
        <v>50</v>
      </c>
      <c r="E59" s="156"/>
      <c r="F59" s="156" t="s">
        <v>3</v>
      </c>
      <c r="G59" s="156"/>
      <c r="H59" s="156"/>
    </row>
    <row r="60" spans="1:21" x14ac:dyDescent="0.2">
      <c r="F60" s="153" t="s">
        <v>2</v>
      </c>
    </row>
    <row r="62" spans="1:21" x14ac:dyDescent="0.2">
      <c r="F62" s="163" t="s">
        <v>1</v>
      </c>
    </row>
    <row r="63" spans="1:21" x14ac:dyDescent="0.2">
      <c r="F63" s="163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790</vt:i4>
      </vt:variant>
      <vt:variant>
        <vt:lpstr>Named Ranges</vt:lpstr>
      </vt:variant>
      <vt:variant>
        <vt:i4>295</vt:i4>
      </vt:variant>
    </vt:vector>
  </HeadingPairs>
  <TitlesOfParts>
    <vt:vector size="1085" baseType="lpstr">
      <vt:lpstr>New Staff</vt:lpstr>
      <vt:lpstr>Asia Life</vt:lpstr>
      <vt:lpstr>Asia Life Digital</vt:lpstr>
      <vt:lpstr>Trainee</vt:lpstr>
      <vt:lpstr>360</vt:lpstr>
      <vt:lpstr>Absolute</vt:lpstr>
      <vt:lpstr>Trainee (2)</vt:lpstr>
      <vt:lpstr>Trainee (4)</vt:lpstr>
      <vt:lpstr>Trainee (3)</vt:lpstr>
      <vt:lpstr>PY Blank Copy</vt:lpstr>
      <vt:lpstr>Bastion</vt:lpstr>
      <vt:lpstr>BFM</vt:lpstr>
      <vt:lpstr>Bon Ton</vt:lpstr>
      <vt:lpstr>Afab</vt:lpstr>
      <vt:lpstr>Advance Tech</vt:lpstr>
      <vt:lpstr>Adeline</vt:lpstr>
      <vt:lpstr>Adstream</vt:lpstr>
      <vt:lpstr>Akauntan Negara Malaysia </vt:lpstr>
      <vt:lpstr>Azman bin Ahmad</vt:lpstr>
      <vt:lpstr>Archy Pub</vt:lpstr>
      <vt:lpstr>Ameba Art</vt:lpstr>
      <vt:lpstr>AljeffriDean</vt:lpstr>
      <vt:lpstr>Astro Shaw</vt:lpstr>
      <vt:lpstr>APL Media Ltd</vt:lpstr>
      <vt:lpstr>AirAsia</vt:lpstr>
      <vt:lpstr>AirAsia (2)</vt:lpstr>
      <vt:lpstr>Art Gallery</vt:lpstr>
      <vt:lpstr>Access Graphic</vt:lpstr>
      <vt:lpstr>Apollo Vista</vt:lpstr>
      <vt:lpstr>Alunan Matrik</vt:lpstr>
      <vt:lpstr>Agnes Maritha</vt:lpstr>
      <vt:lpstr>Asian Overland</vt:lpstr>
      <vt:lpstr>Aim Max</vt:lpstr>
      <vt:lpstr>AKA Balloon</vt:lpstr>
      <vt:lpstr>Asia Itinerary</vt:lpstr>
      <vt:lpstr>Annamah</vt:lpstr>
      <vt:lpstr>Actife Lifestyle</vt:lpstr>
      <vt:lpstr>ADR &amp; JNA</vt:lpstr>
      <vt:lpstr>Actiontintoy</vt:lpstr>
      <vt:lpstr>AXA</vt:lpstr>
      <vt:lpstr>Affa2</vt:lpstr>
      <vt:lpstr>AB Print</vt:lpstr>
      <vt:lpstr>Abdul Shukor</vt:lpstr>
      <vt:lpstr>A.Sani</vt:lpstr>
      <vt:lpstr>Air Media</vt:lpstr>
      <vt:lpstr>AB &amp; Artho</vt:lpstr>
      <vt:lpstr>Asmadi</vt:lpstr>
      <vt:lpstr>ArtisTari Production</vt:lpstr>
      <vt:lpstr>Aidil Travel</vt:lpstr>
      <vt:lpstr>Anovia Bridal</vt:lpstr>
      <vt:lpstr>Artiz Vision</vt:lpstr>
      <vt:lpstr>Advance Creative</vt:lpstr>
      <vt:lpstr>AHR</vt:lpstr>
      <vt:lpstr>Atlantic by Motion</vt:lpstr>
      <vt:lpstr>AirTrip</vt:lpstr>
      <vt:lpstr>Ahmad Syafiq</vt:lpstr>
      <vt:lpstr>AA</vt:lpstr>
      <vt:lpstr>A-Production</vt:lpstr>
      <vt:lpstr>AA (2)</vt:lpstr>
      <vt:lpstr>Access</vt:lpstr>
      <vt:lpstr>Amleisure</vt:lpstr>
      <vt:lpstr>Alliance</vt:lpstr>
      <vt:lpstr>Asia Holiday</vt:lpstr>
      <vt:lpstr>Advance </vt:lpstr>
      <vt:lpstr>Art Tune</vt:lpstr>
      <vt:lpstr>Astro</vt:lpstr>
      <vt:lpstr>Apollo</vt:lpstr>
      <vt:lpstr>AFC Network</vt:lpstr>
      <vt:lpstr>Emilia Ismail</vt:lpstr>
      <vt:lpstr>Eja</vt:lpstr>
      <vt:lpstr>Malaysia Airlines (2)</vt:lpstr>
      <vt:lpstr>Eqtd Consulting</vt:lpstr>
      <vt:lpstr>Eplus</vt:lpstr>
      <vt:lpstr>Exotic</vt:lpstr>
      <vt:lpstr>Ezone</vt:lpstr>
      <vt:lpstr>Expedia</vt:lpstr>
      <vt:lpstr>ET Hospitality</vt:lpstr>
      <vt:lpstr>Exabytes</vt:lpstr>
      <vt:lpstr>Evercool</vt:lpstr>
      <vt:lpstr>EY</vt:lpstr>
      <vt:lpstr>Explore BP</vt:lpstr>
      <vt:lpstr>Emi Yamazaki</vt:lpstr>
      <vt:lpstr>Elang Wah Sdn Bhd</vt:lpstr>
      <vt:lpstr>EC Square</vt:lpstr>
      <vt:lpstr>Excelpolitan</vt:lpstr>
      <vt:lpstr>Epromo</vt:lpstr>
      <vt:lpstr>Event Publishing</vt:lpstr>
      <vt:lpstr>Elite</vt:lpstr>
      <vt:lpstr>Evergreen</vt:lpstr>
      <vt:lpstr>Extiva</vt:lpstr>
      <vt:lpstr>ecs</vt:lpstr>
      <vt:lpstr>Asia Garden</vt:lpstr>
      <vt:lpstr>Consulate General</vt:lpstr>
      <vt:lpstr>Cellex</vt:lpstr>
      <vt:lpstr>Carees Co</vt:lpstr>
      <vt:lpstr>Conference Online</vt:lpstr>
      <vt:lpstr>CIMB Credit Card</vt:lpstr>
      <vt:lpstr>JumpStreet</vt:lpstr>
      <vt:lpstr>Ctrip Business</vt:lpstr>
      <vt:lpstr>Creative</vt:lpstr>
      <vt:lpstr>Cheong Yang Guang</vt:lpstr>
      <vt:lpstr>Consulate</vt:lpstr>
      <vt:lpstr>Chew Win Win</vt:lpstr>
      <vt:lpstr>Chung Ling</vt:lpstr>
      <vt:lpstr>CAC</vt:lpstr>
      <vt:lpstr>Chee Sek Thim</vt:lpstr>
      <vt:lpstr>Fine Winner</vt:lpstr>
      <vt:lpstr>FVW Median</vt:lpstr>
      <vt:lpstr>Focus Marketing</vt:lpstr>
      <vt:lpstr>Foong Chee Yin</vt:lpstr>
      <vt:lpstr>Flatplan</vt:lpstr>
      <vt:lpstr>Felix </vt:lpstr>
      <vt:lpstr>Friendship</vt:lpstr>
      <vt:lpstr>Fukusu</vt:lpstr>
      <vt:lpstr>Focus Malaysia</vt:lpstr>
      <vt:lpstr>Flagstaff</vt:lpstr>
      <vt:lpstr>Fluxline</vt:lpstr>
      <vt:lpstr>FM Global</vt:lpstr>
      <vt:lpstr>FKGlobal</vt:lpstr>
      <vt:lpstr>Fusion</vt:lpstr>
      <vt:lpstr>Franciscus</vt:lpstr>
      <vt:lpstr>Fine Print</vt:lpstr>
      <vt:lpstr>Fara</vt:lpstr>
      <vt:lpstr>Nurul Aini</vt:lpstr>
      <vt:lpstr>Nanjing</vt:lpstr>
      <vt:lpstr>Neoh Suat Hoon</vt:lpstr>
      <vt:lpstr>Natassya</vt:lpstr>
      <vt:lpstr>Freddy</vt:lpstr>
      <vt:lpstr>Firefly</vt:lpstr>
      <vt:lpstr>2020 Media</vt:lpstr>
      <vt:lpstr>Asia On Time</vt:lpstr>
      <vt:lpstr>Adat</vt:lpstr>
      <vt:lpstr>Amazing Planner</vt:lpstr>
      <vt:lpstr>Avant</vt:lpstr>
      <vt:lpstr>Agensi</vt:lpstr>
      <vt:lpstr>Adpix</vt:lpstr>
      <vt:lpstr>Arkitek</vt:lpstr>
      <vt:lpstr>Aun</vt:lpstr>
      <vt:lpstr>ATuZ</vt:lpstr>
      <vt:lpstr>A.S. Kranamm</vt:lpstr>
      <vt:lpstr>Angkat Berat</vt:lpstr>
      <vt:lpstr>Affa</vt:lpstr>
      <vt:lpstr>Avion </vt:lpstr>
      <vt:lpstr>Albert</vt:lpstr>
      <vt:lpstr>Alber Yap</vt:lpstr>
      <vt:lpstr>Avion</vt:lpstr>
      <vt:lpstr>Anjung Budaya</vt:lpstr>
      <vt:lpstr>Areca2</vt:lpstr>
      <vt:lpstr>Areca</vt:lpstr>
      <vt:lpstr>Alpha</vt:lpstr>
      <vt:lpstr>Abd Razak</vt:lpstr>
      <vt:lpstr>ATAP</vt:lpstr>
      <vt:lpstr>ARTS</vt:lpstr>
      <vt:lpstr>Asiatravex</vt:lpstr>
      <vt:lpstr>Hooi</vt:lpstr>
      <vt:lpstr>Brand-New Banner</vt:lpstr>
      <vt:lpstr>Butterfly House</vt:lpstr>
      <vt:lpstr>Bold</vt:lpstr>
      <vt:lpstr>B&amp;W</vt:lpstr>
      <vt:lpstr>Beceative</vt:lpstr>
      <vt:lpstr>British Council</vt:lpstr>
      <vt:lpstr>Brand New</vt:lpstr>
      <vt:lpstr>Bandar utama</vt:lpstr>
      <vt:lpstr>Bee Hee Lai</vt:lpstr>
      <vt:lpstr>Berjaya Sumpo</vt:lpstr>
      <vt:lpstr>Bang Phuong</vt:lpstr>
      <vt:lpstr>Beyond Multimedia</vt:lpstr>
      <vt:lpstr>BabaJob</vt:lpstr>
      <vt:lpstr>Bumimaju</vt:lpstr>
      <vt:lpstr>Busan Lotte Hotel</vt:lpstr>
      <vt:lpstr>Be Inspired</vt:lpstr>
      <vt:lpstr>Boon Seng</vt:lpstr>
      <vt:lpstr>BFM Media</vt:lpstr>
      <vt:lpstr>BB Websolutions</vt:lpstr>
      <vt:lpstr>Bendahari Negeri Pulau Pinang</vt:lpstr>
      <vt:lpstr>BLAM</vt:lpstr>
      <vt:lpstr>Bendahari</vt:lpstr>
      <vt:lpstr>Bousteead Weld Quay</vt:lpstr>
      <vt:lpstr>Benedict Lian Shi XIang</vt:lpstr>
      <vt:lpstr>Balasu</vt:lpstr>
      <vt:lpstr>Bagan Eighteen</vt:lpstr>
      <vt:lpstr>Bonusreka</vt:lpstr>
      <vt:lpstr>Benfont</vt:lpstr>
      <vt:lpstr>Baba Success</vt:lpstr>
      <vt:lpstr>Baba Two</vt:lpstr>
      <vt:lpstr>Bangkok Express</vt:lpstr>
      <vt:lpstr>Bayview</vt:lpstr>
      <vt:lpstr>BJ Hotel Development</vt:lpstr>
      <vt:lpstr>Bernice</vt:lpstr>
      <vt:lpstr>Borneo Vision</vt:lpstr>
      <vt:lpstr>Bamboo</vt:lpstr>
      <vt:lpstr>Borneo</vt:lpstr>
      <vt:lpstr>AdvOGL</vt:lpstr>
      <vt:lpstr>BTP</vt:lpstr>
      <vt:lpstr>BNS</vt:lpstr>
      <vt:lpstr>Broncos1</vt:lpstr>
      <vt:lpstr>Broncos</vt:lpstr>
      <vt:lpstr>Badan Warisan</vt:lpstr>
      <vt:lpstr>Basic</vt:lpstr>
      <vt:lpstr>Biscuit Seng Heang</vt:lpstr>
      <vt:lpstr>Berjaya</vt:lpstr>
      <vt:lpstr>BJ Hotel Development (2)</vt:lpstr>
      <vt:lpstr>Color Max</vt:lpstr>
      <vt:lpstr>Ch'ng</vt:lpstr>
      <vt:lpstr>Capital One</vt:lpstr>
      <vt:lpstr>Celcom</vt:lpstr>
      <vt:lpstr>Chong Li Ching</vt:lpstr>
      <vt:lpstr>Chung Hwa</vt:lpstr>
      <vt:lpstr>Ching Xing Sports</vt:lpstr>
      <vt:lpstr>Corportenet (2)</vt:lpstr>
      <vt:lpstr>Corportenet (3)</vt:lpstr>
      <vt:lpstr>cimb</vt:lpstr>
      <vt:lpstr>cimb (2)</vt:lpstr>
      <vt:lpstr>cimb (3)</vt:lpstr>
      <vt:lpstr>cimb (4)</vt:lpstr>
      <vt:lpstr>Continental</vt:lpstr>
      <vt:lpstr>Chee</vt:lpstr>
      <vt:lpstr>Crown</vt:lpstr>
      <vt:lpstr>Campbell</vt:lpstr>
      <vt:lpstr>China Tiger</vt:lpstr>
      <vt:lpstr>Clarity</vt:lpstr>
      <vt:lpstr>Clarity (2)</vt:lpstr>
      <vt:lpstr>Choo Yew Choon</vt:lpstr>
      <vt:lpstr>Cheong Seng Chan</vt:lpstr>
      <vt:lpstr>Cheong Seng Chan (2)</vt:lpstr>
      <vt:lpstr>Chew </vt:lpstr>
      <vt:lpstr>Ching Xing (2)</vt:lpstr>
      <vt:lpstr>Choo</vt:lpstr>
      <vt:lpstr>Choo Kar Chong</vt:lpstr>
      <vt:lpstr>Chess</vt:lpstr>
      <vt:lpstr>City-Link</vt:lpstr>
      <vt:lpstr>Chin Lei Chen</vt:lpstr>
      <vt:lpstr>Chales Jordan</vt:lpstr>
      <vt:lpstr>Connect</vt:lpstr>
      <vt:lpstr>Chung</vt:lpstr>
      <vt:lpstr>Chung Beng Ent</vt:lpstr>
      <vt:lpstr>Cool Illusions</vt:lpstr>
      <vt:lpstr>Choo Kok Leong</vt:lpstr>
      <vt:lpstr>Centre Florist</vt:lpstr>
      <vt:lpstr>Chiao Tze</vt:lpstr>
      <vt:lpstr>Chung Hwa Confucian</vt:lpstr>
      <vt:lpstr>Confrerie</vt:lpstr>
      <vt:lpstr>Chang Lee Lee</vt:lpstr>
      <vt:lpstr>Chef</vt:lpstr>
      <vt:lpstr>Asia</vt:lpstr>
      <vt:lpstr>Click Start</vt:lpstr>
      <vt:lpstr>Cartesio Sdn Bhd</vt:lpstr>
      <vt:lpstr>Chan Kam Seng</vt:lpstr>
      <vt:lpstr>Centrilinc</vt:lpstr>
      <vt:lpstr>Chan Hon Meng</vt:lpstr>
      <vt:lpstr>Chan Wei Meng</vt:lpstr>
      <vt:lpstr>China Southern</vt:lpstr>
      <vt:lpstr>Cheah Kwan Mien</vt:lpstr>
      <vt:lpstr>Cathay</vt:lpstr>
      <vt:lpstr>Chan Hon Meng2</vt:lpstr>
      <vt:lpstr>Chan Fong</vt:lpstr>
      <vt:lpstr>CNS</vt:lpstr>
      <vt:lpstr>Cooler Lumpur</vt:lpstr>
      <vt:lpstr>Corportenet</vt:lpstr>
      <vt:lpstr>Carolyn Ooi</vt:lpstr>
      <vt:lpstr>CSSB</vt:lpstr>
      <vt:lpstr>Cake</vt:lpstr>
      <vt:lpstr>Chai Chik Ying</vt:lpstr>
      <vt:lpstr>Crowne Plaza</vt:lpstr>
      <vt:lpstr>Capital All Star Enterprise</vt:lpstr>
      <vt:lpstr>Cecilia</vt:lpstr>
      <vt:lpstr>Chan Tang Eng</vt:lpstr>
      <vt:lpstr>Colonial Penang</vt:lpstr>
      <vt:lpstr>Chong Lee Choo</vt:lpstr>
      <vt:lpstr>Conceptual</vt:lpstr>
      <vt:lpstr>Capitol</vt:lpstr>
      <vt:lpstr>Creathink</vt:lpstr>
      <vt:lpstr>CAC </vt:lpstr>
      <vt:lpstr>Chee Seng</vt:lpstr>
      <vt:lpstr>Copthorne Orchid Penang</vt:lpstr>
      <vt:lpstr>China Airlines Limited</vt:lpstr>
      <vt:lpstr>Cheese Ads</vt:lpstr>
      <vt:lpstr>Caritech</vt:lpstr>
      <vt:lpstr>Chailek</vt:lpstr>
      <vt:lpstr>Cheah Hock Lye</vt:lpstr>
      <vt:lpstr>CatEagle</vt:lpstr>
      <vt:lpstr>C.T. Tech</vt:lpstr>
      <vt:lpstr>Can Can Public</vt:lpstr>
      <vt:lpstr>Chong Kar Yuan</vt:lpstr>
      <vt:lpstr>Cityneon</vt:lpstr>
      <vt:lpstr>CCL</vt:lpstr>
      <vt:lpstr>Celcom Sdn Bhd</vt:lpstr>
      <vt:lpstr>CIMB-sal</vt:lpstr>
      <vt:lpstr>C.K.C</vt:lpstr>
      <vt:lpstr>Cititel</vt:lpstr>
      <vt:lpstr>Carat media</vt:lpstr>
      <vt:lpstr>City Bayview</vt:lpstr>
      <vt:lpstr>China Air</vt:lpstr>
      <vt:lpstr>Ching Xing</vt:lpstr>
      <vt:lpstr>Chingay</vt:lpstr>
      <vt:lpstr>Chan Bro</vt:lpstr>
      <vt:lpstr>Creativision</vt:lpstr>
      <vt:lpstr>Chin P Chin</vt:lpstr>
      <vt:lpstr>Capricorn</vt:lpstr>
      <vt:lpstr>Convep2</vt:lpstr>
      <vt:lpstr>Convep</vt:lpstr>
      <vt:lpstr>Cheong F TzeMansion</vt:lpstr>
      <vt:lpstr>Convex</vt:lpstr>
      <vt:lpstr>Didadee</vt:lpstr>
      <vt:lpstr>Deiwayani</vt:lpstr>
      <vt:lpstr>Dragon Airlines</vt:lpstr>
      <vt:lpstr>Discover Vacations</vt:lpstr>
      <vt:lpstr>Daehong</vt:lpstr>
      <vt:lpstr>Danny</vt:lpstr>
      <vt:lpstr>Discover Orient</vt:lpstr>
      <vt:lpstr>Disted </vt:lpstr>
      <vt:lpstr>D'Media</vt:lpstr>
      <vt:lpstr>David Hall</vt:lpstr>
      <vt:lpstr>Dream Art Centre</vt:lpstr>
      <vt:lpstr>DSOP1 (2)</vt:lpstr>
      <vt:lpstr>DHL</vt:lpstr>
      <vt:lpstr>Dream River</vt:lpstr>
      <vt:lpstr>Design Furniture</vt:lpstr>
      <vt:lpstr>Delta</vt:lpstr>
      <vt:lpstr>De Meridian</vt:lpstr>
      <vt:lpstr>D Love Holiday</vt:lpstr>
      <vt:lpstr>Dam</vt:lpstr>
      <vt:lpstr>D Dapor</vt:lpstr>
      <vt:lpstr>Devi</vt:lpstr>
      <vt:lpstr>DSOP1</vt:lpstr>
      <vt:lpstr>David</vt:lpstr>
      <vt:lpstr>Dorian</vt:lpstr>
      <vt:lpstr>Dewan Melayu</vt:lpstr>
      <vt:lpstr>Discovery Overland</vt:lpstr>
      <vt:lpstr>DC Press</vt:lpstr>
      <vt:lpstr>Danzity</vt:lpstr>
      <vt:lpstr>Dreamz</vt:lpstr>
      <vt:lpstr>Deco</vt:lpstr>
      <vt:lpstr>Design Ark</vt:lpstr>
      <vt:lpstr>DSOP</vt:lpstr>
      <vt:lpstr>E&amp;O Hotel</vt:lpstr>
      <vt:lpstr>E&amp;O Trading</vt:lpstr>
      <vt:lpstr>E&amp;O Express</vt:lpstr>
      <vt:lpstr>EPhoto</vt:lpstr>
      <vt:lpstr>Editorial</vt:lpstr>
      <vt:lpstr>Eastin2</vt:lpstr>
      <vt:lpstr>Emsoft</vt:lpstr>
      <vt:lpstr>ET Technic SB</vt:lpstr>
      <vt:lpstr>Ewe Teik Siang</vt:lpstr>
      <vt:lpstr>Eli</vt:lpstr>
      <vt:lpstr>Emanon</vt:lpstr>
      <vt:lpstr>eon2</vt:lpstr>
      <vt:lpstr>Espikel</vt:lpstr>
      <vt:lpstr>ES</vt:lpstr>
      <vt:lpstr>Eden</vt:lpstr>
      <vt:lpstr>Eden (2)</vt:lpstr>
      <vt:lpstr>EPF</vt:lpstr>
      <vt:lpstr>EY Tax-cp204</vt:lpstr>
      <vt:lpstr>E&amp;O</vt:lpstr>
      <vt:lpstr>Eastin</vt:lpstr>
      <vt:lpstr>EON</vt:lpstr>
      <vt:lpstr>EY -formC &amp; R</vt:lpstr>
      <vt:lpstr>Fajar Seloka2</vt:lpstr>
      <vt:lpstr>Fettes Park</vt:lpstr>
      <vt:lpstr>Fiabci</vt:lpstr>
      <vt:lpstr>Feng Studio</vt:lpstr>
      <vt:lpstr>Fuji Xerox (3)</vt:lpstr>
      <vt:lpstr>Fuji Xerox</vt:lpstr>
      <vt:lpstr>Freedom G</vt:lpstr>
      <vt:lpstr>FR Design</vt:lpstr>
      <vt:lpstr>Forever</vt:lpstr>
      <vt:lpstr>FTZ Travel</vt:lpstr>
      <vt:lpstr>Fajar Seloka</vt:lpstr>
      <vt:lpstr>Freedom</vt:lpstr>
      <vt:lpstr>Folia</vt:lpstr>
      <vt:lpstr>Obgyn</vt:lpstr>
      <vt:lpstr>Oriental</vt:lpstr>
      <vt:lpstr>One FM</vt:lpstr>
      <vt:lpstr>OMNI</vt:lpstr>
      <vt:lpstr>Ooi</vt:lpstr>
      <vt:lpstr>Foo Yu Keong</vt:lpstr>
      <vt:lpstr>Firefly2</vt:lpstr>
      <vt:lpstr>FIH Ent</vt:lpstr>
      <vt:lpstr>Glory Property</vt:lpstr>
      <vt:lpstr>GHT Malaysia</vt:lpstr>
      <vt:lpstr>Great Eastern</vt:lpstr>
      <vt:lpstr>Golden Adventure</vt:lpstr>
      <vt:lpstr>Good Foodie</vt:lpstr>
      <vt:lpstr>Goh Yen Ting</vt:lpstr>
      <vt:lpstr>Gooi Hean Kar</vt:lpstr>
      <vt:lpstr>Gemilang</vt:lpstr>
      <vt:lpstr>Goche</vt:lpstr>
      <vt:lpstr>Golden Sands</vt:lpstr>
      <vt:lpstr>Ginncons</vt:lpstr>
      <vt:lpstr>G'town</vt:lpstr>
      <vt:lpstr>Grand Travel</vt:lpstr>
      <vt:lpstr>Gulliever</vt:lpstr>
      <vt:lpstr>Gem</vt:lpstr>
      <vt:lpstr>Google</vt:lpstr>
      <vt:lpstr>Global Leadership</vt:lpstr>
      <vt:lpstr>Gtown</vt:lpstr>
      <vt:lpstr>GTWHI</vt:lpstr>
      <vt:lpstr>Ghee Hiang</vt:lpstr>
      <vt:lpstr>Go Int Group</vt:lpstr>
      <vt:lpstr>G Maker</vt:lpstr>
      <vt:lpstr>Goh Chen Yee2</vt:lpstr>
      <vt:lpstr>Goh Hock Hoe</vt:lpstr>
      <vt:lpstr>GM</vt:lpstr>
      <vt:lpstr>Gooi</vt:lpstr>
      <vt:lpstr>Gan</vt:lpstr>
      <vt:lpstr>Ghee Hup</vt:lpstr>
      <vt:lpstr>Gan Adv</vt:lpstr>
      <vt:lpstr>GT WHI</vt:lpstr>
      <vt:lpstr>Glory Florist</vt:lpstr>
      <vt:lpstr>Goh Chen Yee</vt:lpstr>
      <vt:lpstr>G-hotel</vt:lpstr>
      <vt:lpstr>GanFW</vt:lpstr>
      <vt:lpstr>Highbury</vt:lpstr>
      <vt:lpstr>HotelnAir</vt:lpstr>
      <vt:lpstr>Travelogy</vt:lpstr>
      <vt:lpstr>NorthStar</vt:lpstr>
      <vt:lpstr>Hur Gi Naam</vt:lpstr>
      <vt:lpstr>Hastadi Mulijono</vt:lpstr>
      <vt:lpstr>Horizon</vt:lpstr>
      <vt:lpstr>Hot Print 1</vt:lpstr>
      <vt:lpstr>Hores</vt:lpstr>
      <vt:lpstr>HIlton Tokyo</vt:lpstr>
      <vt:lpstr>Haze</vt:lpstr>
      <vt:lpstr>Hop On Media</vt:lpstr>
      <vt:lpstr>Heart</vt:lpstr>
      <vt:lpstr>Hot Print</vt:lpstr>
      <vt:lpstr>HG Lim</vt:lpstr>
      <vt:lpstr>Heng Lee Lee</vt:lpstr>
      <vt:lpstr>Hana Tour (2)</vt:lpstr>
      <vt:lpstr>Hana Tour</vt:lpstr>
      <vt:lpstr>Hana Tour Service</vt:lpstr>
      <vt:lpstr>Hunza</vt:lpstr>
      <vt:lpstr>Hugh Nicholas</vt:lpstr>
      <vt:lpstr>Haron</vt:lpstr>
      <vt:lpstr>HinTeik</vt:lpstr>
      <vt:lpstr>Ho Jia Qian</vt:lpstr>
      <vt:lpstr>Hizwan Hamid</vt:lpstr>
      <vt:lpstr>Hoo Kim</vt:lpstr>
      <vt:lpstr>Han WIra</vt:lpstr>
      <vt:lpstr>HK Tramways</vt:lpstr>
      <vt:lpstr>Hameed</vt:lpstr>
      <vt:lpstr>Holiday Tours</vt:lpstr>
      <vt:lpstr>harpers</vt:lpstr>
      <vt:lpstr>Hong Kong Convention</vt:lpstr>
      <vt:lpstr>Heng</vt:lpstr>
      <vt:lpstr>Huei Yow</vt:lpstr>
      <vt:lpstr>Husam</vt:lpstr>
      <vt:lpstr>HikeEnt</vt:lpstr>
      <vt:lpstr>HikeEnt (2)</vt:lpstr>
      <vt:lpstr>Hong Guan</vt:lpstr>
      <vt:lpstr>Hard Rock</vt:lpstr>
      <vt:lpstr>Ernst&amp;YoungTax</vt:lpstr>
      <vt:lpstr>Hanafiah</vt:lpstr>
      <vt:lpstr>Helmi</vt:lpstr>
      <vt:lpstr>Hainan</vt:lpstr>
      <vt:lpstr>Hotel EQ</vt:lpstr>
      <vt:lpstr>Holiday Villa</vt:lpstr>
      <vt:lpstr>Helen Saw</vt:lpstr>
      <vt:lpstr>Hekty</vt:lpstr>
      <vt:lpstr>Hekty (2)</vt:lpstr>
      <vt:lpstr>Hai Nan</vt:lpstr>
      <vt:lpstr>Hwa Yik</vt:lpstr>
      <vt:lpstr>Informa</vt:lpstr>
      <vt:lpstr>ID INC</vt:lpstr>
      <vt:lpstr>Illusion</vt:lpstr>
      <vt:lpstr>Innogen</vt:lpstr>
      <vt:lpstr>Info Colour</vt:lpstr>
      <vt:lpstr>Ironman Trading</vt:lpstr>
      <vt:lpstr>Imperial</vt:lpstr>
      <vt:lpstr>David Hall (2)</vt:lpstr>
      <vt:lpstr>Izzardzafli</vt:lpstr>
      <vt:lpstr>IPK College</vt:lpstr>
      <vt:lpstr>I2 Promotion</vt:lpstr>
      <vt:lpstr>INTI</vt:lpstr>
      <vt:lpstr>Indent Media</vt:lpstr>
      <vt:lpstr>ITC</vt:lpstr>
      <vt:lpstr>Impress</vt:lpstr>
      <vt:lpstr>Invest-in-Penang</vt:lpstr>
      <vt:lpstr>Instant</vt:lpstr>
      <vt:lpstr>Instant (2)</vt:lpstr>
      <vt:lpstr>Impakstrat</vt:lpstr>
      <vt:lpstr>Image Hall</vt:lpstr>
      <vt:lpstr>Izwan</vt:lpstr>
      <vt:lpstr>Impression</vt:lpstr>
      <vt:lpstr>Ink</vt:lpstr>
      <vt:lpstr>Ink Publishing</vt:lpstr>
      <vt:lpstr>In Zone</vt:lpstr>
      <vt:lpstr>Integrat Tourism </vt:lpstr>
      <vt:lpstr>Image Farm</vt:lpstr>
      <vt:lpstr>Irisan</vt:lpstr>
      <vt:lpstr>Jenexus</vt:lpstr>
      <vt:lpstr>Johnny Chee</vt:lpstr>
      <vt:lpstr>Jeeyoun</vt:lpstr>
      <vt:lpstr>JV Int</vt:lpstr>
      <vt:lpstr>Joy Chan</vt:lpstr>
      <vt:lpstr>J&amp;A Production</vt:lpstr>
      <vt:lpstr>Jackie M</vt:lpstr>
      <vt:lpstr>Jurutera</vt:lpstr>
      <vt:lpstr>JWL</vt:lpstr>
      <vt:lpstr>Josh</vt:lpstr>
      <vt:lpstr>Joanne Khoo</vt:lpstr>
      <vt:lpstr>Johdaya</vt:lpstr>
      <vt:lpstr>Jobstreet</vt:lpstr>
      <vt:lpstr>Jetmax</vt:lpstr>
      <vt:lpstr>Jerome Quah</vt:lpstr>
      <vt:lpstr>Jaykodi</vt:lpstr>
      <vt:lpstr>Jass</vt:lpstr>
      <vt:lpstr>Jenny</vt:lpstr>
      <vt:lpstr>Joe Sidek</vt:lpstr>
      <vt:lpstr>Jinastik</vt:lpstr>
      <vt:lpstr>jeffs</vt:lpstr>
      <vt:lpstr>Jasmin</vt:lpstr>
      <vt:lpstr>JBV</vt:lpstr>
      <vt:lpstr>Janice</vt:lpstr>
      <vt:lpstr>Julie</vt:lpstr>
      <vt:lpstr>Jeffs Art</vt:lpstr>
      <vt:lpstr>JKKK SPS</vt:lpstr>
      <vt:lpstr>Jutaprint</vt:lpstr>
      <vt:lpstr>AdvJulie</vt:lpstr>
      <vt:lpstr>Koperasi Sekolah</vt:lpstr>
      <vt:lpstr>Knight PR</vt:lpstr>
      <vt:lpstr>Kathy</vt:lpstr>
      <vt:lpstr>Kok Chun Khai</vt:lpstr>
      <vt:lpstr>Kelvin Ong</vt:lpstr>
      <vt:lpstr>KSL travel</vt:lpstr>
      <vt:lpstr>Kelab Lumba</vt:lpstr>
      <vt:lpstr>KY Studio</vt:lpstr>
      <vt:lpstr>komtar Hotel </vt:lpstr>
      <vt:lpstr>Khoo Swee Heang</vt:lpstr>
      <vt:lpstr>Kelab Sukan</vt:lpstr>
      <vt:lpstr>KL Metro</vt:lpstr>
      <vt:lpstr>Kenray</vt:lpstr>
      <vt:lpstr>Ko Kai Kong</vt:lpstr>
      <vt:lpstr>Kraken</vt:lpstr>
      <vt:lpstr>Kam Seng Yew</vt:lpstr>
      <vt:lpstr>Kota Corwallis</vt:lpstr>
      <vt:lpstr>Hong Cheng</vt:lpstr>
      <vt:lpstr>H'ng Lee Lee</vt:lpstr>
      <vt:lpstr>Katak Creation</vt:lpstr>
      <vt:lpstr>Kilang Ghee Hup</vt:lpstr>
      <vt:lpstr>Kapten Buehbossa</vt:lpstr>
      <vt:lpstr>Kolej UTAR</vt:lpstr>
      <vt:lpstr>KDU College</vt:lpstr>
      <vt:lpstr>Kailarsh</vt:lpstr>
      <vt:lpstr>Kolej Sentral</vt:lpstr>
      <vt:lpstr>Khaw Shu Xiao </vt:lpstr>
      <vt:lpstr>Keong Yeh Han</vt:lpstr>
      <vt:lpstr>Kim Fashion 2</vt:lpstr>
      <vt:lpstr>Kua Janice</vt:lpstr>
      <vt:lpstr>Konatsu LGCC</vt:lpstr>
      <vt:lpstr>Kwek Shen Chun</vt:lpstr>
      <vt:lpstr>Kamilia</vt:lpstr>
      <vt:lpstr>Kee Seok Poh</vt:lpstr>
      <vt:lpstr>Koleksi Wasayang</vt:lpstr>
      <vt:lpstr>Kua Tze Phing</vt:lpstr>
      <vt:lpstr>Khoo Lay Im</vt:lpstr>
      <vt:lpstr>Koay Poy Teik</vt:lpstr>
      <vt:lpstr>Kwong Wah Realty</vt:lpstr>
      <vt:lpstr>K2 Trading</vt:lpstr>
      <vt:lpstr>Key Jeung</vt:lpstr>
      <vt:lpstr>Khazanah</vt:lpstr>
      <vt:lpstr>Koay Song Lin</vt:lpstr>
      <vt:lpstr>Lotte Hotel</vt:lpstr>
      <vt:lpstr>Lye Imm</vt:lpstr>
      <vt:lpstr>Lyric Labs</vt:lpstr>
      <vt:lpstr>Lion Travel</vt:lpstr>
      <vt:lpstr>L&amp;O Stand</vt:lpstr>
      <vt:lpstr>Leisure</vt:lpstr>
      <vt:lpstr>Linear Online</vt:lpstr>
      <vt:lpstr>Lam Chooi Kheng2</vt:lpstr>
      <vt:lpstr>Low Yen Peng</vt:lpstr>
      <vt:lpstr>Loo Chee Khuan</vt:lpstr>
      <vt:lpstr>Lada Eco</vt:lpstr>
      <vt:lpstr>Local Culinary</vt:lpstr>
      <vt:lpstr>Lim Guan Eng</vt:lpstr>
      <vt:lpstr>Lee Ick Joo</vt:lpstr>
      <vt:lpstr>Lim Wooi Hong</vt:lpstr>
      <vt:lpstr>Law Heng Kiang</vt:lpstr>
      <vt:lpstr>Yeoh Soon Hin</vt:lpstr>
      <vt:lpstr>Dato' Rosli</vt:lpstr>
      <vt:lpstr>YB Dato' Abdul Malik</vt:lpstr>
      <vt:lpstr>Dato Mustafa</vt:lpstr>
      <vt:lpstr>Danny Goon</vt:lpstr>
      <vt:lpstr>Tan Sam Soon</vt:lpstr>
      <vt:lpstr>Dato Seri Aru</vt:lpstr>
      <vt:lpstr>Kenneth</vt:lpstr>
      <vt:lpstr>MyGap</vt:lpstr>
      <vt:lpstr>Movinlight</vt:lpstr>
      <vt:lpstr>Matahari </vt:lpstr>
      <vt:lpstr>Malathi</vt:lpstr>
      <vt:lpstr>Monkey Ideas Event</vt:lpstr>
      <vt:lpstr>Motivate</vt:lpstr>
      <vt:lpstr>Minh</vt:lpstr>
      <vt:lpstr>Marketing Awarness</vt:lpstr>
      <vt:lpstr>Media Hub</vt:lpstr>
      <vt:lpstr>Mary Ann Harriss</vt:lpstr>
      <vt:lpstr>Khoo Boo Lim</vt:lpstr>
      <vt:lpstr>Gooi Zi Sen</vt:lpstr>
      <vt:lpstr>Ong Ah Teong</vt:lpstr>
      <vt:lpstr>Louise</vt:lpstr>
      <vt:lpstr>Long Fong</vt:lpstr>
      <vt:lpstr>Lim Yee Harng</vt:lpstr>
      <vt:lpstr>Lim Woi Hong</vt:lpstr>
      <vt:lpstr>L&amp;O</vt:lpstr>
      <vt:lpstr>Leader Asia</vt:lpstr>
      <vt:lpstr>Lanskar</vt:lpstr>
      <vt:lpstr>Lokle Siew Fook</vt:lpstr>
      <vt:lpstr>Lembaga Penggalakan</vt:lpstr>
      <vt:lpstr>Leong Wen Pin</vt:lpstr>
      <vt:lpstr>Land Success</vt:lpstr>
      <vt:lpstr>Love A Cupcake (2)</vt:lpstr>
      <vt:lpstr>Leong Kit Yeng</vt:lpstr>
      <vt:lpstr>Love A Cupcake</vt:lpstr>
      <vt:lpstr>LiveWire</vt:lpstr>
      <vt:lpstr>LA Vintage</vt:lpstr>
      <vt:lpstr>Lim Saiko</vt:lpstr>
      <vt:lpstr>Leonard</vt:lpstr>
      <vt:lpstr>Lam Ah</vt:lpstr>
      <vt:lpstr>Lee Ter Yi</vt:lpstr>
      <vt:lpstr>Leong Wei Leng</vt:lpstr>
      <vt:lpstr>Leong</vt:lpstr>
      <vt:lpstr>Lembbaga</vt:lpstr>
      <vt:lpstr>Lam Kah</vt:lpstr>
      <vt:lpstr>Low Chung Tsu</vt:lpstr>
      <vt:lpstr>Lembaga</vt:lpstr>
      <vt:lpstr>Leong yin</vt:lpstr>
      <vt:lpstr>Loh Yin Suet</vt:lpstr>
      <vt:lpstr>Lau Jian Pyng</vt:lpstr>
      <vt:lpstr>Liang Chow Ming</vt:lpstr>
      <vt:lpstr>Legion Parking</vt:lpstr>
      <vt:lpstr>Liang</vt:lpstr>
      <vt:lpstr>Lok (2)</vt:lpstr>
      <vt:lpstr>Lok</vt:lpstr>
      <vt:lpstr>Lee Wai Keong</vt:lpstr>
      <vt:lpstr>Khaw Juat Seng</vt:lpstr>
      <vt:lpstr>KWSP</vt:lpstr>
      <vt:lpstr>PT Exodus</vt:lpstr>
      <vt:lpstr>Pertubuhan (2)</vt:lpstr>
      <vt:lpstr>Pertubuhan (3)</vt:lpstr>
      <vt:lpstr>Ketua Pengarah</vt:lpstr>
      <vt:lpstr>Ketua Pengarah (2)</vt:lpstr>
      <vt:lpstr>Ketua Pengarah (3)</vt:lpstr>
      <vt:lpstr>Ketua Pengarah (PTPTN)</vt:lpstr>
      <vt:lpstr>LHDN </vt:lpstr>
      <vt:lpstr>LHDN  (2)</vt:lpstr>
      <vt:lpstr>LHDN  (3)</vt:lpstr>
      <vt:lpstr>Koay Beng Hong</vt:lpstr>
      <vt:lpstr>Khoo Hoay Ching</vt:lpstr>
      <vt:lpstr>Kembang</vt:lpstr>
      <vt:lpstr>Kembang (2)</vt:lpstr>
      <vt:lpstr>KF Sticker</vt:lpstr>
      <vt:lpstr>Komunikatin</vt:lpstr>
      <vt:lpstr>Kee Seok Choo</vt:lpstr>
      <vt:lpstr>Kim Fashion</vt:lpstr>
      <vt:lpstr>KersonMediaGlobal</vt:lpstr>
      <vt:lpstr>Kopel</vt:lpstr>
      <vt:lpstr>KTM</vt:lpstr>
      <vt:lpstr>KDU</vt:lpstr>
      <vt:lpstr>Karisma</vt:lpstr>
      <vt:lpstr>Kelab Muzium</vt:lpstr>
      <vt:lpstr>Kreatif Arts</vt:lpstr>
      <vt:lpstr>Kwong Wah</vt:lpstr>
      <vt:lpstr>Ken Karting</vt:lpstr>
      <vt:lpstr>Kaki</vt:lpstr>
      <vt:lpstr>Kaki 2</vt:lpstr>
      <vt:lpstr>Kelana Megah</vt:lpstr>
      <vt:lpstr>AdvLouis</vt:lpstr>
      <vt:lpstr>Lim Kok Peng</vt:lpstr>
      <vt:lpstr>Lim Wei Boon</vt:lpstr>
      <vt:lpstr>Lim Hooi Leng</vt:lpstr>
      <vt:lpstr>Lim Boon Kooi</vt:lpstr>
      <vt:lpstr>Liong Lisa</vt:lpstr>
      <vt:lpstr>Lydia Khan</vt:lpstr>
      <vt:lpstr>Lee Video</vt:lpstr>
      <vt:lpstr>Lam Chooi Kheng</vt:lpstr>
      <vt:lpstr>LA Design</vt:lpstr>
      <vt:lpstr>Life Publisher</vt:lpstr>
      <vt:lpstr>Life Publisher1</vt:lpstr>
      <vt:lpstr>Liyana</vt:lpstr>
      <vt:lpstr>Linxmas</vt:lpstr>
      <vt:lpstr>Lean Seng</vt:lpstr>
      <vt:lpstr>Lydia</vt:lpstr>
      <vt:lpstr>Lydia1</vt:lpstr>
      <vt:lpstr>Leandro</vt:lpstr>
      <vt:lpstr>LimWahThai</vt:lpstr>
      <vt:lpstr>LimWahThaiLocalFood</vt:lpstr>
      <vt:lpstr>LTA</vt:lpstr>
      <vt:lpstr>LTA2</vt:lpstr>
      <vt:lpstr>MB Exhibitions</vt:lpstr>
      <vt:lpstr>Mon Reve</vt:lpstr>
      <vt:lpstr>Flagstaff (2)</vt:lpstr>
      <vt:lpstr>Mode Tour</vt:lpstr>
      <vt:lpstr>Mark</vt:lpstr>
      <vt:lpstr>Metro View</vt:lpstr>
      <vt:lpstr>Maxim Holidays</vt:lpstr>
      <vt:lpstr>Meticbiz</vt:lpstr>
      <vt:lpstr>M Summit</vt:lpstr>
      <vt:lpstr>M Summit (2)</vt:lpstr>
      <vt:lpstr>My Horizon</vt:lpstr>
      <vt:lpstr>Malaysia Hub</vt:lpstr>
      <vt:lpstr>Muntri Mews</vt:lpstr>
      <vt:lpstr>Me Sketch</vt:lpstr>
      <vt:lpstr>Mohd Izuddin</vt:lpstr>
      <vt:lpstr>Marziah</vt:lpstr>
      <vt:lpstr>Metro Green Adventure</vt:lpstr>
      <vt:lpstr>MATTA</vt:lpstr>
      <vt:lpstr>MIA</vt:lpstr>
      <vt:lpstr>Mount Miriam2</vt:lpstr>
      <vt:lpstr>Mediacorp</vt:lpstr>
      <vt:lpstr>MediaUno</vt:lpstr>
      <vt:lpstr>Mohammad</vt:lpstr>
      <vt:lpstr>Mohd Shahrizan</vt:lpstr>
      <vt:lpstr>Makamewah</vt:lpstr>
      <vt:lpstr>Loh Yen Peng</vt:lpstr>
      <vt:lpstr>Magnificent Empire</vt:lpstr>
      <vt:lpstr>Mirzal</vt:lpstr>
      <vt:lpstr>My Passion</vt:lpstr>
      <vt:lpstr>Mursyi</vt:lpstr>
      <vt:lpstr>Lim Hooi Leng (2)</vt:lpstr>
      <vt:lpstr>Southern Media</vt:lpstr>
      <vt:lpstr>Messe Berlin</vt:lpstr>
      <vt:lpstr>Marina Bay Sands</vt:lpstr>
      <vt:lpstr>Masterpiece</vt:lpstr>
      <vt:lpstr>Malaysia Airlines2</vt:lpstr>
      <vt:lpstr>Magnum Leisure</vt:lpstr>
      <vt:lpstr>Maqbul</vt:lpstr>
      <vt:lpstr>My Nyonya</vt:lpstr>
      <vt:lpstr>Maps Hotel</vt:lpstr>
      <vt:lpstr>Max-Airplay</vt:lpstr>
      <vt:lpstr>Marsh</vt:lpstr>
      <vt:lpstr>Mary Ann</vt:lpstr>
      <vt:lpstr>Media Transasia</vt:lpstr>
      <vt:lpstr>Mobiled</vt:lpstr>
      <vt:lpstr>Mobi Pot</vt:lpstr>
      <vt:lpstr>MSIG</vt:lpstr>
      <vt:lpstr>Malaysia Tourism (Tokyo)</vt:lpstr>
      <vt:lpstr>Meru</vt:lpstr>
      <vt:lpstr>Malaysia Airlines</vt:lpstr>
      <vt:lpstr>Media Smart</vt:lpstr>
      <vt:lpstr>MediaPlus</vt:lpstr>
      <vt:lpstr>Malaysia Tourism Pro</vt:lpstr>
      <vt:lpstr>Mind Sense</vt:lpstr>
      <vt:lpstr>Malaysia Book Of Record</vt:lpstr>
      <vt:lpstr>Mohammed Anwar</vt:lpstr>
      <vt:lpstr>Museum Hotel</vt:lpstr>
      <vt:lpstr>Mohd Jufry</vt:lpstr>
      <vt:lpstr>Mohammad Ashraf</vt:lpstr>
      <vt:lpstr>Messe</vt:lpstr>
      <vt:lpstr>MACP</vt:lpstr>
      <vt:lpstr>Maverick2</vt:lpstr>
      <vt:lpstr>Metro Green</vt:lpstr>
      <vt:lpstr>MCSB</vt:lpstr>
      <vt:lpstr>Malihom</vt:lpstr>
      <vt:lpstr>Moonlight</vt:lpstr>
      <vt:lpstr>Mapics</vt:lpstr>
      <vt:lpstr>Markeing Solutions</vt:lpstr>
      <vt:lpstr>Malaysia Tourism</vt:lpstr>
      <vt:lpstr>Maverick</vt:lpstr>
      <vt:lpstr>Melissa</vt:lpstr>
      <vt:lpstr>Muntri</vt:lpstr>
      <vt:lpstr>Mohamad</vt:lpstr>
      <vt:lpstr>Mureli</vt:lpstr>
      <vt:lpstr>MGS</vt:lpstr>
      <vt:lpstr>Malaysian Tourism</vt:lpstr>
      <vt:lpstr>MICEM2</vt:lpstr>
      <vt:lpstr>MPPP</vt:lpstr>
      <vt:lpstr>MPPP (2)</vt:lpstr>
      <vt:lpstr>Magicprint</vt:lpstr>
      <vt:lpstr>MarketSource</vt:lpstr>
      <vt:lpstr>Micem</vt:lpstr>
      <vt:lpstr>Majlis KebudayaanNegeri</vt:lpstr>
      <vt:lpstr>MattaPg</vt:lpstr>
      <vt:lpstr>Mega</vt:lpstr>
      <vt:lpstr>MattaJohor</vt:lpstr>
      <vt:lpstr>Myceb</vt:lpstr>
      <vt:lpstr>MattaMelaka</vt:lpstr>
      <vt:lpstr>MDTF</vt:lpstr>
      <vt:lpstr>Metroplex</vt:lpstr>
      <vt:lpstr>Marco Adv</vt:lpstr>
      <vt:lpstr>Marco</vt:lpstr>
      <vt:lpstr>Moganes</vt:lpstr>
      <vt:lpstr>Michael</vt:lpstr>
      <vt:lpstr>Mongoose</vt:lpstr>
      <vt:lpstr>MIVS</vt:lpstr>
      <vt:lpstr>MSVCR</vt:lpstr>
      <vt:lpstr>Mount Miriam</vt:lpstr>
      <vt:lpstr>Muda</vt:lpstr>
      <vt:lpstr>MRCS</vt:lpstr>
      <vt:lpstr>Metroplex (2)</vt:lpstr>
      <vt:lpstr>Sheet4</vt:lpstr>
      <vt:lpstr>'360'!Print_Area</vt:lpstr>
      <vt:lpstr>'A.S. Kranamm'!Print_Area</vt:lpstr>
      <vt:lpstr>AA!Print_Area</vt:lpstr>
      <vt:lpstr>'AA (2)'!Print_Area</vt:lpstr>
      <vt:lpstr>'AB &amp; Artho'!Print_Area</vt:lpstr>
      <vt:lpstr>Access!Print_Area</vt:lpstr>
      <vt:lpstr>'Actife Lifestyle'!Print_Area</vt:lpstr>
      <vt:lpstr>Actiontintoy!Print_Area</vt:lpstr>
      <vt:lpstr>Adpix!Print_Area</vt:lpstr>
      <vt:lpstr>Adstream!Print_Area</vt:lpstr>
      <vt:lpstr>'Advance Creative'!Print_Area</vt:lpstr>
      <vt:lpstr>'Advance Tech'!Print_Area</vt:lpstr>
      <vt:lpstr>Afab!Print_Area</vt:lpstr>
      <vt:lpstr>'AFC Network'!Print_Area</vt:lpstr>
      <vt:lpstr>Affa!Print_Area</vt:lpstr>
      <vt:lpstr>Affa2!Print_Area</vt:lpstr>
      <vt:lpstr>Agensi!Print_Area</vt:lpstr>
      <vt:lpstr>'Agnes Maritha'!Print_Area</vt:lpstr>
      <vt:lpstr>AHR!Print_Area</vt:lpstr>
      <vt:lpstr>'Aidil Travel'!Print_Area</vt:lpstr>
      <vt:lpstr>'Aim Max'!Print_Area</vt:lpstr>
      <vt:lpstr>AirAsia!Print_Area</vt:lpstr>
      <vt:lpstr>'AirAsia (2)'!Print_Area</vt:lpstr>
      <vt:lpstr>AirTrip!Print_Area</vt:lpstr>
      <vt:lpstr>'AKA Balloon'!Print_Area</vt:lpstr>
      <vt:lpstr>'Akauntan Negara Malaysia '!Print_Area</vt:lpstr>
      <vt:lpstr>'Alber Yap'!Print_Area</vt:lpstr>
      <vt:lpstr>Albert!Print_Area</vt:lpstr>
      <vt:lpstr>Alliance!Print_Area</vt:lpstr>
      <vt:lpstr>'Alunan Matrik'!Print_Area</vt:lpstr>
      <vt:lpstr>'Ameba Art'!Print_Area</vt:lpstr>
      <vt:lpstr>Annamah!Print_Area</vt:lpstr>
      <vt:lpstr>'Anovia Bridal'!Print_Area</vt:lpstr>
      <vt:lpstr>'APL Media Ltd'!Print_Area</vt:lpstr>
      <vt:lpstr>'A-Production'!Print_Area</vt:lpstr>
      <vt:lpstr>Arkitek!Print_Area</vt:lpstr>
      <vt:lpstr>'Art Tune'!Print_Area</vt:lpstr>
      <vt:lpstr>'Artiz Vision'!Print_Area</vt:lpstr>
      <vt:lpstr>Asia!Print_Area</vt:lpstr>
      <vt:lpstr>'Asia Garden'!Print_Area</vt:lpstr>
      <vt:lpstr>'Asia Holiday'!Print_Area</vt:lpstr>
      <vt:lpstr>'Asia Life'!Print_Area</vt:lpstr>
      <vt:lpstr>'Asia Life Digital'!Print_Area</vt:lpstr>
      <vt:lpstr>Astro!Print_Area</vt:lpstr>
      <vt:lpstr>'Atlantic by Motion'!Print_Area</vt:lpstr>
      <vt:lpstr>Aun!Print_Area</vt:lpstr>
      <vt:lpstr>Avant!Print_Area</vt:lpstr>
      <vt:lpstr>Avion!Print_Area</vt:lpstr>
      <vt:lpstr>'Avion '!Print_Area</vt:lpstr>
      <vt:lpstr>AXA!Print_Area</vt:lpstr>
      <vt:lpstr>'Azman bin Ahmad'!Print_Area</vt:lpstr>
      <vt:lpstr>'B&amp;W'!Print_Area</vt:lpstr>
      <vt:lpstr>'Baba Success'!Print_Area</vt:lpstr>
      <vt:lpstr>'Baba Two'!Print_Area</vt:lpstr>
      <vt:lpstr>BabaJob!Print_Area</vt:lpstr>
      <vt:lpstr>'Badan Warisan'!Print_Area</vt:lpstr>
      <vt:lpstr>Balasu!Print_Area</vt:lpstr>
      <vt:lpstr>'Bandar utama'!Print_Area</vt:lpstr>
      <vt:lpstr>'Bang Phuong'!Print_Area</vt:lpstr>
      <vt:lpstr>'Bangkok Express'!Print_Area</vt:lpstr>
      <vt:lpstr>Bayview!Print_Area</vt:lpstr>
      <vt:lpstr>'BB Websolutions'!Print_Area</vt:lpstr>
      <vt:lpstr>'Be Inspired'!Print_Area</vt:lpstr>
      <vt:lpstr>Beceative!Print_Area</vt:lpstr>
      <vt:lpstr>'Bendahari Negeri Pulau Pinang'!Print_Area</vt:lpstr>
      <vt:lpstr>'Benedict Lian Shi XIang'!Print_Area</vt:lpstr>
      <vt:lpstr>'Berjaya Sumpo'!Print_Area</vt:lpstr>
      <vt:lpstr>'Beyond Multimedia'!Print_Area</vt:lpstr>
      <vt:lpstr>'BJ Hotel Development'!Print_Area</vt:lpstr>
      <vt:lpstr>'BJ Hotel Development (2)'!Print_Area</vt:lpstr>
      <vt:lpstr>Bold!Print_Area</vt:lpstr>
      <vt:lpstr>'Bon Ton'!Print_Area</vt:lpstr>
      <vt:lpstr>'Boon Seng'!Print_Area</vt:lpstr>
      <vt:lpstr>'Borneo Vision'!Print_Area</vt:lpstr>
      <vt:lpstr>'Brand New'!Print_Area</vt:lpstr>
      <vt:lpstr>'CAC '!Print_Area</vt:lpstr>
      <vt:lpstr>Cake!Print_Area</vt:lpstr>
      <vt:lpstr>Campbell!Print_Area</vt:lpstr>
      <vt:lpstr>'Can Can Public'!Print_Area</vt:lpstr>
      <vt:lpstr>'Capital All Star Enterprise'!Print_Area</vt:lpstr>
      <vt:lpstr>Caritech!Print_Area</vt:lpstr>
      <vt:lpstr>Cecilia!Print_Area</vt:lpstr>
      <vt:lpstr>Celcom!Print_Area</vt:lpstr>
      <vt:lpstr>'Celcom Sdn Bhd'!Print_Area</vt:lpstr>
      <vt:lpstr>Cellex!Print_Area</vt:lpstr>
      <vt:lpstr>Chailek!Print_Area</vt:lpstr>
      <vt:lpstr>'Chan Tang Eng'!Print_Area</vt:lpstr>
      <vt:lpstr>'Chan Wei Meng'!Print_Area</vt:lpstr>
      <vt:lpstr>'Cheah Hock Lye'!Print_Area</vt:lpstr>
      <vt:lpstr>'Chee Seng'!Print_Area</vt:lpstr>
      <vt:lpstr>'China Airlines Limited'!Print_Area</vt:lpstr>
      <vt:lpstr>'Chong Kar Yuan'!Print_Area</vt:lpstr>
      <vt:lpstr>'Chong Lee Choo'!Print_Area</vt:lpstr>
      <vt:lpstr>'Chong Li Ching'!Print_Area</vt:lpstr>
      <vt:lpstr>'Chung Hwa Confucian'!Print_Area</vt:lpstr>
      <vt:lpstr>cimb!Print_Area</vt:lpstr>
      <vt:lpstr>'CIMB Credit Card'!Print_Area</vt:lpstr>
      <vt:lpstr>Clarity!Print_Area</vt:lpstr>
      <vt:lpstr>'Clarity (2)'!Print_Area</vt:lpstr>
      <vt:lpstr>'Click Start'!Print_Area</vt:lpstr>
      <vt:lpstr>Conceptual!Print_Area</vt:lpstr>
      <vt:lpstr>Confrerie!Print_Area</vt:lpstr>
      <vt:lpstr>Connect!Print_Area</vt:lpstr>
      <vt:lpstr>Continental!Print_Area</vt:lpstr>
      <vt:lpstr>Convep2!Print_Area</vt:lpstr>
      <vt:lpstr>'Corportenet (3)'!Print_Area</vt:lpstr>
      <vt:lpstr>Creative!Print_Area</vt:lpstr>
      <vt:lpstr>'Crowne Plaza'!Print_Area</vt:lpstr>
      <vt:lpstr>'Ctrip Business'!Print_Area</vt:lpstr>
      <vt:lpstr>Danny!Print_Area</vt:lpstr>
      <vt:lpstr>'Danny Goon'!Print_Area</vt:lpstr>
      <vt:lpstr>'Dato Mustafa'!Print_Area</vt:lpstr>
      <vt:lpstr>'Dato'' Rosli'!Print_Area</vt:lpstr>
      <vt:lpstr>'Dato Seri Aru'!Print_Area</vt:lpstr>
      <vt:lpstr>Devi!Print_Area</vt:lpstr>
      <vt:lpstr>'Discover Orient'!Print_Area</vt:lpstr>
      <vt:lpstr>'Discover Vacations'!Print_Area</vt:lpstr>
      <vt:lpstr>'Discovery Overland'!Print_Area</vt:lpstr>
      <vt:lpstr>'D''Media'!Print_Area</vt:lpstr>
      <vt:lpstr>'Dragon Airlines'!Print_Area</vt:lpstr>
      <vt:lpstr>'E&amp;O Trading'!Print_Area</vt:lpstr>
      <vt:lpstr>Eastin2!Print_Area</vt:lpstr>
      <vt:lpstr>ecs!Print_Area</vt:lpstr>
      <vt:lpstr>Eja!Print_Area</vt:lpstr>
      <vt:lpstr>'Elang Wah Sdn Bhd'!Print_Area</vt:lpstr>
      <vt:lpstr>Eli!Print_Area</vt:lpstr>
      <vt:lpstr>Elite!Print_Area</vt:lpstr>
      <vt:lpstr>'Emilia Ismail'!Print_Area</vt:lpstr>
      <vt:lpstr>'Eqtd Consulting'!Print_Area</vt:lpstr>
      <vt:lpstr>Evercool!Print_Area</vt:lpstr>
      <vt:lpstr>'Ewe Teik Siang'!Print_Area</vt:lpstr>
      <vt:lpstr>Exabytes!Print_Area</vt:lpstr>
      <vt:lpstr>'EY -formC &amp; R'!Print_Area</vt:lpstr>
      <vt:lpstr>'Feng Studio'!Print_Area</vt:lpstr>
      <vt:lpstr>'Fine Winner'!Print_Area</vt:lpstr>
      <vt:lpstr>FKGlobal!Print_Area</vt:lpstr>
      <vt:lpstr>Flagstaff!Print_Area</vt:lpstr>
      <vt:lpstr>'Flagstaff (2)'!Print_Area</vt:lpstr>
      <vt:lpstr>Flatplan!Print_Area</vt:lpstr>
      <vt:lpstr>Fluxline!Print_Area</vt:lpstr>
      <vt:lpstr>'FM Global'!Print_Area</vt:lpstr>
      <vt:lpstr>'Foong Chee Yin'!Print_Area</vt:lpstr>
      <vt:lpstr>Freddy!Print_Area</vt:lpstr>
      <vt:lpstr>Friendship!Print_Area</vt:lpstr>
      <vt:lpstr>'FTZ Travel'!Print_Area</vt:lpstr>
      <vt:lpstr>'Fuji Xerox'!Print_Area</vt:lpstr>
      <vt:lpstr>'Fuji Xerox (3)'!Print_Area</vt:lpstr>
      <vt:lpstr>'FVW Median'!Print_Area</vt:lpstr>
      <vt:lpstr>Gemilang!Print_Area</vt:lpstr>
      <vt:lpstr>'Ghee Hiang'!Print_Area</vt:lpstr>
      <vt:lpstr>'GHT Malaysia'!Print_Area</vt:lpstr>
      <vt:lpstr>Ginncons!Print_Area</vt:lpstr>
      <vt:lpstr>'Global Leadership'!Print_Area</vt:lpstr>
      <vt:lpstr>'Glory Property'!Print_Area</vt:lpstr>
      <vt:lpstr>'Go Int Group'!Print_Area</vt:lpstr>
      <vt:lpstr>Goche!Print_Area</vt:lpstr>
      <vt:lpstr>'Goh Yen Ting'!Print_Area</vt:lpstr>
      <vt:lpstr>'Good Foodie'!Print_Area</vt:lpstr>
      <vt:lpstr>Google!Print_Area</vt:lpstr>
      <vt:lpstr>'Gooi Hean Kar'!Print_Area</vt:lpstr>
      <vt:lpstr>'Gooi Zi Sen'!Print_Area</vt:lpstr>
      <vt:lpstr>'Great Eastern'!Print_Area</vt:lpstr>
      <vt:lpstr>Gulliever!Print_Area</vt:lpstr>
      <vt:lpstr>harpers!Print_Area</vt:lpstr>
      <vt:lpstr>Haze!Print_Area</vt:lpstr>
      <vt:lpstr>Heart!Print_Area</vt:lpstr>
      <vt:lpstr>Hekty!Print_Area</vt:lpstr>
      <vt:lpstr>'Heng Lee Lee'!Print_Area</vt:lpstr>
      <vt:lpstr>'HG Lim'!Print_Area</vt:lpstr>
      <vt:lpstr>'HIlton Tokyo'!Print_Area</vt:lpstr>
      <vt:lpstr>HinTeik!Print_Area</vt:lpstr>
      <vt:lpstr>'H''ng Lee Lee'!Print_Area</vt:lpstr>
      <vt:lpstr>'Ho Jia Qian'!Print_Area</vt:lpstr>
      <vt:lpstr>'Holiday Tours'!Print_Area</vt:lpstr>
      <vt:lpstr>'Hong Cheng'!Print_Area</vt:lpstr>
      <vt:lpstr>'Hong Kong Convention'!Print_Area</vt:lpstr>
      <vt:lpstr>Horizon!Print_Area</vt:lpstr>
      <vt:lpstr>'Hot Print'!Print_Area</vt:lpstr>
      <vt:lpstr>'Huei Yow'!Print_Area</vt:lpstr>
      <vt:lpstr>'Hur Gi Naam'!Print_Area</vt:lpstr>
      <vt:lpstr>'I2 Promotion'!Print_Area</vt:lpstr>
      <vt:lpstr>'ID INC'!Print_Area</vt:lpstr>
      <vt:lpstr>Impakstrat!Print_Area</vt:lpstr>
      <vt:lpstr>'Indent Media'!Print_Area</vt:lpstr>
      <vt:lpstr>'Info Colour'!Print_Area</vt:lpstr>
      <vt:lpstr>Informa!Print_Area</vt:lpstr>
      <vt:lpstr>Ink!Print_Area</vt:lpstr>
      <vt:lpstr>'Ink Publishing'!Print_Area</vt:lpstr>
      <vt:lpstr>'Invest-in-Penang'!Print_Area</vt:lpstr>
      <vt:lpstr>'IPK College'!Print_Area</vt:lpstr>
      <vt:lpstr>'J&amp;A Production'!Print_Area</vt:lpstr>
      <vt:lpstr>'Jackie M'!Print_Area</vt:lpstr>
      <vt:lpstr>Jass!Print_Area</vt:lpstr>
      <vt:lpstr>Jaykodi!Print_Area</vt:lpstr>
      <vt:lpstr>Jenexus!Print_Area</vt:lpstr>
      <vt:lpstr>'Jerome Quah'!Print_Area</vt:lpstr>
      <vt:lpstr>'Joe Sidek'!Print_Area</vt:lpstr>
      <vt:lpstr>'Johnny Chee'!Print_Area</vt:lpstr>
      <vt:lpstr>'Joy Chan'!Print_Area</vt:lpstr>
      <vt:lpstr>Kaki!Print_Area</vt:lpstr>
      <vt:lpstr>Kathy!Print_Area</vt:lpstr>
      <vt:lpstr>'Kee Seok Poh'!Print_Area</vt:lpstr>
      <vt:lpstr>Kembang!Print_Area</vt:lpstr>
      <vt:lpstr>Kenneth!Print_Area</vt:lpstr>
      <vt:lpstr>Kenray!Print_Area</vt:lpstr>
      <vt:lpstr>'Ketua Pengarah'!Print_Area</vt:lpstr>
      <vt:lpstr>'Ketua Pengarah (2)'!Print_Area</vt:lpstr>
      <vt:lpstr>'Ketua Pengarah (3)'!Print_Area</vt:lpstr>
      <vt:lpstr>'Ketua Pengarah (PTPTN)'!Print_Area</vt:lpstr>
      <vt:lpstr>'KF Sticker'!Print_Area</vt:lpstr>
      <vt:lpstr>'Khoo Boo Lim'!Print_Area</vt:lpstr>
      <vt:lpstr>'Ko Kai Kong'!Print_Area</vt:lpstr>
      <vt:lpstr>'Koay Poy Teik'!Print_Area</vt:lpstr>
      <vt:lpstr>'Koay Song Lin'!Print_Area</vt:lpstr>
      <vt:lpstr>'Koperasi Sekolah'!Print_Area</vt:lpstr>
      <vt:lpstr>Kraken!Print_Area</vt:lpstr>
      <vt:lpstr>KTM!Print_Area</vt:lpstr>
      <vt:lpstr>'Kua Tze Phing'!Print_Area</vt:lpstr>
      <vt:lpstr>KWSP!Print_Area</vt:lpstr>
      <vt:lpstr>'KY Studio'!Print_Area</vt:lpstr>
      <vt:lpstr>'LA Design'!Print_Area</vt:lpstr>
      <vt:lpstr>'LA Vintage'!Print_Area</vt:lpstr>
      <vt:lpstr>'Law Heng Kiang'!Print_Area</vt:lpstr>
      <vt:lpstr>'Leader Asia'!Print_Area</vt:lpstr>
      <vt:lpstr>Leandro!Print_Area</vt:lpstr>
      <vt:lpstr>'Lee Ick Joo'!Print_Area</vt:lpstr>
      <vt:lpstr>'Lee Wai Keong'!Print_Area</vt:lpstr>
      <vt:lpstr>Leisure!Print_Area</vt:lpstr>
      <vt:lpstr>'LHDN '!Print_Area</vt:lpstr>
      <vt:lpstr>'LHDN  (2)'!Print_Area</vt:lpstr>
      <vt:lpstr>'LHDN  (3)'!Print_Area</vt:lpstr>
      <vt:lpstr>'Liang Chow Ming'!Print_Area</vt:lpstr>
      <vt:lpstr>'Lim Boon Kooi'!Print_Area</vt:lpstr>
      <vt:lpstr>'Lim Guan Eng'!Print_Area</vt:lpstr>
      <vt:lpstr>'Lim Hooi Leng'!Print_Area</vt:lpstr>
      <vt:lpstr>'Lim Hooi Leng (2)'!Print_Area</vt:lpstr>
      <vt:lpstr>'Lim Woi Hong'!Print_Area</vt:lpstr>
      <vt:lpstr>'Lim Yee Harng'!Print_Area</vt:lpstr>
      <vt:lpstr>'Linear Online'!Print_Area</vt:lpstr>
      <vt:lpstr>'Lokle Siew Fook'!Print_Area</vt:lpstr>
      <vt:lpstr>'Love A Cupcake'!Print_Area</vt:lpstr>
      <vt:lpstr>'Love A Cupcake (2)'!Print_Area</vt:lpstr>
      <vt:lpstr>'Low Yen Peng'!Print_Area</vt:lpstr>
      <vt:lpstr>'Lye Imm'!Print_Area</vt:lpstr>
      <vt:lpstr>'Lyric Labs'!Print_Area</vt:lpstr>
      <vt:lpstr>'M Summit'!Print_Area</vt:lpstr>
      <vt:lpstr>'M Summit (2)'!Print_Area</vt:lpstr>
      <vt:lpstr>MACP!Print_Area</vt:lpstr>
      <vt:lpstr>Magicprint!Print_Area</vt:lpstr>
      <vt:lpstr>'Malaysia Airlines2'!Print_Area</vt:lpstr>
      <vt:lpstr>'Malaysia Book Of Record'!Print_Area</vt:lpstr>
      <vt:lpstr>'Malaysia Tourism (Tokyo)'!Print_Area</vt:lpstr>
      <vt:lpstr>'Malaysia Tourism Pro'!Print_Area</vt:lpstr>
      <vt:lpstr>'Malaysian Tourism'!Print_Area</vt:lpstr>
      <vt:lpstr>Malihom!Print_Area</vt:lpstr>
      <vt:lpstr>'Marketing Awarness'!Print_Area</vt:lpstr>
      <vt:lpstr>MarketSource!Print_Area</vt:lpstr>
      <vt:lpstr>Marsh!Print_Area</vt:lpstr>
      <vt:lpstr>'Mary Ann'!Print_Area</vt:lpstr>
      <vt:lpstr>'Mary Ann Harriss'!Print_Area</vt:lpstr>
      <vt:lpstr>'Matahari '!Print_Area</vt:lpstr>
      <vt:lpstr>'Max-Airplay'!Print_Area</vt:lpstr>
      <vt:lpstr>'MB Exhibitions'!Print_Area</vt:lpstr>
      <vt:lpstr>'Media Hub'!Print_Area</vt:lpstr>
      <vt:lpstr>'Media Transasia'!Print_Area</vt:lpstr>
      <vt:lpstr>Mediacorp!Print_Area</vt:lpstr>
      <vt:lpstr>Meru!Print_Area</vt:lpstr>
      <vt:lpstr>Messe!Print_Area</vt:lpstr>
      <vt:lpstr>'Metro Green Adventure'!Print_Area</vt:lpstr>
      <vt:lpstr>'Metro View'!Print_Area</vt:lpstr>
      <vt:lpstr>MGS!Print_Area</vt:lpstr>
      <vt:lpstr>'Mind Sense'!Print_Area</vt:lpstr>
      <vt:lpstr>Mirzal!Print_Area</vt:lpstr>
      <vt:lpstr>'Mode Tour'!Print_Area</vt:lpstr>
      <vt:lpstr>Mohammad!Print_Area</vt:lpstr>
      <vt:lpstr>'Mohd Izuddin'!Print_Area</vt:lpstr>
      <vt:lpstr>'Mohd Shahrizan'!Print_Area</vt:lpstr>
      <vt:lpstr>'Mon Reve'!Print_Area</vt:lpstr>
      <vt:lpstr>'Monkey Ideas Event'!Print_Area</vt:lpstr>
      <vt:lpstr>Moonlight!Print_Area</vt:lpstr>
      <vt:lpstr>Motivate!Print_Area</vt:lpstr>
      <vt:lpstr>Movinlight!Print_Area</vt:lpstr>
      <vt:lpstr>MSIG!Print_Area</vt:lpstr>
      <vt:lpstr>'My Horizon'!Print_Area</vt:lpstr>
      <vt:lpstr>'My Passion'!Print_Area</vt:lpstr>
      <vt:lpstr>Myceb!Print_Area</vt:lpstr>
      <vt:lpstr>MyGap!Print_Area</vt:lpstr>
      <vt:lpstr>Obgyn!Print_Area</vt:lpstr>
      <vt:lpstr>'One FM'!Print_Area</vt:lpstr>
      <vt:lpstr>'Ong Ah Teong'!Print_Area</vt:lpstr>
      <vt:lpstr>'PY Blank Copy'!Print_Area</vt:lpstr>
      <vt:lpstr>'Tan Sam Soon'!Print_Area</vt:lpstr>
      <vt:lpstr>Travelogy!Print_Area</vt:lpstr>
      <vt:lpstr>'YB Dato'' Abdul Malik'!Print_Area</vt:lpstr>
      <vt:lpstr>'Yeoh Soon Hin'!Print_Area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2020-04-06T07:12:47Z</cp:lastPrinted>
  <dcterms:created xsi:type="dcterms:W3CDTF">2011-03-14T01:40:39Z</dcterms:created>
  <dcterms:modified xsi:type="dcterms:W3CDTF">2020-04-06T07:32:34Z</dcterms:modified>
</cp:coreProperties>
</file>