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3_ncr:1_{F287EDD1-4D5F-4DE6-995C-8DD0CBF72720}" xr6:coauthVersionLast="40" xr6:coauthVersionMax="40" xr10:uidLastSave="{00000000-0000-0000-0000-000000000000}"/>
  <bookViews>
    <workbookView xWindow="0" yWindow="0" windowWidth="20490" windowHeight="7545" activeTab="11" xr2:uid="{00000000-000D-0000-FFFF-FFFF00000000}"/>
  </bookViews>
  <sheets>
    <sheet name="Jan" sheetId="1" r:id="rId1"/>
    <sheet name="Feb" sheetId="2" r:id="rId2"/>
    <sheet name="March" sheetId="3" r:id="rId3"/>
    <sheet name="Apr" sheetId="4" r:id="rId4"/>
    <sheet name="May" sheetId="5" r:id="rId5"/>
    <sheet name="June" sheetId="6" r:id="rId6"/>
    <sheet name="July" sheetId="7" r:id="rId7"/>
    <sheet name="Aug" sheetId="9" r:id="rId8"/>
    <sheet name="Sept" sheetId="10" r:id="rId9"/>
    <sheet name="Oct" sheetId="11" r:id="rId10"/>
    <sheet name="Nov" sheetId="12" r:id="rId11"/>
    <sheet name="Dec" sheetId="13" r:id="rId12"/>
    <sheet name="Sheet1" sheetId="8" r:id="rId13"/>
  </sheets>
  <definedNames>
    <definedName name="_xlnm._FilterDatabase" localSheetId="3" hidden="1">Apr!$A$8:$Q$266</definedName>
    <definedName name="_xlnm._FilterDatabase" localSheetId="7" hidden="1">Aug!$A$8:$M$188</definedName>
    <definedName name="_xlnm._FilterDatabase" localSheetId="11" hidden="1">Dec!$A$8:$M$258</definedName>
    <definedName name="_xlnm._FilterDatabase" localSheetId="1" hidden="1">Feb!$A$9:$M$282</definedName>
    <definedName name="_xlnm._FilterDatabase" localSheetId="0" hidden="1">Jan!$A$9:$Q$344</definedName>
    <definedName name="_xlnm._FilterDatabase" localSheetId="6" hidden="1">July!$A$8:$M$204</definedName>
    <definedName name="_xlnm._FilterDatabase" localSheetId="5" hidden="1">June!$A$8:$Q$185</definedName>
    <definedName name="_xlnm._FilterDatabase" localSheetId="2" hidden="1">March!$A$9:$R$272</definedName>
    <definedName name="_xlnm._FilterDatabase" localSheetId="4" hidden="1">May!$A$8:$Q$152</definedName>
    <definedName name="_xlnm._FilterDatabase" localSheetId="10" hidden="1">Nov!$A$8:$M$107</definedName>
    <definedName name="_xlnm._FilterDatabase" localSheetId="9" hidden="1">Oct!$A$8:$M$249</definedName>
    <definedName name="_xlnm._FilterDatabase" localSheetId="8" hidden="1">Sept!$A$8:$M$107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1" i="13" l="1"/>
  <c r="H252" i="11" l="1"/>
  <c r="H109" i="12" l="1"/>
  <c r="H113" i="12" s="1"/>
  <c r="H256" i="11" l="1"/>
  <c r="H108" i="10" l="1"/>
  <c r="H190" i="9" l="1"/>
  <c r="H207" i="7" l="1"/>
  <c r="H187" i="6" l="1"/>
  <c r="R185" i="6" l="1"/>
  <c r="Q185" i="6"/>
  <c r="P185" i="6"/>
  <c r="M185" i="6"/>
  <c r="E185" i="6"/>
  <c r="M184" i="6"/>
  <c r="G184" i="6"/>
  <c r="E184" i="6"/>
  <c r="Q183" i="6"/>
  <c r="P183" i="6"/>
  <c r="M183" i="6"/>
  <c r="G183" i="6"/>
  <c r="E183" i="6"/>
  <c r="M182" i="6"/>
  <c r="G182" i="6"/>
  <c r="E182" i="6"/>
  <c r="Q181" i="6"/>
  <c r="P181" i="6"/>
  <c r="M181" i="6"/>
  <c r="G181" i="6"/>
  <c r="E181" i="6"/>
  <c r="M180" i="6"/>
  <c r="G180" i="6"/>
  <c r="E180" i="6"/>
  <c r="Q179" i="6"/>
  <c r="P179" i="6"/>
  <c r="M179" i="6"/>
  <c r="G179" i="6"/>
  <c r="E179" i="6"/>
  <c r="Q178" i="6"/>
  <c r="P178" i="6"/>
  <c r="M178" i="6"/>
  <c r="G178" i="6"/>
  <c r="E178" i="6"/>
  <c r="M177" i="6"/>
  <c r="G177" i="6"/>
  <c r="E177" i="6"/>
  <c r="Q176" i="6"/>
  <c r="P176" i="6"/>
  <c r="M176" i="6"/>
  <c r="G176" i="6"/>
  <c r="E176" i="6"/>
  <c r="Q175" i="6"/>
  <c r="P175" i="6"/>
  <c r="M175" i="6"/>
  <c r="G175" i="6"/>
  <c r="E175" i="6"/>
  <c r="M174" i="6"/>
  <c r="G174" i="6"/>
  <c r="E174" i="6"/>
  <c r="Q173" i="6"/>
  <c r="P173" i="6"/>
  <c r="M173" i="6"/>
  <c r="G173" i="6"/>
  <c r="E173" i="6"/>
  <c r="M172" i="6"/>
  <c r="G172" i="6"/>
  <c r="E172" i="6"/>
  <c r="Q171" i="6"/>
  <c r="P171" i="6"/>
  <c r="M171" i="6"/>
  <c r="G171" i="6"/>
  <c r="E171" i="6"/>
  <c r="M170" i="6"/>
  <c r="G170" i="6"/>
  <c r="E170" i="6"/>
  <c r="Q169" i="6"/>
  <c r="P169" i="6"/>
  <c r="M169" i="6"/>
  <c r="G169" i="6"/>
  <c r="E169" i="6"/>
  <c r="M168" i="6"/>
  <c r="G168" i="6"/>
  <c r="E168" i="6"/>
  <c r="Q167" i="6"/>
  <c r="P167" i="6"/>
  <c r="M167" i="6"/>
  <c r="G167" i="6"/>
  <c r="E167" i="6"/>
  <c r="M166" i="6"/>
  <c r="G166" i="6"/>
  <c r="E166" i="6"/>
  <c r="Q165" i="6"/>
  <c r="P165" i="6"/>
  <c r="M165" i="6"/>
  <c r="G165" i="6"/>
  <c r="E165" i="6"/>
  <c r="Q164" i="6"/>
  <c r="P164" i="6"/>
  <c r="M164" i="6"/>
  <c r="G164" i="6"/>
  <c r="E164" i="6"/>
  <c r="M163" i="6"/>
  <c r="G163" i="6"/>
  <c r="E163" i="6"/>
  <c r="Q162" i="6"/>
  <c r="P162" i="6"/>
  <c r="M162" i="6"/>
  <c r="G162" i="6"/>
  <c r="E162" i="6"/>
  <c r="M161" i="6"/>
  <c r="G161" i="6"/>
  <c r="E161" i="6"/>
  <c r="Q160" i="6"/>
  <c r="P160" i="6"/>
  <c r="M160" i="6"/>
  <c r="G160" i="6"/>
  <c r="E160" i="6"/>
  <c r="M159" i="6"/>
  <c r="G159" i="6"/>
  <c r="E159" i="6"/>
  <c r="Q158" i="6"/>
  <c r="P158" i="6"/>
  <c r="M158" i="6"/>
  <c r="G158" i="6"/>
  <c r="E158" i="6"/>
  <c r="M157" i="6"/>
  <c r="G157" i="6"/>
  <c r="E157" i="6"/>
  <c r="Q156" i="6"/>
  <c r="P156" i="6"/>
  <c r="M156" i="6"/>
  <c r="G156" i="6"/>
  <c r="E156" i="6"/>
  <c r="Q155" i="6"/>
  <c r="P155" i="6"/>
  <c r="M155" i="6"/>
  <c r="G155" i="6"/>
  <c r="E155" i="6"/>
  <c r="M154" i="6"/>
  <c r="G154" i="6"/>
  <c r="E154" i="6"/>
  <c r="Q153" i="6"/>
  <c r="P153" i="6"/>
  <c r="M153" i="6"/>
  <c r="G153" i="6"/>
  <c r="E153" i="6"/>
  <c r="M152" i="6"/>
  <c r="G152" i="6"/>
  <c r="E152" i="6"/>
  <c r="Q151" i="6"/>
  <c r="P151" i="6"/>
  <c r="M151" i="6"/>
  <c r="G151" i="6"/>
  <c r="E151" i="6"/>
  <c r="M150" i="6"/>
  <c r="G150" i="6"/>
  <c r="E150" i="6"/>
  <c r="Q149" i="6"/>
  <c r="P149" i="6"/>
  <c r="M149" i="6"/>
  <c r="G149" i="6"/>
  <c r="E149" i="6"/>
  <c r="M148" i="6"/>
  <c r="G148" i="6"/>
  <c r="E148" i="6"/>
  <c r="Q147" i="6"/>
  <c r="P147" i="6"/>
  <c r="M147" i="6"/>
  <c r="G147" i="6"/>
  <c r="E147" i="6"/>
  <c r="Q146" i="6"/>
  <c r="P146" i="6"/>
  <c r="M146" i="6"/>
  <c r="G146" i="6"/>
  <c r="E146" i="6"/>
  <c r="Q145" i="6"/>
  <c r="P145" i="6"/>
  <c r="M145" i="6"/>
  <c r="G145" i="6"/>
  <c r="E145" i="6"/>
  <c r="M144" i="6"/>
  <c r="G144" i="6"/>
  <c r="E144" i="6"/>
  <c r="Q143" i="6"/>
  <c r="P143" i="6"/>
  <c r="M143" i="6"/>
  <c r="G143" i="6"/>
  <c r="E143" i="6"/>
  <c r="M142" i="6"/>
  <c r="G142" i="6"/>
  <c r="E142" i="6"/>
  <c r="Q141" i="6"/>
  <c r="P141" i="6"/>
  <c r="M141" i="6"/>
  <c r="G141" i="6"/>
  <c r="E141" i="6"/>
  <c r="M140" i="6"/>
  <c r="G140" i="6"/>
  <c r="E140" i="6"/>
  <c r="Q139" i="6"/>
  <c r="P139" i="6"/>
  <c r="M139" i="6"/>
  <c r="G139" i="6"/>
  <c r="E139" i="6"/>
  <c r="M138" i="6"/>
  <c r="G138" i="6"/>
  <c r="E138" i="6"/>
  <c r="Q137" i="6"/>
  <c r="P137" i="6"/>
  <c r="M137" i="6"/>
  <c r="G137" i="6"/>
  <c r="E137" i="6"/>
  <c r="M136" i="6"/>
  <c r="G136" i="6"/>
  <c r="E136" i="6"/>
  <c r="Q135" i="6"/>
  <c r="P135" i="6"/>
  <c r="M135" i="6"/>
  <c r="G135" i="6"/>
  <c r="E135" i="6"/>
  <c r="M134" i="6"/>
  <c r="G134" i="6"/>
  <c r="E134" i="6"/>
  <c r="Q133" i="6"/>
  <c r="P133" i="6"/>
  <c r="M133" i="6"/>
  <c r="G133" i="6"/>
  <c r="E133" i="6"/>
  <c r="M132" i="6"/>
  <c r="G132" i="6"/>
  <c r="E132" i="6"/>
  <c r="Q131" i="6"/>
  <c r="P131" i="6"/>
  <c r="M131" i="6"/>
  <c r="G131" i="6"/>
  <c r="E131" i="6"/>
  <c r="M130" i="6"/>
  <c r="G130" i="6"/>
  <c r="E130" i="6"/>
  <c r="Q129" i="6"/>
  <c r="P129" i="6"/>
  <c r="M129" i="6"/>
  <c r="G129" i="6"/>
  <c r="E129" i="6"/>
  <c r="Q128" i="6"/>
  <c r="P128" i="6"/>
  <c r="M128" i="6"/>
  <c r="G128" i="6"/>
  <c r="E128" i="6"/>
  <c r="M127" i="6"/>
  <c r="G127" i="6"/>
  <c r="E127" i="6"/>
  <c r="Q126" i="6"/>
  <c r="P126" i="6"/>
  <c r="M126" i="6"/>
  <c r="G126" i="6"/>
  <c r="E126" i="6"/>
  <c r="M125" i="6"/>
  <c r="G125" i="6"/>
  <c r="E125" i="6"/>
  <c r="Q124" i="6"/>
  <c r="P124" i="6"/>
  <c r="M124" i="6"/>
  <c r="G124" i="6"/>
  <c r="E124" i="6"/>
  <c r="M123" i="6"/>
  <c r="G123" i="6"/>
  <c r="E123" i="6"/>
  <c r="Q122" i="6"/>
  <c r="P122" i="6"/>
  <c r="M122" i="6"/>
  <c r="G122" i="6"/>
  <c r="E122" i="6"/>
  <c r="Q121" i="6"/>
  <c r="P121" i="6"/>
  <c r="M121" i="6"/>
  <c r="G121" i="6"/>
  <c r="E121" i="6"/>
  <c r="M120" i="6"/>
  <c r="G120" i="6"/>
  <c r="E120" i="6"/>
  <c r="Q119" i="6"/>
  <c r="P119" i="6"/>
  <c r="M119" i="6"/>
  <c r="G119" i="6"/>
  <c r="E119" i="6"/>
  <c r="Q118" i="6"/>
  <c r="P118" i="6"/>
  <c r="M118" i="6"/>
  <c r="G118" i="6"/>
  <c r="E118" i="6"/>
  <c r="M117" i="6"/>
  <c r="G117" i="6"/>
  <c r="E117" i="6"/>
  <c r="Q116" i="6"/>
  <c r="P116" i="6"/>
  <c r="M116" i="6"/>
  <c r="G116" i="6"/>
  <c r="E116" i="6"/>
  <c r="M115" i="6"/>
  <c r="G115" i="6"/>
  <c r="E115" i="6"/>
  <c r="Q114" i="6"/>
  <c r="P114" i="6"/>
  <c r="M114" i="6"/>
  <c r="G114" i="6"/>
  <c r="E114" i="6"/>
  <c r="Q113" i="6"/>
  <c r="P113" i="6"/>
  <c r="M113" i="6"/>
  <c r="G113" i="6"/>
  <c r="E113" i="6"/>
  <c r="M112" i="6"/>
  <c r="G112" i="6"/>
  <c r="E112" i="6"/>
  <c r="M111" i="6"/>
  <c r="G111" i="6"/>
  <c r="E111" i="6"/>
  <c r="M110" i="6"/>
  <c r="G110" i="6"/>
  <c r="E110" i="6"/>
  <c r="M109" i="6"/>
  <c r="E109" i="6"/>
  <c r="M108" i="6"/>
  <c r="G108" i="6"/>
  <c r="E108" i="6"/>
  <c r="M107" i="6"/>
  <c r="G107" i="6"/>
  <c r="E107" i="6"/>
  <c r="M106" i="6"/>
  <c r="G106" i="6"/>
  <c r="E106" i="6"/>
  <c r="M105" i="6"/>
  <c r="G105" i="6"/>
  <c r="E105" i="6"/>
  <c r="M104" i="6"/>
  <c r="G104" i="6"/>
  <c r="E104" i="6"/>
  <c r="M103" i="6"/>
  <c r="E103" i="6"/>
  <c r="M102" i="6"/>
  <c r="G102" i="6"/>
  <c r="E102" i="6"/>
  <c r="Q101" i="6"/>
  <c r="P101" i="6"/>
  <c r="M101" i="6"/>
  <c r="G101" i="6"/>
  <c r="E101" i="6"/>
  <c r="M100" i="6"/>
  <c r="G100" i="6"/>
  <c r="E100" i="6"/>
  <c r="Q99" i="6"/>
  <c r="P99" i="6"/>
  <c r="M99" i="6"/>
  <c r="G99" i="6"/>
  <c r="E99" i="6"/>
  <c r="M98" i="6"/>
  <c r="G98" i="6"/>
  <c r="E98" i="6"/>
  <c r="Q97" i="6"/>
  <c r="P97" i="6"/>
  <c r="M97" i="6"/>
  <c r="G97" i="6"/>
  <c r="E97" i="6"/>
  <c r="M96" i="6"/>
  <c r="G96" i="6"/>
  <c r="E96" i="6"/>
  <c r="M95" i="6"/>
  <c r="G95" i="6"/>
  <c r="E95" i="6"/>
  <c r="M94" i="6"/>
  <c r="G94" i="6"/>
  <c r="E94" i="6"/>
  <c r="M93" i="6"/>
  <c r="G93" i="6"/>
  <c r="E93" i="6"/>
  <c r="M92" i="6"/>
  <c r="E92" i="6"/>
  <c r="R91" i="6"/>
  <c r="Q91" i="6"/>
  <c r="M91" i="6"/>
  <c r="G91" i="6"/>
  <c r="E91" i="6"/>
  <c r="R90" i="6"/>
  <c r="P90" i="6"/>
  <c r="M90" i="6"/>
  <c r="G90" i="6"/>
  <c r="E90" i="6"/>
  <c r="M89" i="6"/>
  <c r="G89" i="6"/>
  <c r="E89" i="6"/>
  <c r="M88" i="6"/>
  <c r="G88" i="6"/>
  <c r="E88" i="6"/>
  <c r="M87" i="6"/>
  <c r="G87" i="6"/>
  <c r="E87" i="6"/>
  <c r="M86" i="6"/>
  <c r="G86" i="6"/>
  <c r="E86" i="6"/>
  <c r="M85" i="6"/>
  <c r="G85" i="6"/>
  <c r="E85" i="6"/>
  <c r="M84" i="6"/>
  <c r="G84" i="6"/>
  <c r="E84" i="6"/>
  <c r="M83" i="6"/>
  <c r="E83" i="6"/>
  <c r="M82" i="6"/>
  <c r="G82" i="6"/>
  <c r="E82" i="6"/>
  <c r="M81" i="6"/>
  <c r="E81" i="6"/>
  <c r="M80" i="6"/>
  <c r="G80" i="6"/>
  <c r="E80" i="6"/>
  <c r="M79" i="6"/>
  <c r="G79" i="6"/>
  <c r="E79" i="6"/>
  <c r="M78" i="6"/>
  <c r="E78" i="6"/>
  <c r="Q77" i="6"/>
  <c r="P77" i="6"/>
  <c r="M77" i="6"/>
  <c r="G77" i="6"/>
  <c r="E77" i="6"/>
  <c r="M76" i="6"/>
  <c r="G76" i="6"/>
  <c r="E76" i="6"/>
  <c r="Q75" i="6"/>
  <c r="P75" i="6"/>
  <c r="M75" i="6"/>
  <c r="G75" i="6"/>
  <c r="E75" i="6"/>
  <c r="M74" i="6"/>
  <c r="G74" i="6"/>
  <c r="E74" i="6"/>
  <c r="Q73" i="6"/>
  <c r="P73" i="6"/>
  <c r="M73" i="6"/>
  <c r="G73" i="6"/>
  <c r="E73" i="6"/>
  <c r="Q72" i="6"/>
  <c r="P72" i="6"/>
  <c r="M72" i="6"/>
  <c r="G72" i="6"/>
  <c r="E72" i="6"/>
  <c r="Q71" i="6"/>
  <c r="P71" i="6"/>
  <c r="M71" i="6"/>
  <c r="G71" i="6"/>
  <c r="E71" i="6"/>
  <c r="M70" i="6"/>
  <c r="G70" i="6"/>
  <c r="E70" i="6"/>
  <c r="Q69" i="6"/>
  <c r="P69" i="6"/>
  <c r="M69" i="6"/>
  <c r="G69" i="6"/>
  <c r="E69" i="6"/>
  <c r="M68" i="6"/>
  <c r="G68" i="6"/>
  <c r="E68" i="6"/>
  <c r="Q67" i="6"/>
  <c r="P67" i="6"/>
  <c r="M67" i="6"/>
  <c r="G67" i="6"/>
  <c r="E67" i="6"/>
  <c r="M66" i="6"/>
  <c r="G66" i="6"/>
  <c r="E66" i="6"/>
  <c r="Q65" i="6"/>
  <c r="P65" i="6"/>
  <c r="M65" i="6"/>
  <c r="G65" i="6"/>
  <c r="E65" i="6"/>
  <c r="Q64" i="6"/>
  <c r="P64" i="6"/>
  <c r="M64" i="6"/>
  <c r="G64" i="6"/>
  <c r="E64" i="6"/>
  <c r="Q63" i="6"/>
  <c r="P63" i="6"/>
  <c r="M63" i="6"/>
  <c r="G63" i="6"/>
  <c r="E63" i="6"/>
  <c r="Q62" i="6"/>
  <c r="P62" i="6"/>
  <c r="M62" i="6"/>
  <c r="G62" i="6"/>
  <c r="E62" i="6"/>
  <c r="M61" i="6"/>
  <c r="G61" i="6"/>
  <c r="E61" i="6"/>
  <c r="Q60" i="6"/>
  <c r="P60" i="6"/>
  <c r="M60" i="6"/>
  <c r="G60" i="6"/>
  <c r="E60" i="6"/>
  <c r="M59" i="6"/>
  <c r="G59" i="6"/>
  <c r="E59" i="6"/>
  <c r="Q58" i="6"/>
  <c r="P58" i="6"/>
  <c r="M58" i="6"/>
  <c r="G58" i="6"/>
  <c r="E58" i="6"/>
  <c r="M57" i="6"/>
  <c r="G57" i="6"/>
  <c r="E57" i="6"/>
  <c r="Q56" i="6"/>
  <c r="P56" i="6"/>
  <c r="M56" i="6"/>
  <c r="G56" i="6"/>
  <c r="E56" i="6"/>
  <c r="M55" i="6"/>
  <c r="G55" i="6"/>
  <c r="E55" i="6"/>
  <c r="Q54" i="6"/>
  <c r="P54" i="6"/>
  <c r="M54" i="6"/>
  <c r="G54" i="6"/>
  <c r="E54" i="6"/>
  <c r="M53" i="6"/>
  <c r="G53" i="6"/>
  <c r="E53" i="6"/>
  <c r="Q52" i="6"/>
  <c r="P52" i="6"/>
  <c r="M52" i="6"/>
  <c r="G52" i="6"/>
  <c r="E52" i="6"/>
  <c r="M51" i="6"/>
  <c r="G51" i="6"/>
  <c r="E51" i="6"/>
  <c r="P50" i="6"/>
  <c r="M50" i="6"/>
  <c r="G50" i="6"/>
  <c r="E50" i="6"/>
  <c r="M49" i="6"/>
  <c r="G49" i="6"/>
  <c r="E49" i="6"/>
  <c r="Q48" i="6"/>
  <c r="P48" i="6"/>
  <c r="M48" i="6"/>
  <c r="G48" i="6"/>
  <c r="E48" i="6"/>
  <c r="M47" i="6"/>
  <c r="G47" i="6"/>
  <c r="E47" i="6"/>
  <c r="Q46" i="6"/>
  <c r="P46" i="6"/>
  <c r="M46" i="6"/>
  <c r="G46" i="6"/>
  <c r="E46" i="6"/>
  <c r="Q45" i="6"/>
  <c r="P45" i="6"/>
  <c r="M45" i="6"/>
  <c r="G45" i="6"/>
  <c r="E45" i="6"/>
  <c r="Q44" i="6"/>
  <c r="P44" i="6"/>
  <c r="M44" i="6"/>
  <c r="G44" i="6"/>
  <c r="E44" i="6"/>
  <c r="Q43" i="6"/>
  <c r="P43" i="6"/>
  <c r="M43" i="6"/>
  <c r="G43" i="6"/>
  <c r="E43" i="6"/>
  <c r="M42" i="6"/>
  <c r="G42" i="6"/>
  <c r="E42" i="6"/>
  <c r="Q41" i="6"/>
  <c r="P41" i="6"/>
  <c r="M41" i="6"/>
  <c r="G41" i="6"/>
  <c r="E41" i="6"/>
  <c r="M40" i="6"/>
  <c r="G40" i="6"/>
  <c r="E40" i="6"/>
  <c r="Q39" i="6"/>
  <c r="P39" i="6"/>
  <c r="M39" i="6"/>
  <c r="G39" i="6"/>
  <c r="E39" i="6"/>
  <c r="M38" i="6"/>
  <c r="G38" i="6"/>
  <c r="E38" i="6"/>
  <c r="Q37" i="6"/>
  <c r="P37" i="6"/>
  <c r="M37" i="6"/>
  <c r="G37" i="6"/>
  <c r="E37" i="6"/>
  <c r="M36" i="6"/>
  <c r="G36" i="6"/>
  <c r="E36" i="6"/>
  <c r="Q35" i="6"/>
  <c r="P35" i="6"/>
  <c r="M35" i="6"/>
  <c r="G35" i="6"/>
  <c r="E35" i="6"/>
  <c r="M34" i="6"/>
  <c r="G34" i="6"/>
  <c r="E34" i="6"/>
  <c r="Q33" i="6"/>
  <c r="P33" i="6"/>
  <c r="M33" i="6"/>
  <c r="G33" i="6"/>
  <c r="E33" i="6"/>
  <c r="M32" i="6"/>
  <c r="G32" i="6"/>
  <c r="E32" i="6"/>
  <c r="Q31" i="6"/>
  <c r="P31" i="6"/>
  <c r="M31" i="6"/>
  <c r="G31" i="6"/>
  <c r="E31" i="6"/>
  <c r="M30" i="6"/>
  <c r="G30" i="6"/>
  <c r="E30" i="6"/>
  <c r="Q29" i="6"/>
  <c r="P29" i="6"/>
  <c r="M29" i="6"/>
  <c r="G29" i="6"/>
  <c r="E29" i="6"/>
  <c r="M28" i="6"/>
  <c r="G28" i="6"/>
  <c r="E28" i="6"/>
  <c r="Q27" i="6"/>
  <c r="P27" i="6"/>
  <c r="M27" i="6"/>
  <c r="G27" i="6"/>
  <c r="E27" i="6"/>
  <c r="Q26" i="6"/>
  <c r="P26" i="6"/>
  <c r="M26" i="6"/>
  <c r="G26" i="6"/>
  <c r="E26" i="6"/>
  <c r="M25" i="6"/>
  <c r="G25" i="6"/>
  <c r="E25" i="6"/>
  <c r="Q24" i="6"/>
  <c r="P24" i="6"/>
  <c r="M24" i="6"/>
  <c r="G24" i="6"/>
  <c r="E24" i="6"/>
  <c r="M23" i="6"/>
  <c r="G23" i="6"/>
  <c r="E23" i="6"/>
  <c r="Q22" i="6"/>
  <c r="P22" i="6"/>
  <c r="M22" i="6"/>
  <c r="G22" i="6"/>
  <c r="E22" i="6"/>
  <c r="M21" i="6"/>
  <c r="G21" i="6"/>
  <c r="E21" i="6"/>
  <c r="Q20" i="6"/>
  <c r="P20" i="6"/>
  <c r="M20" i="6"/>
  <c r="G20" i="6"/>
  <c r="E20" i="6"/>
  <c r="R19" i="6"/>
  <c r="Q19" i="6"/>
  <c r="P19" i="6"/>
  <c r="M19" i="6"/>
  <c r="G19" i="6"/>
  <c r="E19" i="6"/>
  <c r="R18" i="6"/>
  <c r="Q18" i="6"/>
  <c r="P18" i="6"/>
  <c r="M18" i="6"/>
  <c r="E18" i="6"/>
  <c r="M17" i="6"/>
  <c r="G17" i="6"/>
  <c r="E17" i="6"/>
  <c r="Q16" i="6"/>
  <c r="P16" i="6"/>
  <c r="M16" i="6"/>
  <c r="G16" i="6"/>
  <c r="E16" i="6"/>
  <c r="M15" i="6"/>
  <c r="G15" i="6"/>
  <c r="E15" i="6"/>
  <c r="M14" i="6"/>
  <c r="G14" i="6"/>
  <c r="E14" i="6"/>
  <c r="M13" i="6"/>
  <c r="G13" i="6"/>
  <c r="E13" i="6"/>
  <c r="R12" i="6"/>
  <c r="Q12" i="6"/>
  <c r="P12" i="6"/>
  <c r="M12" i="6"/>
  <c r="G12" i="6"/>
  <c r="E12" i="6"/>
  <c r="R11" i="6"/>
  <c r="P11" i="6"/>
  <c r="M11" i="6"/>
  <c r="G11" i="6"/>
  <c r="E11" i="6"/>
  <c r="M10" i="6"/>
  <c r="G10" i="6"/>
  <c r="E10" i="6"/>
  <c r="H154" i="5" l="1"/>
  <c r="H268" i="4" l="1"/>
  <c r="H275" i="3" l="1"/>
  <c r="R184" i="3" l="1"/>
  <c r="P184" i="3"/>
  <c r="M184" i="3"/>
  <c r="G184" i="3"/>
  <c r="E184" i="3"/>
  <c r="R183" i="3"/>
  <c r="Q183" i="3"/>
  <c r="P183" i="3"/>
  <c r="M183" i="3"/>
  <c r="E183" i="3"/>
  <c r="M182" i="3"/>
  <c r="G182" i="3"/>
  <c r="E182" i="3"/>
  <c r="M181" i="3"/>
  <c r="E181" i="3"/>
  <c r="M180" i="3"/>
  <c r="E180" i="3"/>
  <c r="M179" i="3"/>
  <c r="G179" i="3"/>
  <c r="E179" i="3"/>
  <c r="M178" i="3"/>
  <c r="G178" i="3"/>
  <c r="E178" i="3"/>
  <c r="M177" i="3"/>
  <c r="E177" i="3"/>
  <c r="M176" i="3"/>
  <c r="E176" i="3"/>
  <c r="M175" i="3"/>
  <c r="G175" i="3"/>
  <c r="E175" i="3"/>
  <c r="M174" i="3"/>
  <c r="E174" i="3"/>
  <c r="M173" i="3"/>
  <c r="E173" i="3"/>
  <c r="M172" i="3"/>
  <c r="G172" i="3"/>
  <c r="E172" i="3"/>
  <c r="M171" i="3"/>
  <c r="G171" i="3"/>
  <c r="E171" i="3"/>
  <c r="Q170" i="3"/>
  <c r="P170" i="3"/>
  <c r="M170" i="3"/>
  <c r="G170" i="3"/>
  <c r="E170" i="3"/>
  <c r="Q169" i="3"/>
  <c r="P169" i="3"/>
  <c r="M169" i="3"/>
  <c r="G169" i="3"/>
  <c r="E169" i="3"/>
  <c r="M168" i="3"/>
  <c r="G168" i="3"/>
  <c r="E168" i="3"/>
  <c r="M167" i="3"/>
  <c r="G167" i="3"/>
  <c r="E167" i="3"/>
  <c r="M166" i="3"/>
  <c r="G166" i="3"/>
  <c r="E166" i="3"/>
  <c r="M165" i="3"/>
  <c r="G165" i="3"/>
  <c r="R164" i="3"/>
  <c r="P164" i="3"/>
  <c r="M164" i="3"/>
  <c r="G164" i="3"/>
  <c r="E164" i="3"/>
  <c r="R163" i="3"/>
  <c r="P163" i="3"/>
  <c r="M163" i="3"/>
  <c r="G163" i="3"/>
  <c r="E163" i="3"/>
  <c r="Q162" i="3"/>
  <c r="P162" i="3"/>
  <c r="M162" i="3"/>
  <c r="G162" i="3"/>
  <c r="E162" i="3"/>
  <c r="Q161" i="3"/>
  <c r="P161" i="3"/>
  <c r="M161" i="3"/>
  <c r="G161" i="3"/>
  <c r="E161" i="3"/>
  <c r="M160" i="3"/>
  <c r="G160" i="3"/>
  <c r="E160" i="3"/>
  <c r="M159" i="3"/>
  <c r="G159" i="3"/>
  <c r="E159" i="3"/>
  <c r="Q158" i="3"/>
  <c r="P158" i="3"/>
  <c r="M158" i="3"/>
  <c r="G158" i="3"/>
  <c r="E158" i="3"/>
  <c r="M157" i="3"/>
  <c r="G157" i="3"/>
  <c r="E157" i="3"/>
  <c r="M156" i="3"/>
  <c r="G156" i="3"/>
  <c r="E156" i="3"/>
  <c r="Q155" i="3"/>
  <c r="P155" i="3"/>
  <c r="M155" i="3"/>
  <c r="G155" i="3"/>
  <c r="E155" i="3"/>
  <c r="M154" i="3"/>
  <c r="G154" i="3"/>
  <c r="E154" i="3"/>
  <c r="M153" i="3"/>
  <c r="G153" i="3"/>
  <c r="E153" i="3"/>
  <c r="Q152" i="3"/>
  <c r="P152" i="3"/>
  <c r="M152" i="3"/>
  <c r="G152" i="3"/>
  <c r="E152" i="3"/>
  <c r="M151" i="3"/>
  <c r="G151" i="3"/>
  <c r="E151" i="3"/>
  <c r="M150" i="3"/>
  <c r="G150" i="3"/>
  <c r="E150" i="3"/>
  <c r="Q149" i="3"/>
  <c r="P149" i="3"/>
  <c r="M149" i="3"/>
  <c r="G149" i="3"/>
  <c r="E149" i="3"/>
  <c r="M148" i="3"/>
  <c r="G148" i="3"/>
  <c r="E148" i="3"/>
  <c r="M147" i="3"/>
  <c r="G147" i="3"/>
  <c r="E147" i="3"/>
  <c r="Q146" i="3"/>
  <c r="P146" i="3"/>
  <c r="M146" i="3"/>
  <c r="G146" i="3"/>
  <c r="E146" i="3"/>
  <c r="M145" i="3"/>
  <c r="G145" i="3"/>
  <c r="E145" i="3"/>
  <c r="M144" i="3"/>
  <c r="G144" i="3"/>
  <c r="E144" i="3"/>
  <c r="M143" i="3"/>
  <c r="G143" i="3"/>
  <c r="E143" i="3"/>
  <c r="Q142" i="3"/>
  <c r="P142" i="3"/>
  <c r="M142" i="3"/>
  <c r="G142" i="3"/>
  <c r="E142" i="3"/>
  <c r="M141" i="3"/>
  <c r="G141" i="3"/>
  <c r="E141" i="3"/>
  <c r="M140" i="3"/>
  <c r="G140" i="3"/>
  <c r="E140" i="3"/>
  <c r="Q139" i="3"/>
  <c r="P139" i="3"/>
  <c r="M139" i="3"/>
  <c r="G139" i="3"/>
  <c r="E139" i="3"/>
  <c r="Q138" i="3"/>
  <c r="P138" i="3"/>
  <c r="M138" i="3"/>
  <c r="G138" i="3"/>
  <c r="E138" i="3"/>
  <c r="Q137" i="3"/>
  <c r="P137" i="3"/>
  <c r="M137" i="3"/>
  <c r="G137" i="3"/>
  <c r="E137" i="3"/>
  <c r="M136" i="3"/>
  <c r="G136" i="3"/>
  <c r="E136" i="3"/>
  <c r="M135" i="3"/>
  <c r="G135" i="3"/>
  <c r="E135" i="3"/>
  <c r="Q134" i="3"/>
  <c r="P134" i="3"/>
  <c r="M134" i="3"/>
  <c r="G134" i="3"/>
  <c r="E134" i="3"/>
  <c r="M133" i="3"/>
  <c r="G133" i="3"/>
  <c r="E133" i="3"/>
  <c r="M132" i="3"/>
  <c r="G132" i="3"/>
  <c r="E132" i="3"/>
  <c r="Q131" i="3"/>
  <c r="P131" i="3"/>
  <c r="M131" i="3"/>
  <c r="G131" i="3"/>
  <c r="E131" i="3"/>
  <c r="M130" i="3"/>
  <c r="G130" i="3"/>
  <c r="E130" i="3"/>
  <c r="M129" i="3"/>
  <c r="G129" i="3"/>
  <c r="E129" i="3"/>
  <c r="Q128" i="3"/>
  <c r="P128" i="3"/>
  <c r="M128" i="3"/>
  <c r="G128" i="3"/>
  <c r="E128" i="3"/>
  <c r="Q127" i="3"/>
  <c r="P127" i="3"/>
  <c r="M127" i="3"/>
  <c r="G127" i="3"/>
  <c r="E127" i="3"/>
  <c r="M126" i="3"/>
  <c r="G126" i="3"/>
  <c r="E126" i="3"/>
  <c r="M125" i="3"/>
  <c r="G125" i="3"/>
  <c r="E125" i="3"/>
  <c r="Q124" i="3"/>
  <c r="P124" i="3"/>
  <c r="M124" i="3"/>
  <c r="G124" i="3"/>
  <c r="E124" i="3"/>
  <c r="M123" i="3"/>
  <c r="G123" i="3"/>
  <c r="E123" i="3"/>
  <c r="M122" i="3"/>
  <c r="G122" i="3"/>
  <c r="E122" i="3"/>
  <c r="Q121" i="3"/>
  <c r="P121" i="3"/>
  <c r="M121" i="3"/>
  <c r="G121" i="3"/>
  <c r="E121" i="3"/>
  <c r="M120" i="3"/>
  <c r="G120" i="3"/>
  <c r="E120" i="3"/>
  <c r="M119" i="3"/>
  <c r="G119" i="3"/>
  <c r="E119" i="3"/>
  <c r="Q118" i="3"/>
  <c r="P118" i="3"/>
  <c r="M118" i="3"/>
  <c r="G118" i="3"/>
  <c r="E118" i="3"/>
  <c r="M117" i="3"/>
  <c r="G117" i="3"/>
  <c r="E117" i="3"/>
  <c r="M116" i="3"/>
  <c r="G116" i="3"/>
  <c r="E116" i="3"/>
  <c r="Q115" i="3"/>
  <c r="P115" i="3"/>
  <c r="M115" i="3"/>
  <c r="G115" i="3"/>
  <c r="E115" i="3"/>
  <c r="Q114" i="3"/>
  <c r="P114" i="3"/>
  <c r="M114" i="3"/>
  <c r="G114" i="3"/>
  <c r="E114" i="3"/>
  <c r="P113" i="3"/>
  <c r="M113" i="3"/>
  <c r="G113" i="3"/>
  <c r="E113" i="3"/>
  <c r="M112" i="3"/>
  <c r="G112" i="3"/>
  <c r="E112" i="3"/>
  <c r="M111" i="3"/>
  <c r="G111" i="3"/>
  <c r="E111" i="3"/>
  <c r="P110" i="3"/>
  <c r="M110" i="3"/>
  <c r="G110" i="3"/>
  <c r="E110" i="3"/>
  <c r="M109" i="3"/>
  <c r="G109" i="3"/>
  <c r="E109" i="3"/>
  <c r="M108" i="3"/>
  <c r="G108" i="3"/>
  <c r="E108" i="3"/>
  <c r="Q107" i="3"/>
  <c r="P107" i="3"/>
  <c r="M107" i="3"/>
  <c r="G107" i="3"/>
  <c r="E107" i="3"/>
  <c r="M106" i="3"/>
  <c r="G106" i="3"/>
  <c r="E106" i="3"/>
  <c r="M105" i="3"/>
  <c r="G105" i="3"/>
  <c r="E105" i="3"/>
  <c r="Q104" i="3"/>
  <c r="P104" i="3"/>
  <c r="M104" i="3"/>
  <c r="G104" i="3"/>
  <c r="E104" i="3"/>
  <c r="M103" i="3"/>
  <c r="G103" i="3"/>
  <c r="E103" i="3"/>
  <c r="Q102" i="3"/>
  <c r="P102" i="3"/>
  <c r="M102" i="3"/>
  <c r="G102" i="3"/>
  <c r="E102" i="3"/>
  <c r="M101" i="3"/>
  <c r="G101" i="3"/>
  <c r="E101" i="3"/>
  <c r="M100" i="3"/>
  <c r="G100" i="3"/>
  <c r="E100" i="3"/>
  <c r="Q99" i="3"/>
  <c r="P99" i="3"/>
  <c r="M99" i="3"/>
  <c r="G99" i="3"/>
  <c r="E99" i="3"/>
  <c r="M98" i="3"/>
  <c r="G98" i="3"/>
  <c r="E98" i="3"/>
  <c r="M97" i="3"/>
  <c r="G97" i="3"/>
  <c r="E97" i="3"/>
  <c r="Q96" i="3"/>
  <c r="P96" i="3"/>
  <c r="M96" i="3"/>
  <c r="G96" i="3"/>
  <c r="E96" i="3"/>
  <c r="M95" i="3"/>
  <c r="G95" i="3"/>
  <c r="E95" i="3"/>
  <c r="M94" i="3"/>
  <c r="G94" i="3"/>
  <c r="E94" i="3"/>
  <c r="Q93" i="3"/>
  <c r="P93" i="3"/>
  <c r="M93" i="3"/>
  <c r="G93" i="3"/>
  <c r="E93" i="3"/>
  <c r="M92" i="3"/>
  <c r="G92" i="3"/>
  <c r="E92" i="3"/>
  <c r="M91" i="3"/>
  <c r="G91" i="3"/>
  <c r="E91" i="3"/>
  <c r="Q90" i="3"/>
  <c r="P90" i="3"/>
  <c r="M90" i="3"/>
  <c r="G90" i="3"/>
  <c r="E90" i="3"/>
  <c r="M89" i="3"/>
  <c r="G89" i="3"/>
  <c r="E89" i="3"/>
  <c r="M88" i="3"/>
  <c r="G88" i="3"/>
  <c r="E88" i="3"/>
  <c r="M87" i="3"/>
  <c r="G87" i="3"/>
  <c r="M86" i="3"/>
  <c r="G86" i="3"/>
  <c r="E86" i="3"/>
  <c r="M85" i="3"/>
  <c r="G85" i="3"/>
  <c r="E85" i="3"/>
  <c r="M84" i="3"/>
  <c r="G84" i="3"/>
  <c r="M83" i="3"/>
  <c r="G83" i="3"/>
  <c r="E83" i="3"/>
  <c r="M82" i="3"/>
  <c r="E82" i="3"/>
  <c r="M81" i="3"/>
  <c r="E81" i="3"/>
  <c r="R80" i="3"/>
  <c r="Q80" i="3"/>
  <c r="P80" i="3"/>
  <c r="M80" i="3"/>
  <c r="G80" i="3"/>
  <c r="E80" i="3"/>
  <c r="M79" i="3"/>
  <c r="G79" i="3"/>
  <c r="E79" i="3"/>
  <c r="M78" i="3"/>
  <c r="G78" i="3"/>
  <c r="E78" i="3"/>
  <c r="M77" i="3"/>
  <c r="E77" i="3"/>
  <c r="M76" i="3"/>
  <c r="E76" i="3"/>
  <c r="M75" i="3"/>
  <c r="G75" i="3"/>
  <c r="E75" i="3"/>
  <c r="R74" i="3"/>
  <c r="P74" i="3"/>
  <c r="M74" i="3"/>
  <c r="G74" i="3"/>
  <c r="E74" i="3"/>
  <c r="M73" i="3"/>
  <c r="G73" i="3"/>
  <c r="E73" i="3"/>
  <c r="M72" i="3"/>
  <c r="G72" i="3"/>
  <c r="E72" i="3"/>
  <c r="Q71" i="3"/>
  <c r="P71" i="3"/>
  <c r="M71" i="3"/>
  <c r="G71" i="3"/>
  <c r="E71" i="3"/>
  <c r="R70" i="3"/>
  <c r="Q70" i="3"/>
  <c r="P70" i="3"/>
  <c r="M70" i="3"/>
  <c r="E70" i="3"/>
  <c r="M69" i="3"/>
  <c r="G69" i="3"/>
  <c r="E69" i="3"/>
  <c r="M68" i="3"/>
  <c r="E68" i="3"/>
  <c r="M67" i="3"/>
  <c r="E67" i="3"/>
  <c r="R66" i="3"/>
  <c r="Q66" i="3"/>
  <c r="P66" i="3"/>
  <c r="M66" i="3"/>
  <c r="G66" i="3"/>
  <c r="E66" i="3"/>
  <c r="M65" i="3"/>
  <c r="G65" i="3"/>
  <c r="E65" i="3"/>
  <c r="M64" i="3"/>
  <c r="G64" i="3"/>
  <c r="E64" i="3"/>
  <c r="M63" i="3"/>
  <c r="G63" i="3"/>
  <c r="M62" i="3"/>
  <c r="G62" i="3"/>
  <c r="E62" i="3"/>
  <c r="M61" i="3"/>
  <c r="G61" i="3"/>
  <c r="E61" i="3"/>
  <c r="M60" i="3"/>
  <c r="G60" i="3"/>
  <c r="M59" i="3"/>
  <c r="G59" i="3"/>
  <c r="E59" i="3"/>
  <c r="M58" i="3"/>
  <c r="G58" i="3"/>
  <c r="E58" i="3"/>
  <c r="M57" i="3"/>
  <c r="G57" i="3"/>
  <c r="M56" i="3"/>
  <c r="G56" i="3"/>
  <c r="E56" i="3"/>
  <c r="M55" i="3"/>
  <c r="G55" i="3"/>
  <c r="E55" i="3"/>
  <c r="M54" i="3"/>
  <c r="G54" i="3"/>
  <c r="E54" i="3"/>
  <c r="M53" i="3"/>
  <c r="G53" i="3"/>
  <c r="E53" i="3"/>
  <c r="M52" i="3"/>
  <c r="G52" i="3"/>
  <c r="E52" i="3"/>
  <c r="M51" i="3"/>
  <c r="G51" i="3"/>
  <c r="E51" i="3"/>
  <c r="M50" i="3"/>
  <c r="E50" i="3"/>
  <c r="M49" i="3"/>
  <c r="E49" i="3"/>
  <c r="M48" i="3"/>
  <c r="E48" i="3"/>
  <c r="M47" i="3"/>
  <c r="E47" i="3"/>
  <c r="M46" i="3"/>
  <c r="G46" i="3"/>
  <c r="E46" i="3"/>
  <c r="Q45" i="3"/>
  <c r="P45" i="3"/>
  <c r="M45" i="3"/>
  <c r="G45" i="3"/>
  <c r="E45" i="3"/>
  <c r="Q44" i="3"/>
  <c r="P44" i="3"/>
  <c r="M44" i="3"/>
  <c r="G44" i="3"/>
  <c r="E44" i="3"/>
  <c r="M43" i="3"/>
  <c r="G43" i="3"/>
  <c r="E43" i="3"/>
  <c r="M42" i="3"/>
  <c r="G42" i="3"/>
  <c r="E42" i="3"/>
  <c r="Q41" i="3"/>
  <c r="P41" i="3"/>
  <c r="M41" i="3"/>
  <c r="G41" i="3"/>
  <c r="E41" i="3"/>
  <c r="Q40" i="3"/>
  <c r="P40" i="3"/>
  <c r="M40" i="3"/>
  <c r="G40" i="3"/>
  <c r="E40" i="3"/>
  <c r="Q39" i="3"/>
  <c r="P39" i="3"/>
  <c r="M39" i="3"/>
  <c r="G39" i="3"/>
  <c r="E39" i="3"/>
  <c r="M38" i="3"/>
  <c r="G38" i="3"/>
  <c r="E38" i="3"/>
  <c r="M37" i="3"/>
  <c r="G37" i="3"/>
  <c r="E37" i="3"/>
  <c r="Q36" i="3"/>
  <c r="P36" i="3"/>
  <c r="M36" i="3"/>
  <c r="G36" i="3"/>
  <c r="E36" i="3"/>
  <c r="M35" i="3"/>
  <c r="G35" i="3"/>
  <c r="E35" i="3"/>
  <c r="M34" i="3"/>
  <c r="G34" i="3"/>
  <c r="E34" i="3"/>
  <c r="Q33" i="3"/>
  <c r="P33" i="3"/>
  <c r="M33" i="3"/>
  <c r="G33" i="3"/>
  <c r="E33" i="3"/>
  <c r="M32" i="3"/>
  <c r="G32" i="3"/>
  <c r="E32" i="3"/>
  <c r="M31" i="3"/>
  <c r="G31" i="3"/>
  <c r="E31" i="3"/>
  <c r="Q30" i="3"/>
  <c r="P30" i="3"/>
  <c r="M30" i="3"/>
  <c r="G30" i="3"/>
  <c r="E30" i="3"/>
  <c r="Q29" i="3"/>
  <c r="P29" i="3"/>
  <c r="M29" i="3"/>
  <c r="G29" i="3"/>
  <c r="E29" i="3"/>
  <c r="Q28" i="3"/>
  <c r="P28" i="3"/>
  <c r="M28" i="3"/>
  <c r="G28" i="3"/>
  <c r="E28" i="3"/>
  <c r="Q27" i="3"/>
  <c r="P27" i="3"/>
  <c r="M27" i="3"/>
  <c r="G27" i="3"/>
  <c r="E27" i="3"/>
  <c r="Q26" i="3"/>
  <c r="P26" i="3"/>
  <c r="M26" i="3"/>
  <c r="G26" i="3"/>
  <c r="E26" i="3"/>
  <c r="M25" i="3"/>
  <c r="G25" i="3"/>
  <c r="E25" i="3"/>
  <c r="M24" i="3"/>
  <c r="G24" i="3"/>
  <c r="E24" i="3"/>
  <c r="Q23" i="3"/>
  <c r="P23" i="3"/>
  <c r="M23" i="3"/>
  <c r="G23" i="3"/>
  <c r="E23" i="3"/>
  <c r="Q22" i="3"/>
  <c r="P22" i="3"/>
  <c r="M22" i="3"/>
  <c r="G22" i="3"/>
  <c r="E22" i="3"/>
  <c r="Q21" i="3"/>
  <c r="P21" i="3"/>
  <c r="M21" i="3"/>
  <c r="G21" i="3"/>
  <c r="E21" i="3"/>
  <c r="M20" i="3"/>
  <c r="G20" i="3"/>
  <c r="E20" i="3"/>
  <c r="M19" i="3"/>
  <c r="G19" i="3"/>
  <c r="E19" i="3"/>
  <c r="Q18" i="3"/>
  <c r="P18" i="3"/>
  <c r="M18" i="3"/>
  <c r="G18" i="3"/>
  <c r="E18" i="3"/>
  <c r="M17" i="3"/>
  <c r="G17" i="3"/>
  <c r="E17" i="3"/>
  <c r="M16" i="3"/>
  <c r="E16" i="3"/>
  <c r="M15" i="3"/>
  <c r="E15" i="3"/>
  <c r="R14" i="3"/>
  <c r="P14" i="3"/>
  <c r="M14" i="3"/>
  <c r="G14" i="3"/>
  <c r="E14" i="3"/>
  <c r="M13" i="3"/>
  <c r="G13" i="3"/>
  <c r="E13" i="3"/>
  <c r="M12" i="3"/>
  <c r="G12" i="3"/>
  <c r="E12" i="3"/>
  <c r="H284" i="2" l="1"/>
  <c r="Q282" i="2" l="1"/>
  <c r="P282" i="2"/>
  <c r="M282" i="2"/>
  <c r="G282" i="2"/>
  <c r="E282" i="2"/>
  <c r="M281" i="2"/>
  <c r="G281" i="2"/>
  <c r="E281" i="2"/>
  <c r="M280" i="2"/>
  <c r="G280" i="2"/>
  <c r="E280" i="2"/>
  <c r="Q279" i="2"/>
  <c r="P279" i="2"/>
  <c r="M279" i="2"/>
  <c r="G279" i="2"/>
  <c r="E279" i="2"/>
  <c r="Q278" i="2"/>
  <c r="P278" i="2"/>
  <c r="M278" i="2"/>
  <c r="G278" i="2"/>
  <c r="E278" i="2"/>
  <c r="M277" i="2"/>
  <c r="G277" i="2"/>
  <c r="E277" i="2"/>
  <c r="M276" i="2"/>
  <c r="G276" i="2"/>
  <c r="E276" i="2"/>
  <c r="Q275" i="2"/>
  <c r="P275" i="2"/>
  <c r="M275" i="2"/>
  <c r="G275" i="2"/>
  <c r="E275" i="2"/>
  <c r="M274" i="2"/>
  <c r="G274" i="2"/>
  <c r="E274" i="2"/>
  <c r="M273" i="2"/>
  <c r="G273" i="2"/>
  <c r="E273" i="2"/>
  <c r="Q272" i="2"/>
  <c r="P272" i="2"/>
  <c r="M272" i="2"/>
  <c r="G272" i="2"/>
  <c r="E272" i="2"/>
  <c r="Q271" i="2"/>
  <c r="P271" i="2"/>
  <c r="M271" i="2"/>
  <c r="G271" i="2"/>
  <c r="E271" i="2"/>
  <c r="M270" i="2"/>
  <c r="G270" i="2"/>
  <c r="E270" i="2"/>
  <c r="M269" i="2"/>
  <c r="G269" i="2"/>
  <c r="E269" i="2"/>
  <c r="M268" i="2"/>
  <c r="G268" i="2"/>
  <c r="M267" i="2"/>
  <c r="G267" i="2"/>
  <c r="E267" i="2"/>
  <c r="M266" i="2"/>
  <c r="E266" i="2"/>
  <c r="M265" i="2"/>
  <c r="E265" i="2"/>
  <c r="R264" i="2"/>
  <c r="Q264" i="2"/>
  <c r="P264" i="2"/>
  <c r="M264" i="2"/>
  <c r="G264" i="2"/>
  <c r="E264" i="2"/>
  <c r="M263" i="2"/>
  <c r="G263" i="2"/>
  <c r="E263" i="2"/>
  <c r="M262" i="2"/>
  <c r="G262" i="2"/>
  <c r="E262" i="2"/>
  <c r="M261" i="2"/>
  <c r="G261" i="2"/>
  <c r="E261" i="2"/>
  <c r="M260" i="2"/>
  <c r="E260" i="2"/>
  <c r="M259" i="2"/>
  <c r="E259" i="2"/>
  <c r="R258" i="2"/>
  <c r="P258" i="2"/>
  <c r="M258" i="2"/>
  <c r="G258" i="2"/>
  <c r="E258" i="2"/>
  <c r="Q257" i="2"/>
  <c r="P257" i="2"/>
  <c r="M257" i="2"/>
  <c r="G257" i="2"/>
  <c r="E257" i="2"/>
  <c r="M256" i="2"/>
  <c r="G256" i="2"/>
  <c r="E256" i="2"/>
  <c r="M255" i="2"/>
  <c r="G255" i="2"/>
  <c r="E255" i="2"/>
  <c r="Q254" i="2"/>
  <c r="P254" i="2"/>
  <c r="M254" i="2"/>
  <c r="G254" i="2"/>
  <c r="E254" i="2"/>
  <c r="M253" i="2"/>
  <c r="G253" i="2"/>
  <c r="E253" i="2"/>
  <c r="M252" i="2"/>
  <c r="G252" i="2"/>
  <c r="E252" i="2"/>
  <c r="Q251" i="2"/>
  <c r="P251" i="2"/>
  <c r="M251" i="2"/>
  <c r="G251" i="2"/>
  <c r="E251" i="2"/>
  <c r="Q250" i="2"/>
  <c r="P250" i="2"/>
  <c r="M250" i="2"/>
  <c r="G250" i="2"/>
  <c r="E250" i="2"/>
  <c r="M249" i="2"/>
  <c r="G249" i="2"/>
  <c r="E249" i="2"/>
  <c r="M248" i="2"/>
  <c r="G248" i="2"/>
  <c r="E248" i="2"/>
  <c r="Q247" i="2"/>
  <c r="P247" i="2"/>
  <c r="M247" i="2"/>
  <c r="G247" i="2"/>
  <c r="E247" i="2"/>
  <c r="Q246" i="2"/>
  <c r="P246" i="2"/>
  <c r="M246" i="2"/>
  <c r="G246" i="2"/>
  <c r="E246" i="2"/>
  <c r="M245" i="2"/>
  <c r="G245" i="2"/>
  <c r="E245" i="2"/>
  <c r="M244" i="2"/>
  <c r="G244" i="2"/>
  <c r="E244" i="2"/>
  <c r="Q243" i="2"/>
  <c r="P243" i="2"/>
  <c r="M243" i="2"/>
  <c r="G243" i="2"/>
  <c r="E243" i="2"/>
  <c r="M242" i="2"/>
  <c r="G242" i="2"/>
  <c r="E242" i="2"/>
  <c r="M241" i="2"/>
  <c r="G241" i="2"/>
  <c r="E241" i="2"/>
  <c r="Q240" i="2"/>
  <c r="P240" i="2"/>
  <c r="M240" i="2"/>
  <c r="G240" i="2"/>
  <c r="E240" i="2"/>
  <c r="M239" i="2"/>
  <c r="G239" i="2"/>
  <c r="E239" i="2"/>
  <c r="M238" i="2"/>
  <c r="G238" i="2"/>
  <c r="E238" i="2"/>
  <c r="Q237" i="2"/>
  <c r="P237" i="2"/>
  <c r="M237" i="2"/>
  <c r="G237" i="2"/>
  <c r="E237" i="2"/>
  <c r="M236" i="2"/>
  <c r="G236" i="2"/>
  <c r="E236" i="2"/>
  <c r="M235" i="2"/>
  <c r="G235" i="2"/>
  <c r="E235" i="2"/>
  <c r="Q234" i="2"/>
  <c r="P234" i="2"/>
  <c r="M234" i="2"/>
  <c r="G234" i="2"/>
  <c r="E234" i="2"/>
  <c r="Q233" i="2"/>
  <c r="P233" i="2"/>
  <c r="M233" i="2"/>
  <c r="G233" i="2"/>
  <c r="E233" i="2"/>
  <c r="M232" i="2"/>
  <c r="G232" i="2"/>
  <c r="E232" i="2"/>
  <c r="M231" i="2"/>
  <c r="G231" i="2"/>
  <c r="E231" i="2"/>
  <c r="Q230" i="2"/>
  <c r="P230" i="2"/>
  <c r="M230" i="2"/>
  <c r="G230" i="2"/>
  <c r="E230" i="2"/>
  <c r="Q229" i="2"/>
  <c r="P229" i="2"/>
  <c r="M229" i="2"/>
  <c r="G229" i="2"/>
  <c r="E229" i="2"/>
  <c r="Q228" i="2"/>
  <c r="P228" i="2"/>
  <c r="M228" i="2"/>
  <c r="G228" i="2"/>
  <c r="E228" i="2"/>
  <c r="M227" i="2"/>
  <c r="G227" i="2"/>
  <c r="E227" i="2"/>
  <c r="M226" i="2"/>
  <c r="G226" i="2"/>
  <c r="E226" i="2"/>
  <c r="Q225" i="2"/>
  <c r="P225" i="2"/>
  <c r="M225" i="2"/>
  <c r="G225" i="2"/>
  <c r="E225" i="2"/>
  <c r="M224" i="2"/>
  <c r="G224" i="2"/>
  <c r="E224" i="2"/>
  <c r="M223" i="2"/>
  <c r="G223" i="2"/>
  <c r="E223" i="2"/>
  <c r="Q222" i="2"/>
  <c r="P222" i="2"/>
  <c r="M222" i="2"/>
  <c r="G222" i="2"/>
  <c r="E222" i="2"/>
  <c r="M221" i="2"/>
  <c r="G221" i="2"/>
  <c r="E221" i="2"/>
  <c r="M220" i="2"/>
  <c r="G220" i="2"/>
  <c r="E220" i="2"/>
  <c r="M219" i="2"/>
  <c r="E219" i="2"/>
  <c r="M218" i="2"/>
  <c r="E218" i="2"/>
  <c r="R217" i="2"/>
  <c r="Q217" i="2"/>
  <c r="P217" i="2"/>
  <c r="M217" i="2"/>
  <c r="E217" i="2"/>
  <c r="R216" i="2"/>
  <c r="Q216" i="2"/>
  <c r="P216" i="2"/>
  <c r="M216" i="2"/>
  <c r="G216" i="2"/>
  <c r="E216" i="2"/>
  <c r="R215" i="2"/>
  <c r="Q215" i="2"/>
  <c r="P215" i="2"/>
  <c r="M215" i="2"/>
  <c r="E215" i="2"/>
  <c r="R214" i="2"/>
  <c r="P214" i="2"/>
  <c r="M214" i="2"/>
  <c r="G214" i="2"/>
  <c r="E214" i="2"/>
  <c r="M213" i="2"/>
  <c r="G213" i="2"/>
  <c r="E213" i="2"/>
  <c r="M212" i="2"/>
  <c r="G212" i="2"/>
  <c r="E212" i="2"/>
  <c r="M211" i="2"/>
  <c r="G211" i="2"/>
  <c r="M210" i="2"/>
  <c r="G210" i="2"/>
  <c r="E210" i="2"/>
  <c r="M209" i="2"/>
  <c r="G209" i="2"/>
  <c r="E209" i="2"/>
  <c r="M208" i="2"/>
  <c r="G208" i="2"/>
  <c r="R207" i="2"/>
  <c r="Q207" i="2"/>
  <c r="P207" i="2"/>
  <c r="M207" i="2"/>
  <c r="G207" i="2"/>
  <c r="E207" i="2"/>
  <c r="M206" i="2"/>
  <c r="G206" i="2"/>
  <c r="E206" i="2"/>
  <c r="M205" i="2"/>
  <c r="E205" i="2"/>
  <c r="M204" i="2"/>
  <c r="E204" i="2"/>
  <c r="R203" i="2"/>
  <c r="Q203" i="2"/>
  <c r="P203" i="2"/>
  <c r="M203" i="2"/>
  <c r="E203" i="2"/>
  <c r="R202" i="2"/>
  <c r="Q202" i="2"/>
  <c r="P202" i="2"/>
  <c r="M202" i="2"/>
  <c r="E202" i="2"/>
  <c r="R201" i="2"/>
  <c r="Q201" i="2"/>
  <c r="P201" i="2"/>
  <c r="M201" i="2"/>
  <c r="E201" i="2"/>
  <c r="M200" i="2"/>
  <c r="G200" i="2"/>
  <c r="E200" i="2"/>
  <c r="M199" i="2"/>
  <c r="G199" i="2"/>
  <c r="E199" i="2"/>
  <c r="M198" i="2"/>
  <c r="E198" i="2"/>
  <c r="M197" i="2"/>
  <c r="E197" i="2"/>
  <c r="M196" i="2"/>
  <c r="E196" i="2"/>
  <c r="M195" i="2"/>
  <c r="E195" i="2"/>
  <c r="M194" i="2"/>
  <c r="G194" i="2"/>
  <c r="E194" i="2"/>
  <c r="M193" i="2"/>
  <c r="G193" i="2"/>
  <c r="E193" i="2"/>
  <c r="M192" i="2"/>
  <c r="G192" i="2"/>
  <c r="M191" i="2"/>
  <c r="G191" i="2"/>
  <c r="E191" i="2"/>
  <c r="M190" i="2"/>
  <c r="G190" i="2"/>
  <c r="E190" i="2"/>
  <c r="M189" i="2"/>
  <c r="E189" i="2"/>
  <c r="M188" i="2"/>
  <c r="E188" i="2"/>
  <c r="M187" i="2"/>
  <c r="G187" i="2"/>
  <c r="E187" i="2"/>
  <c r="M186" i="2"/>
  <c r="G186" i="2"/>
  <c r="E186" i="2"/>
  <c r="M185" i="2"/>
  <c r="G185" i="2"/>
  <c r="E185" i="2"/>
  <c r="M184" i="2"/>
  <c r="G184" i="2"/>
  <c r="E184" i="2"/>
  <c r="M183" i="2"/>
  <c r="G183" i="2"/>
  <c r="E183" i="2"/>
  <c r="M182" i="2"/>
  <c r="E182" i="2"/>
  <c r="M181" i="2"/>
  <c r="E181" i="2"/>
  <c r="M180" i="2"/>
  <c r="E180" i="2"/>
  <c r="M179" i="2"/>
  <c r="E179" i="2"/>
  <c r="Q178" i="2"/>
  <c r="P178" i="2"/>
  <c r="M178" i="2"/>
  <c r="G178" i="2"/>
  <c r="E178" i="2"/>
  <c r="M177" i="2"/>
  <c r="G177" i="2"/>
  <c r="E177" i="2"/>
  <c r="M176" i="2"/>
  <c r="G176" i="2"/>
  <c r="E176" i="2"/>
  <c r="Q175" i="2"/>
  <c r="P175" i="2"/>
  <c r="M175" i="2"/>
  <c r="G175" i="2"/>
  <c r="E175" i="2"/>
  <c r="M174" i="2"/>
  <c r="G174" i="2"/>
  <c r="E174" i="2"/>
  <c r="M173" i="2"/>
  <c r="G173" i="2"/>
  <c r="E173" i="2"/>
  <c r="Q172" i="2"/>
  <c r="P172" i="2"/>
  <c r="M172" i="2"/>
  <c r="G172" i="2"/>
  <c r="E172" i="2"/>
  <c r="Q171" i="2"/>
  <c r="P171" i="2"/>
  <c r="M171" i="2"/>
  <c r="G171" i="2"/>
  <c r="E171" i="2"/>
  <c r="M170" i="2"/>
  <c r="G170" i="2"/>
  <c r="E170" i="2"/>
  <c r="M169" i="2"/>
  <c r="G169" i="2"/>
  <c r="E169" i="2"/>
  <c r="Q168" i="2"/>
  <c r="P168" i="2"/>
  <c r="M168" i="2"/>
  <c r="G168" i="2"/>
  <c r="E168" i="2"/>
  <c r="M167" i="2"/>
  <c r="G167" i="2"/>
  <c r="E167" i="2"/>
  <c r="M166" i="2"/>
  <c r="G166" i="2"/>
  <c r="E166" i="2"/>
  <c r="Q165" i="2"/>
  <c r="P165" i="2"/>
  <c r="M165" i="2"/>
  <c r="G165" i="2"/>
  <c r="E165" i="2"/>
  <c r="M164" i="2"/>
  <c r="G164" i="2"/>
  <c r="E164" i="2"/>
  <c r="M163" i="2"/>
  <c r="G163" i="2"/>
  <c r="E163" i="2"/>
  <c r="Q162" i="2"/>
  <c r="P162" i="2"/>
  <c r="M162" i="2"/>
  <c r="G162" i="2"/>
  <c r="E162" i="2"/>
  <c r="M161" i="2"/>
  <c r="G161" i="2"/>
  <c r="E161" i="2"/>
  <c r="M160" i="2"/>
  <c r="G160" i="2"/>
  <c r="E160" i="2"/>
  <c r="Q159" i="2"/>
  <c r="P159" i="2"/>
  <c r="M159" i="2"/>
  <c r="G159" i="2"/>
  <c r="E159" i="2"/>
  <c r="M158" i="2"/>
  <c r="G158" i="2"/>
  <c r="E158" i="2"/>
  <c r="M157" i="2"/>
  <c r="G157" i="2"/>
  <c r="E157" i="2"/>
  <c r="Q156" i="2"/>
  <c r="P156" i="2"/>
  <c r="M156" i="2"/>
  <c r="G156" i="2"/>
  <c r="E156" i="2"/>
  <c r="M155" i="2"/>
  <c r="G155" i="2"/>
  <c r="E155" i="2"/>
  <c r="M154" i="2"/>
  <c r="G154" i="2"/>
  <c r="E154" i="2"/>
  <c r="Q153" i="2"/>
  <c r="P153" i="2"/>
  <c r="M153" i="2"/>
  <c r="G153" i="2"/>
  <c r="E153" i="2"/>
  <c r="Q152" i="2"/>
  <c r="P152" i="2"/>
  <c r="M152" i="2"/>
  <c r="G152" i="2"/>
  <c r="E152" i="2"/>
  <c r="Q151" i="2"/>
  <c r="P151" i="2"/>
  <c r="M151" i="2"/>
  <c r="G151" i="2"/>
  <c r="E151" i="2"/>
  <c r="M150" i="2"/>
  <c r="G150" i="2"/>
  <c r="E150" i="2"/>
  <c r="M149" i="2"/>
  <c r="G149" i="2"/>
  <c r="E149" i="2"/>
  <c r="Q148" i="2"/>
  <c r="P148" i="2"/>
  <c r="M148" i="2"/>
  <c r="G148" i="2"/>
  <c r="E148" i="2"/>
  <c r="M147" i="2"/>
  <c r="G147" i="2"/>
  <c r="E147" i="2"/>
  <c r="M146" i="2"/>
  <c r="G146" i="2"/>
  <c r="E146" i="2"/>
  <c r="Q145" i="2"/>
  <c r="P145" i="2"/>
  <c r="M145" i="2"/>
  <c r="G145" i="2"/>
  <c r="E145" i="2"/>
  <c r="M144" i="2"/>
  <c r="G144" i="2"/>
  <c r="E144" i="2"/>
  <c r="M143" i="2"/>
  <c r="G143" i="2"/>
  <c r="E143" i="2"/>
  <c r="Q142" i="2"/>
  <c r="P142" i="2"/>
  <c r="M142" i="2"/>
  <c r="G142" i="2"/>
  <c r="E142" i="2"/>
  <c r="M141" i="2"/>
  <c r="G141" i="2"/>
  <c r="E141" i="2"/>
  <c r="M140" i="2"/>
  <c r="G140" i="2"/>
  <c r="E140" i="2"/>
  <c r="Q139" i="2"/>
  <c r="P139" i="2"/>
  <c r="M139" i="2"/>
  <c r="G139" i="2"/>
  <c r="E139" i="2"/>
  <c r="M138" i="2"/>
  <c r="G138" i="2"/>
  <c r="E138" i="2"/>
  <c r="M137" i="2"/>
  <c r="G137" i="2"/>
  <c r="E137" i="2"/>
  <c r="M136" i="2"/>
  <c r="G136" i="2"/>
  <c r="E136" i="2"/>
  <c r="Q135" i="2"/>
  <c r="P135" i="2"/>
  <c r="M135" i="2"/>
  <c r="G135" i="2"/>
  <c r="E135" i="2"/>
  <c r="M134" i="2"/>
  <c r="G134" i="2"/>
  <c r="E134" i="2"/>
  <c r="M133" i="2"/>
  <c r="G133" i="2"/>
  <c r="E133" i="2"/>
  <c r="Q132" i="2"/>
  <c r="P132" i="2"/>
  <c r="M132" i="2"/>
  <c r="G132" i="2"/>
  <c r="E132" i="2"/>
  <c r="M131" i="2"/>
  <c r="G131" i="2"/>
  <c r="E131" i="2"/>
  <c r="M130" i="2"/>
  <c r="G130" i="2"/>
  <c r="E130" i="2"/>
  <c r="Q129" i="2"/>
  <c r="P129" i="2"/>
  <c r="M129" i="2"/>
  <c r="G129" i="2"/>
  <c r="E129" i="2"/>
  <c r="M128" i="2"/>
  <c r="G128" i="2"/>
  <c r="E128" i="2"/>
  <c r="M127" i="2"/>
  <c r="G127" i="2"/>
  <c r="E127" i="2"/>
  <c r="Q126" i="2"/>
  <c r="P126" i="2"/>
  <c r="M126" i="2"/>
  <c r="G126" i="2"/>
  <c r="E126" i="2"/>
  <c r="Q125" i="2"/>
  <c r="P125" i="2"/>
  <c r="M125" i="2"/>
  <c r="G125" i="2"/>
  <c r="E125" i="2"/>
  <c r="M124" i="2"/>
  <c r="G124" i="2"/>
  <c r="E124" i="2"/>
  <c r="M123" i="2"/>
  <c r="G123" i="2"/>
  <c r="E123" i="2"/>
  <c r="M122" i="2"/>
  <c r="G122" i="2"/>
  <c r="E122" i="2"/>
  <c r="Q121" i="2"/>
  <c r="P121" i="2"/>
  <c r="M121" i="2"/>
  <c r="G121" i="2"/>
  <c r="E121" i="2"/>
  <c r="M120" i="2"/>
  <c r="G120" i="2"/>
  <c r="E120" i="2"/>
  <c r="M119" i="2"/>
  <c r="G119" i="2"/>
  <c r="E119" i="2"/>
  <c r="Q118" i="2"/>
  <c r="P118" i="2"/>
  <c r="M118" i="2"/>
  <c r="G118" i="2"/>
  <c r="E118" i="2"/>
  <c r="M117" i="2"/>
  <c r="G117" i="2"/>
  <c r="E117" i="2"/>
  <c r="M116" i="2"/>
  <c r="G116" i="2"/>
  <c r="E116" i="2"/>
  <c r="Q115" i="2"/>
  <c r="P115" i="2"/>
  <c r="M115" i="2"/>
  <c r="G115" i="2"/>
  <c r="E115" i="2"/>
  <c r="M114" i="2"/>
  <c r="G114" i="2"/>
  <c r="E114" i="2"/>
  <c r="M113" i="2"/>
  <c r="G113" i="2"/>
  <c r="E113" i="2"/>
  <c r="Q112" i="2"/>
  <c r="P112" i="2"/>
  <c r="M112" i="2"/>
  <c r="G112" i="2"/>
  <c r="E112" i="2"/>
  <c r="M111" i="2"/>
  <c r="G111" i="2"/>
  <c r="E111" i="2"/>
  <c r="M110" i="2"/>
  <c r="G110" i="2"/>
  <c r="E110" i="2"/>
  <c r="Q109" i="2"/>
  <c r="P109" i="2"/>
  <c r="M109" i="2"/>
  <c r="G109" i="2"/>
  <c r="E109" i="2"/>
  <c r="M108" i="2"/>
  <c r="G108" i="2"/>
  <c r="E108" i="2"/>
  <c r="M107" i="2"/>
  <c r="G107" i="2"/>
  <c r="E107" i="2"/>
  <c r="M106" i="2"/>
  <c r="E106" i="2"/>
  <c r="M105" i="2"/>
  <c r="E105" i="2"/>
  <c r="M104" i="2"/>
  <c r="G104" i="2"/>
  <c r="E104" i="2"/>
  <c r="M103" i="2"/>
  <c r="G103" i="2"/>
  <c r="E103" i="2"/>
  <c r="M102" i="2"/>
  <c r="G102" i="2"/>
  <c r="M101" i="2"/>
  <c r="G101" i="2"/>
  <c r="E101" i="2"/>
  <c r="M100" i="2"/>
  <c r="E100" i="2"/>
  <c r="M99" i="2"/>
  <c r="E99" i="2"/>
  <c r="M98" i="2"/>
  <c r="G98" i="2"/>
  <c r="E98" i="2"/>
  <c r="M97" i="2"/>
  <c r="E97" i="2"/>
  <c r="M96" i="2"/>
  <c r="E96" i="2"/>
  <c r="M95" i="2"/>
  <c r="G95" i="2"/>
  <c r="E95" i="2"/>
  <c r="M94" i="2"/>
  <c r="G94" i="2"/>
  <c r="E94" i="2"/>
  <c r="M93" i="2"/>
  <c r="G93" i="2"/>
  <c r="Q92" i="2"/>
  <c r="P92" i="2"/>
  <c r="M92" i="2"/>
  <c r="G92" i="2"/>
  <c r="E92" i="2"/>
  <c r="Q91" i="2"/>
  <c r="P91" i="2"/>
  <c r="M91" i="2"/>
  <c r="G91" i="2"/>
  <c r="E91" i="2"/>
  <c r="Q90" i="2"/>
  <c r="P90" i="2"/>
  <c r="M90" i="2"/>
  <c r="G90" i="2"/>
  <c r="E90" i="2"/>
  <c r="M89" i="2"/>
  <c r="G89" i="2"/>
  <c r="E89" i="2"/>
  <c r="M88" i="2"/>
  <c r="G88" i="2"/>
  <c r="E88" i="2"/>
  <c r="Q87" i="2"/>
  <c r="P87" i="2"/>
  <c r="M87" i="2"/>
  <c r="G87" i="2"/>
  <c r="E87" i="2"/>
  <c r="Q86" i="2"/>
  <c r="P86" i="2"/>
  <c r="M86" i="2"/>
  <c r="G86" i="2"/>
  <c r="E86" i="2"/>
  <c r="M85" i="2"/>
  <c r="G85" i="2"/>
  <c r="E85" i="2"/>
  <c r="M84" i="2"/>
  <c r="G84" i="2"/>
  <c r="E84" i="2"/>
  <c r="Q83" i="2"/>
  <c r="P83" i="2"/>
  <c r="M83" i="2"/>
  <c r="G83" i="2"/>
  <c r="E83" i="2"/>
  <c r="M82" i="2"/>
  <c r="G82" i="2"/>
  <c r="E82" i="2"/>
  <c r="M81" i="2"/>
  <c r="G81" i="2"/>
  <c r="E81" i="2"/>
  <c r="Q80" i="2"/>
  <c r="P80" i="2"/>
  <c r="M80" i="2"/>
  <c r="G80" i="2"/>
  <c r="E80" i="2"/>
  <c r="M79" i="2"/>
  <c r="G79" i="2"/>
  <c r="E79" i="2"/>
  <c r="M78" i="2"/>
  <c r="G78" i="2"/>
  <c r="E78" i="2"/>
  <c r="Q77" i="2"/>
  <c r="P77" i="2"/>
  <c r="M77" i="2"/>
  <c r="G77" i="2"/>
  <c r="E77" i="2"/>
  <c r="M76" i="2"/>
  <c r="G76" i="2"/>
  <c r="E76" i="2"/>
  <c r="Q75" i="2"/>
  <c r="P75" i="2"/>
  <c r="M75" i="2"/>
  <c r="G75" i="2"/>
  <c r="E75" i="2"/>
  <c r="Q74" i="2"/>
  <c r="P74" i="2"/>
  <c r="M74" i="2"/>
  <c r="G74" i="2"/>
  <c r="E74" i="2"/>
  <c r="M73" i="2"/>
  <c r="G73" i="2"/>
  <c r="E73" i="2"/>
  <c r="M72" i="2"/>
  <c r="G72" i="2"/>
  <c r="E72" i="2"/>
  <c r="Q71" i="2"/>
  <c r="P71" i="2"/>
  <c r="M71" i="2"/>
  <c r="G71" i="2"/>
  <c r="E71" i="2"/>
  <c r="M70" i="2"/>
  <c r="G70" i="2"/>
  <c r="E70" i="2"/>
  <c r="M69" i="2"/>
  <c r="G69" i="2"/>
  <c r="E69" i="2"/>
  <c r="Q68" i="2"/>
  <c r="P68" i="2"/>
  <c r="M68" i="2"/>
  <c r="G68" i="2"/>
  <c r="E68" i="2"/>
  <c r="M67" i="2"/>
  <c r="G67" i="2"/>
  <c r="E67" i="2"/>
  <c r="M66" i="2"/>
  <c r="G66" i="2"/>
  <c r="E66" i="2"/>
  <c r="Q65" i="2"/>
  <c r="P65" i="2"/>
  <c r="M65" i="2"/>
  <c r="G65" i="2"/>
  <c r="E65" i="2"/>
  <c r="M64" i="2"/>
  <c r="G64" i="2"/>
  <c r="E64" i="2"/>
  <c r="M63" i="2"/>
  <c r="G63" i="2"/>
  <c r="E63" i="2"/>
  <c r="M62" i="2"/>
  <c r="G62" i="2"/>
  <c r="E62" i="2"/>
  <c r="M61" i="2"/>
  <c r="G61" i="2"/>
  <c r="E61" i="2"/>
  <c r="M60" i="2"/>
  <c r="G60" i="2"/>
  <c r="E60" i="2"/>
  <c r="M59" i="2"/>
  <c r="G59" i="2"/>
  <c r="E59" i="2"/>
  <c r="M58" i="2"/>
  <c r="E58" i="2"/>
  <c r="M57" i="2"/>
  <c r="E57" i="2"/>
  <c r="M56" i="2"/>
  <c r="E56" i="2"/>
  <c r="M55" i="2"/>
  <c r="E55" i="2"/>
  <c r="R54" i="2"/>
  <c r="Q54" i="2"/>
  <c r="P54" i="2"/>
  <c r="M54" i="2"/>
  <c r="E54" i="2"/>
  <c r="M53" i="2"/>
  <c r="G53" i="2"/>
  <c r="E53" i="2"/>
  <c r="M52" i="2"/>
  <c r="G52" i="2"/>
  <c r="E52" i="2"/>
  <c r="M51" i="2"/>
  <c r="G51" i="2"/>
  <c r="E51" i="2"/>
  <c r="M50" i="2"/>
  <c r="G50" i="2"/>
  <c r="E50" i="2"/>
  <c r="M49" i="2"/>
  <c r="E49" i="2"/>
  <c r="M48" i="2"/>
  <c r="E48" i="2"/>
  <c r="M47" i="2"/>
  <c r="E47" i="2"/>
  <c r="M46" i="2"/>
  <c r="E46" i="2"/>
  <c r="R45" i="2"/>
  <c r="Q45" i="2"/>
  <c r="P45" i="2"/>
  <c r="M45" i="2"/>
  <c r="G45" i="2"/>
  <c r="E45" i="2"/>
  <c r="R44" i="2"/>
  <c r="P44" i="2"/>
  <c r="M44" i="2"/>
  <c r="G44" i="2"/>
  <c r="E44" i="2"/>
  <c r="M43" i="2"/>
  <c r="G43" i="2"/>
  <c r="E43" i="2"/>
  <c r="R42" i="2"/>
  <c r="Q42" i="2"/>
  <c r="P42" i="2"/>
  <c r="M42" i="2"/>
  <c r="E42" i="2"/>
  <c r="M41" i="2"/>
  <c r="G41" i="2"/>
  <c r="E41" i="2"/>
  <c r="M40" i="2"/>
  <c r="G40" i="2"/>
  <c r="E40" i="2"/>
  <c r="Q39" i="2"/>
  <c r="P39" i="2"/>
  <c r="M39" i="2"/>
  <c r="G39" i="2"/>
  <c r="E39" i="2"/>
  <c r="M38" i="2"/>
  <c r="G38" i="2"/>
  <c r="E38" i="2"/>
  <c r="M37" i="2"/>
  <c r="G37" i="2"/>
  <c r="E37" i="2"/>
  <c r="Q36" i="2"/>
  <c r="P36" i="2"/>
  <c r="M36" i="2"/>
  <c r="G36" i="2"/>
  <c r="E36" i="2"/>
  <c r="Q35" i="2"/>
  <c r="P35" i="2"/>
  <c r="M35" i="2"/>
  <c r="G35" i="2"/>
  <c r="E35" i="2"/>
  <c r="Q34" i="2"/>
  <c r="P34" i="2"/>
  <c r="M34" i="2"/>
  <c r="G34" i="2"/>
  <c r="E34" i="2"/>
  <c r="Q33" i="2"/>
  <c r="P33" i="2"/>
  <c r="M33" i="2"/>
  <c r="G33" i="2"/>
  <c r="E33" i="2"/>
  <c r="M32" i="2"/>
  <c r="G32" i="2"/>
  <c r="E32" i="2"/>
  <c r="M31" i="2"/>
  <c r="G31" i="2"/>
  <c r="E31" i="2"/>
  <c r="Q30" i="2"/>
  <c r="P30" i="2"/>
  <c r="M30" i="2"/>
  <c r="G30" i="2"/>
  <c r="E30" i="2"/>
  <c r="M29" i="2"/>
  <c r="G29" i="2"/>
  <c r="M28" i="2"/>
  <c r="G28" i="2"/>
  <c r="R27" i="2"/>
  <c r="P27" i="2"/>
  <c r="M27" i="2"/>
  <c r="G27" i="2"/>
  <c r="E27" i="2"/>
  <c r="M26" i="2"/>
  <c r="G26" i="2"/>
  <c r="E26" i="2"/>
  <c r="R25" i="2"/>
  <c r="P25" i="2"/>
  <c r="M25" i="2"/>
  <c r="G25" i="2"/>
  <c r="E25" i="2"/>
  <c r="M24" i="2"/>
  <c r="G24" i="2"/>
  <c r="E24" i="2"/>
  <c r="M23" i="2"/>
  <c r="G23" i="2"/>
  <c r="E23" i="2"/>
  <c r="Q22" i="2"/>
  <c r="P22" i="2"/>
  <c r="M22" i="2"/>
  <c r="G22" i="2"/>
  <c r="E22" i="2"/>
  <c r="M21" i="2"/>
  <c r="G21" i="2"/>
  <c r="E21" i="2"/>
  <c r="M20" i="2"/>
  <c r="G20" i="2"/>
  <c r="E20" i="2"/>
  <c r="Q19" i="2"/>
  <c r="P19" i="2"/>
  <c r="M19" i="2"/>
  <c r="G19" i="2"/>
  <c r="E19" i="2"/>
  <c r="M18" i="2"/>
  <c r="G18" i="2"/>
  <c r="E18" i="2"/>
  <c r="M17" i="2"/>
  <c r="G17" i="2"/>
  <c r="E17" i="2"/>
  <c r="M16" i="2"/>
  <c r="G16" i="2"/>
  <c r="M15" i="2"/>
  <c r="G15" i="2"/>
  <c r="E15" i="2"/>
  <c r="M14" i="2"/>
  <c r="G14" i="2"/>
  <c r="E14" i="2"/>
  <c r="M13" i="2"/>
  <c r="G13" i="2"/>
  <c r="M12" i="2"/>
  <c r="G12" i="2"/>
  <c r="E12" i="2"/>
  <c r="M11" i="2"/>
  <c r="G11" i="2"/>
  <c r="E11" i="2"/>
  <c r="M10" i="2"/>
  <c r="G10" i="2"/>
  <c r="H346" i="1"/>
  <c r="M343" i="1"/>
  <c r="M342" i="1"/>
  <c r="M341" i="1"/>
  <c r="M340" i="1"/>
  <c r="M339" i="1"/>
  <c r="Q338" i="1"/>
  <c r="P338" i="1"/>
  <c r="M338" i="1"/>
  <c r="Q337" i="1"/>
  <c r="P337" i="1"/>
  <c r="M337" i="1"/>
  <c r="M336" i="1"/>
  <c r="M335" i="1"/>
  <c r="M334" i="1"/>
  <c r="M333" i="1"/>
  <c r="M332" i="1"/>
  <c r="M331" i="1"/>
  <c r="M330" i="1"/>
  <c r="M329" i="1"/>
  <c r="M328" i="1"/>
  <c r="Q327" i="1"/>
  <c r="P327" i="1"/>
  <c r="M327" i="1"/>
  <c r="M326" i="1"/>
  <c r="M325" i="1"/>
  <c r="Q324" i="1"/>
  <c r="P324" i="1"/>
  <c r="M324" i="1"/>
  <c r="M323" i="1"/>
  <c r="M322" i="1"/>
  <c r="Q321" i="1"/>
  <c r="P321" i="1"/>
  <c r="M321" i="1"/>
  <c r="M320" i="1"/>
  <c r="M319" i="1"/>
  <c r="Q318" i="1"/>
  <c r="P318" i="1"/>
  <c r="M318" i="1"/>
  <c r="M317" i="1"/>
  <c r="M316" i="1"/>
  <c r="Q315" i="1"/>
  <c r="P315" i="1"/>
  <c r="M315" i="1"/>
  <c r="M314" i="1"/>
  <c r="M313" i="1"/>
  <c r="Q312" i="1"/>
  <c r="P312" i="1"/>
  <c r="M312" i="1"/>
  <c r="M311" i="1"/>
  <c r="M310" i="1"/>
  <c r="Q309" i="1"/>
  <c r="P309" i="1"/>
  <c r="M309" i="1"/>
  <c r="M308" i="1"/>
  <c r="M307" i="1"/>
  <c r="Q306" i="1"/>
  <c r="P306" i="1"/>
  <c r="M306" i="1"/>
  <c r="M305" i="1"/>
  <c r="M304" i="1"/>
  <c r="Q303" i="1"/>
  <c r="P303" i="1"/>
  <c r="M303" i="1"/>
  <c r="M302" i="1"/>
  <c r="M301" i="1"/>
  <c r="Q300" i="1"/>
  <c r="P300" i="1"/>
  <c r="M300" i="1"/>
  <c r="Q299" i="1"/>
  <c r="P299" i="1"/>
  <c r="M299" i="1"/>
  <c r="M298" i="1"/>
  <c r="M297" i="1"/>
  <c r="Q296" i="1"/>
  <c r="P296" i="1"/>
  <c r="M296" i="1"/>
  <c r="M295" i="1"/>
  <c r="M294" i="1"/>
  <c r="Q293" i="1"/>
  <c r="P293" i="1"/>
  <c r="M293" i="1"/>
  <c r="M292" i="1"/>
  <c r="M291" i="1"/>
  <c r="Q290" i="1"/>
  <c r="P290" i="1"/>
  <c r="M290" i="1"/>
  <c r="M289" i="1"/>
  <c r="M288" i="1"/>
  <c r="Q287" i="1"/>
  <c r="P287" i="1"/>
  <c r="M287" i="1"/>
  <c r="Q286" i="1"/>
  <c r="P286" i="1"/>
  <c r="M286" i="1"/>
  <c r="Q285" i="1"/>
  <c r="P285" i="1"/>
  <c r="M285" i="1"/>
  <c r="Q284" i="1"/>
  <c r="P284" i="1"/>
  <c r="M284" i="1"/>
  <c r="M283" i="1"/>
  <c r="M282" i="1"/>
  <c r="Q281" i="1"/>
  <c r="P281" i="1"/>
  <c r="M281" i="1"/>
  <c r="M280" i="1"/>
  <c r="M279" i="1"/>
  <c r="Q278" i="1"/>
  <c r="P278" i="1"/>
  <c r="M278" i="1"/>
  <c r="M277" i="1"/>
  <c r="M276" i="1"/>
  <c r="M275" i="1"/>
  <c r="R274" i="1"/>
  <c r="Q274" i="1"/>
  <c r="P274" i="1"/>
  <c r="M274" i="1"/>
  <c r="M273" i="1"/>
  <c r="M272" i="1"/>
  <c r="R271" i="1"/>
  <c r="Q271" i="1"/>
  <c r="P271" i="1"/>
  <c r="M271" i="1"/>
  <c r="M270" i="1"/>
  <c r="M269" i="1"/>
  <c r="M268" i="1"/>
  <c r="M267" i="1"/>
  <c r="M266" i="1"/>
  <c r="M265" i="1"/>
  <c r="M264" i="1"/>
  <c r="M263" i="1"/>
  <c r="M262" i="1"/>
  <c r="Q261" i="1"/>
  <c r="P261" i="1"/>
  <c r="M261" i="1"/>
  <c r="M260" i="1"/>
  <c r="M259" i="1"/>
  <c r="Q258" i="1"/>
  <c r="P258" i="1"/>
  <c r="M258" i="1"/>
  <c r="Q257" i="1"/>
  <c r="P257" i="1"/>
  <c r="M257" i="1"/>
  <c r="M256" i="1"/>
  <c r="M255" i="1"/>
  <c r="Q254" i="1"/>
  <c r="P254" i="1"/>
  <c r="M254" i="1"/>
  <c r="M253" i="1"/>
  <c r="M252" i="1"/>
  <c r="M251" i="1"/>
  <c r="R250" i="1"/>
  <c r="Q250" i="1"/>
  <c r="P250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Q235" i="1"/>
  <c r="P235" i="1"/>
  <c r="M235" i="1"/>
  <c r="Q234" i="1"/>
  <c r="P234" i="1"/>
  <c r="M234" i="1"/>
  <c r="M233" i="1"/>
  <c r="M232" i="1"/>
  <c r="Q231" i="1"/>
  <c r="P231" i="1"/>
  <c r="M231" i="1"/>
  <c r="M230" i="1"/>
  <c r="M229" i="1"/>
  <c r="Q228" i="1"/>
  <c r="P228" i="1"/>
  <c r="M228" i="1"/>
  <c r="M227" i="1"/>
  <c r="M226" i="1"/>
  <c r="Q225" i="1"/>
  <c r="P225" i="1"/>
  <c r="M225" i="1"/>
  <c r="M224" i="1"/>
  <c r="M223" i="1"/>
  <c r="Q222" i="1"/>
  <c r="P222" i="1"/>
  <c r="M222" i="1"/>
  <c r="M221" i="1"/>
  <c r="M220" i="1"/>
  <c r="Q219" i="1"/>
  <c r="P219" i="1"/>
  <c r="M219" i="1"/>
  <c r="M218" i="1"/>
  <c r="M217" i="1"/>
  <c r="Q216" i="1"/>
  <c r="P216" i="1"/>
  <c r="M216" i="1"/>
  <c r="M215" i="1"/>
</calcChain>
</file>

<file path=xl/sharedStrings.xml><?xml version="1.0" encoding="utf-8"?>
<sst xmlns="http://schemas.openxmlformats.org/spreadsheetml/2006/main" count="11366" uniqueCount="2980">
  <si>
    <t>Company : 004997 - PENANG GLOBAL TOURISM SDN BHD</t>
  </si>
  <si>
    <t>Account Opening Branch : Jalan Mahsuri</t>
  </si>
  <si>
    <t xml:space="preserve"> Bayan Baru</t>
  </si>
  <si>
    <t>Account No. : 8003879954/PENANG GLOBAL TOURISM SDN BHD(MYR)</t>
  </si>
  <si>
    <t>Period : 01-12-2017 - 07-12-2017</t>
  </si>
  <si>
    <t>Opening Available Balance : 547978.91</t>
  </si>
  <si>
    <t>Closing Available Balance : 120372.47</t>
  </si>
  <si>
    <t>Account Number</t>
  </si>
  <si>
    <t>Record Sequence Number</t>
  </si>
  <si>
    <t>Transaction Date</t>
  </si>
  <si>
    <t>Transaction Code</t>
  </si>
  <si>
    <t>Transaction Code Description</t>
  </si>
  <si>
    <t>Originating Branch Code</t>
  </si>
  <si>
    <t>Document Reference Number</t>
  </si>
  <si>
    <t>Transaction Amount</t>
  </si>
  <si>
    <t>Transaction Amount Type</t>
  </si>
  <si>
    <t>Balance</t>
  </si>
  <si>
    <t>Balance Type</t>
  </si>
  <si>
    <t>Transaction Time</t>
  </si>
  <si>
    <t>Customer Reference</t>
  </si>
  <si>
    <t>Filler</t>
  </si>
  <si>
    <t>Record Type</t>
  </si>
  <si>
    <t>Recipient Reference</t>
  </si>
  <si>
    <t>Other Payment Details</t>
  </si>
  <si>
    <t>Sender Name</t>
  </si>
  <si>
    <t>TR IBG</t>
  </si>
  <si>
    <t>D</t>
  </si>
  <si>
    <t>C</t>
  </si>
  <si>
    <t>AKAUN PUNGUTAN POTON</t>
  </si>
  <si>
    <t>PTPTN LOAN</t>
  </si>
  <si>
    <t>GST</t>
  </si>
  <si>
    <t>OTHER TRANSFER FEE</t>
  </si>
  <si>
    <t/>
  </si>
  <si>
    <t>AUTOPAY DR</t>
  </si>
  <si>
    <t>/</t>
  </si>
  <si>
    <t>CHQ PROCESSING FEE</t>
  </si>
  <si>
    <t>HOUSE CHQ DR</t>
  </si>
  <si>
    <t>TR TO C/A</t>
  </si>
  <si>
    <t>REDTONE TELECOMMUNIC</t>
  </si>
  <si>
    <t>ROD CREATIVE SDN BHD</t>
  </si>
  <si>
    <t>YEAP KAM MOEY</t>
  </si>
  <si>
    <t>TLM EVENT SDN BHD</t>
  </si>
  <si>
    <t>GUIDE FEE DEC TOH KIM HOCK</t>
  </si>
  <si>
    <t>RICKVEEN SINGH A/L H</t>
  </si>
  <si>
    <t>WELCOMING RECEPTION</t>
  </si>
  <si>
    <t>FUJI XEROX ASIA PACI</t>
  </si>
  <si>
    <t>BOLD INSPIRATION SDN</t>
  </si>
  <si>
    <t>LIANG CHOW MING</t>
  </si>
  <si>
    <t>TELEX/FAX</t>
  </si>
  <si>
    <t>TR TO REMITT</t>
  </si>
  <si>
    <t>CLRG CHQ DR</t>
  </si>
  <si>
    <t>TR TO SAVINGS</t>
  </si>
  <si>
    <t>CLAIMS</t>
  </si>
  <si>
    <t>I-FUNDS TR FROM SA</t>
  </si>
  <si>
    <t>REMITTANCE CR</t>
  </si>
  <si>
    <t>RHB ASSET MANAGEMENT</t>
  </si>
  <si>
    <t>AUTOPAY CHARGES</t>
  </si>
  <si>
    <t>Period : 01-02-2018 - 28-02-2018</t>
  </si>
  <si>
    <t>Opening Available Balance : 1054379.28</t>
  </si>
  <si>
    <t>Closing Available Balance : 176845.32</t>
  </si>
  <si>
    <t>12518861</t>
  </si>
  <si>
    <t>12507719</t>
  </si>
  <si>
    <t>U2018012903015 Autopay20180131-Encrypted</t>
  </si>
  <si>
    <t>347112507719</t>
  </si>
  <si>
    <t>2D LOCAL CHQ</t>
  </si>
  <si>
    <t>54353345</t>
  </si>
  <si>
    <t>00991049</t>
  </si>
  <si>
    <t>27419927</t>
  </si>
  <si>
    <t>25008120</t>
  </si>
  <si>
    <t>OUR CHARGES 2001512050000CA25</t>
  </si>
  <si>
    <t>25681529</t>
  </si>
  <si>
    <t>LED JAN'18 PERFORMANCE PLUS MA</t>
  </si>
  <si>
    <t>PGTEFT2928</t>
  </si>
  <si>
    <t>PPM18-07-02</t>
  </si>
  <si>
    <t>25680276</t>
  </si>
  <si>
    <t>WEB ASP SDN BHD</t>
  </si>
  <si>
    <t>PGTEFT2934</t>
  </si>
  <si>
    <t>ACC1618-3542</t>
  </si>
  <si>
    <t>PGTEFT2934          ACC1618-3542</t>
  </si>
  <si>
    <t>25681310</t>
  </si>
  <si>
    <t>KANESAN A/L RAMOO</t>
  </si>
  <si>
    <t>PGTEFT2930</t>
  </si>
  <si>
    <t>INV29224-29227</t>
  </si>
  <si>
    <t>PGTEFT2930          INV29224-29227</t>
  </si>
  <si>
    <t>25680549</t>
  </si>
  <si>
    <t>TOUR &amp; INCENTIVE TRA</t>
  </si>
  <si>
    <t>PGTEFT2932</t>
  </si>
  <si>
    <t>PRO1034-18</t>
  </si>
  <si>
    <t>PGTEFT2932          PRO1034-18</t>
  </si>
  <si>
    <t>25680385</t>
  </si>
  <si>
    <t>PGTEFT2933</t>
  </si>
  <si>
    <t>INV17-018 18-001</t>
  </si>
  <si>
    <t>PGTEFT2933          INV17-018 18-001</t>
  </si>
  <si>
    <t>25681676</t>
  </si>
  <si>
    <t>ONG JIN TEONG</t>
  </si>
  <si>
    <t>PGTEFT2927</t>
  </si>
  <si>
    <t>PGT-PHF-17</t>
  </si>
  <si>
    <t>PGTEFT2927          PGT-PHF-17</t>
  </si>
  <si>
    <t>25681407</t>
  </si>
  <si>
    <t>RED STAR PRODUCTION</t>
  </si>
  <si>
    <t>PGTEFT2929</t>
  </si>
  <si>
    <t>INVDEC 2017</t>
  </si>
  <si>
    <t>PGTEFT2929          INVDEC 2017</t>
  </si>
  <si>
    <t>25681161</t>
  </si>
  <si>
    <t>GUIDE FEE DEC&amp;JAN TOH KIM HOCK</t>
  </si>
  <si>
    <t>PGTEFT2931</t>
  </si>
  <si>
    <t>INV134T 135T 136T</t>
  </si>
  <si>
    <t>25681891</t>
  </si>
  <si>
    <t>SPRING AIRLINES FAM JOANNE KHOO ROU YAN</t>
  </si>
  <si>
    <t>PGTEFT2925</t>
  </si>
  <si>
    <t>25682063</t>
  </si>
  <si>
    <t>KAKI CREATION</t>
  </si>
  <si>
    <t>PGTEFT2924</t>
  </si>
  <si>
    <t>IV002-18 IV065-17</t>
  </si>
  <si>
    <t>PGTEFT2924          IV002-18 IV065-17</t>
  </si>
  <si>
    <t>I-PAYMENT</t>
  </si>
  <si>
    <t>2018012544487448</t>
  </si>
  <si>
    <t>Pay to CELCOM: 191908888</t>
  </si>
  <si>
    <t>25684578</t>
  </si>
  <si>
    <t>CLARITY PUBLISHING S</t>
  </si>
  <si>
    <t>PGTEFT2918</t>
  </si>
  <si>
    <t>PGT12-17INV</t>
  </si>
  <si>
    <t>PGTEFT2918          PGT12-17INV</t>
  </si>
  <si>
    <t>25681752</t>
  </si>
  <si>
    <t>PGTEFT2926</t>
  </si>
  <si>
    <t>INV19556 557 560 561</t>
  </si>
  <si>
    <t>PGTEFT2926          INV19556 557 560 561</t>
  </si>
  <si>
    <t>25684667</t>
  </si>
  <si>
    <t>ASIA ONTIME (M) SDN</t>
  </si>
  <si>
    <t>PGTEFT2917</t>
  </si>
  <si>
    <t>INV10014906</t>
  </si>
  <si>
    <t>PGTEFT2917          INV10014906</t>
  </si>
  <si>
    <t>25682097</t>
  </si>
  <si>
    <t>HEKTY PUBLISHING SDN</t>
  </si>
  <si>
    <t>PGTEFT2923</t>
  </si>
  <si>
    <t>INV00555</t>
  </si>
  <si>
    <t>PGTEFT2923          INV00555</t>
  </si>
  <si>
    <t>I-PYMT TO CCARD</t>
  </si>
  <si>
    <t>201801250025684434</t>
  </si>
  <si>
    <t>OOI CHOK YAN</t>
  </si>
  <si>
    <t>PGTEFT2920</t>
  </si>
  <si>
    <t>CIMB CREDIT CARD</t>
  </si>
  <si>
    <t>25682180</t>
  </si>
  <si>
    <t>PGTEFT2922</t>
  </si>
  <si>
    <t>ACC 316057</t>
  </si>
  <si>
    <t>PGTEFT2922          ACC 316057</t>
  </si>
  <si>
    <t>25684493</t>
  </si>
  <si>
    <t>ACCOUNT-DEC'17 CORPORATENET SDN BH</t>
  </si>
  <si>
    <t>PGTEFT2919</t>
  </si>
  <si>
    <t>CNET-17-3591</t>
  </si>
  <si>
    <t>HSE CHQ DEPOSIT</t>
  </si>
  <si>
    <t>39894135</t>
  </si>
  <si>
    <t>AUTOPAY CR</t>
  </si>
  <si>
    <t>18000415</t>
  </si>
  <si>
    <t>PDC/PV18000415     DANA OPERASI FASA KE</t>
  </si>
  <si>
    <t>PDC/PV18000415     D</t>
  </si>
  <si>
    <t>DANA OPERASI FASA KE</t>
  </si>
  <si>
    <t>PENANG DEVELOPMENT C</t>
  </si>
  <si>
    <t>00688113</t>
  </si>
  <si>
    <t>IBG CREDIT</t>
  </si>
  <si>
    <t>818022710164378</t>
  </si>
  <si>
    <t>PCET MEMBERSHIO</t>
  </si>
  <si>
    <t>INTERGRASI PERKEMBAN</t>
  </si>
  <si>
    <t>220025549195</t>
  </si>
  <si>
    <t>PV 1801100 IBG</t>
  </si>
  <si>
    <t>PENANG MEDICAL COLLE</t>
  </si>
  <si>
    <t>99760835</t>
  </si>
  <si>
    <t>00688110</t>
  </si>
  <si>
    <t>00688109</t>
  </si>
  <si>
    <t>200000001</t>
  </si>
  <si>
    <t>20008180118T0043</t>
  </si>
  <si>
    <t>20008180118T0042</t>
  </si>
  <si>
    <t>282972982</t>
  </si>
  <si>
    <t>00722180118T5358   /ACC/PLEASE DO NOT CN</t>
  </si>
  <si>
    <t>00688092</t>
  </si>
  <si>
    <t>618017710133636</t>
  </si>
  <si>
    <t>RHB ASSET MGMT SB</t>
  </si>
  <si>
    <t>HOUSE CHQ RTN</t>
  </si>
  <si>
    <t>11</t>
  </si>
  <si>
    <t>00688112</t>
  </si>
  <si>
    <t>00688111</t>
  </si>
  <si>
    <t>00688108</t>
  </si>
  <si>
    <t>00688107</t>
  </si>
  <si>
    <t>00688104</t>
  </si>
  <si>
    <t>00688103</t>
  </si>
  <si>
    <t>00688102</t>
  </si>
  <si>
    <t>CDM CASH DEPOSIT</t>
  </si>
  <si>
    <t>D5888967</t>
  </si>
  <si>
    <t>98780</t>
  </si>
  <si>
    <t>Spring Airlines Adv</t>
  </si>
  <si>
    <t>JOANNE KHOO ROU YAN</t>
  </si>
  <si>
    <t>00688091</t>
  </si>
  <si>
    <t>718015710118096</t>
  </si>
  <si>
    <t>PB180131</t>
  </si>
  <si>
    <t>BEBK011386958874</t>
  </si>
  <si>
    <t>TEXLINE LINO SDN BHD</t>
  </si>
  <si>
    <t>00688101</t>
  </si>
  <si>
    <t>00688093</t>
  </si>
  <si>
    <t>218011710092651</t>
  </si>
  <si>
    <t>JAN MEMBERSHIP</t>
  </si>
  <si>
    <t>BEBK011137852751</t>
  </si>
  <si>
    <t>LEE CHEE ONN</t>
  </si>
  <si>
    <t>25188761</t>
  </si>
  <si>
    <t>PGTEFT2887</t>
  </si>
  <si>
    <t>SALES-NOV17</t>
  </si>
  <si>
    <t>PGTEFT2887          SALES-NOV17</t>
  </si>
  <si>
    <t>25181589</t>
  </si>
  <si>
    <t>TOONG LI STATIONERY</t>
  </si>
  <si>
    <t>PGTEFT2913</t>
  </si>
  <si>
    <t>IV-134364</t>
  </si>
  <si>
    <t>PGTEFT2913          IV-134364</t>
  </si>
  <si>
    <t>25189243</t>
  </si>
  <si>
    <t>CREATHINK SOLUTIONS</t>
  </si>
  <si>
    <t>PGTEFT2883</t>
  </si>
  <si>
    <t>2017-00070</t>
  </si>
  <si>
    <t>PGTEFT2883          2017-00070</t>
  </si>
  <si>
    <t>25187419</t>
  </si>
  <si>
    <t>ONG YEN MENG</t>
  </si>
  <si>
    <t>PGTEFT2894</t>
  </si>
  <si>
    <t>PGTEFT2894          WELCOMING RECEPTION</t>
  </si>
  <si>
    <t>25183088</t>
  </si>
  <si>
    <t>SOLID EQUIPMENT PG S</t>
  </si>
  <si>
    <t>PGTEFT2905</t>
  </si>
  <si>
    <t>INE5105</t>
  </si>
  <si>
    <t>PGTEFT2905          INE5105</t>
  </si>
  <si>
    <t>25188171</t>
  </si>
  <si>
    <t>LOKE SIEW FOOK</t>
  </si>
  <si>
    <t>PGTEFT2891</t>
  </si>
  <si>
    <t>PGTEFT2891          CLAIMS</t>
  </si>
  <si>
    <t>25187560</t>
  </si>
  <si>
    <t>LEE TER YI</t>
  </si>
  <si>
    <t>PGTEFT2893</t>
  </si>
  <si>
    <t>INV20180102001</t>
  </si>
  <si>
    <t>PGTEFT2893          INV20180102001</t>
  </si>
  <si>
    <t>25184070</t>
  </si>
  <si>
    <t>SE VENA NETWORKS SDN</t>
  </si>
  <si>
    <t>PGTEFT2902</t>
  </si>
  <si>
    <t>INV0430</t>
  </si>
  <si>
    <t>PGTEFT2902          INV0430</t>
  </si>
  <si>
    <t>25188270</t>
  </si>
  <si>
    <t>FTZ TRAVEL &amp; TOURS S</t>
  </si>
  <si>
    <t>PGTEFT2890</t>
  </si>
  <si>
    <t>P15756</t>
  </si>
  <si>
    <t>PGTEFT2890          P15756</t>
  </si>
  <si>
    <t>25181479</t>
  </si>
  <si>
    <t>YONG SUH YEN</t>
  </si>
  <si>
    <t>PGTEFT2914</t>
  </si>
  <si>
    <t>PGTEFT2914          WELCOMING RECEPTION</t>
  </si>
  <si>
    <t>25188820</t>
  </si>
  <si>
    <t>EVERCOOL AIR-CONDITI</t>
  </si>
  <si>
    <t>PGTEFT2886</t>
  </si>
  <si>
    <t>INV00270</t>
  </si>
  <si>
    <t>PGTEFT2886          INV00270</t>
  </si>
  <si>
    <t>25183681</t>
  </si>
  <si>
    <t>PGTEFT2904</t>
  </si>
  <si>
    <t>INV305399</t>
  </si>
  <si>
    <t>PGTEFT2904          INV305399</t>
  </si>
  <si>
    <t>25189861</t>
  </si>
  <si>
    <t>KOMTAR HOTEL SDN BHD</t>
  </si>
  <si>
    <t>PGTEFT2857</t>
  </si>
  <si>
    <t>PROFORMA INV</t>
  </si>
  <si>
    <t>PGTEFT2857          PROFORMA INV</t>
  </si>
  <si>
    <t>25188451</t>
  </si>
  <si>
    <t>HARPERS TRAVEL (M) S</t>
  </si>
  <si>
    <t>PGTEFT2889</t>
  </si>
  <si>
    <t>HPT13635</t>
  </si>
  <si>
    <t>PGTEFT2889          HPT13635</t>
  </si>
  <si>
    <t>25187192</t>
  </si>
  <si>
    <t>OPTIMAL MEDIA SDN BH</t>
  </si>
  <si>
    <t>PGTEFT2895</t>
  </si>
  <si>
    <t>INV388</t>
  </si>
  <si>
    <t>PGTEFT2895          INV388</t>
  </si>
  <si>
    <t>25189064</t>
  </si>
  <si>
    <t>CHEONG SENG CHAN SDN</t>
  </si>
  <si>
    <t>PGTEFT2884</t>
  </si>
  <si>
    <t>INV9643 9617</t>
  </si>
  <si>
    <t>PGTEFT2884          INV9643 9617</t>
  </si>
  <si>
    <t>25181664</t>
  </si>
  <si>
    <t>TITAN SYSTEM INTEGER</t>
  </si>
  <si>
    <t>PGTEFT2912</t>
  </si>
  <si>
    <t>INV3488</t>
  </si>
  <si>
    <t>PGTEFT2912          INV3488</t>
  </si>
  <si>
    <t>25189558</t>
  </si>
  <si>
    <t>PGTEFT2882</t>
  </si>
  <si>
    <t>JN0391</t>
  </si>
  <si>
    <t>PGTEFT2882          JN0391</t>
  </si>
  <si>
    <t>25181860</t>
  </si>
  <si>
    <t>PGTEFT2911</t>
  </si>
  <si>
    <t>INV132SP INV133T</t>
  </si>
  <si>
    <t>25183867</t>
  </si>
  <si>
    <t>PGTEFT2903</t>
  </si>
  <si>
    <t>151833 151855 151840</t>
  </si>
  <si>
    <t>PGTEFT2903          151833 151855 151840</t>
  </si>
  <si>
    <t>25186488</t>
  </si>
  <si>
    <t>MEAL ALLOWANCE MARY ANN HARRIS</t>
  </si>
  <si>
    <t>PGTEFT2897</t>
  </si>
  <si>
    <t>PCET PHUKET TRIP</t>
  </si>
  <si>
    <t>25188017</t>
  </si>
  <si>
    <t>HR SEMINAR &amp; BIRTHDA LIM HOOI LENG</t>
  </si>
  <si>
    <t>PGTEFT2892</t>
  </si>
  <si>
    <t>25184277</t>
  </si>
  <si>
    <t>SECRETARIAL FEE OCT- PDC PREMIER HOLDING</t>
  </si>
  <si>
    <t>PGTEFT2901</t>
  </si>
  <si>
    <t>INV0000638</t>
  </si>
  <si>
    <t>25189004</t>
  </si>
  <si>
    <t>DREAM ART CENTRE</t>
  </si>
  <si>
    <t>PGTEFT2885</t>
  </si>
  <si>
    <t>INV24903</t>
  </si>
  <si>
    <t>PGTEFT2885          INV24903</t>
  </si>
  <si>
    <t>25188624</t>
  </si>
  <si>
    <t>SEAW HEAN TEIK</t>
  </si>
  <si>
    <t>PGTEFT2888</t>
  </si>
  <si>
    <t>PGTEFT2888          PGTEFT2888</t>
  </si>
  <si>
    <t>25184660</t>
  </si>
  <si>
    <t>NORIZEIGHT VENTURES</t>
  </si>
  <si>
    <t>PGTEFT2899</t>
  </si>
  <si>
    <t>NV2233</t>
  </si>
  <si>
    <t>PGTEFT2899          NV2233</t>
  </si>
  <si>
    <t>25184863</t>
  </si>
  <si>
    <t>MAJLIS KEBUDAYAAN NE</t>
  </si>
  <si>
    <t>PGTEFT2898</t>
  </si>
  <si>
    <t>PGTEFT2898          WELCOMING RECEPTION</t>
  </si>
  <si>
    <t>25186739</t>
  </si>
  <si>
    <t>M/V, WTM &amp; CRUISE SG OOI CHOK YAN</t>
  </si>
  <si>
    <t>PGTEFT2896</t>
  </si>
  <si>
    <t>25184514</t>
  </si>
  <si>
    <t>ADS FOR GTLF 2017 PICEB SDN BHD</t>
  </si>
  <si>
    <t>PGTEFT2900</t>
  </si>
  <si>
    <t>PCEB-2017-03</t>
  </si>
  <si>
    <t>25182184</t>
  </si>
  <si>
    <t>PCET &amp; PMED TEXLINE LINO SDN BH</t>
  </si>
  <si>
    <t>PGTEFT2906</t>
  </si>
  <si>
    <t>INV1712050 IN1712049</t>
  </si>
  <si>
    <t>2018011161932325</t>
  </si>
  <si>
    <t>Pay to TNB: 220543740007</t>
  </si>
  <si>
    <t>2018011161932317</t>
  </si>
  <si>
    <t>Pay to TNB: 220543728710</t>
  </si>
  <si>
    <t>2018011161932047</t>
  </si>
  <si>
    <t>Pay to TNB: 220543726302</t>
  </si>
  <si>
    <t>2018011161931827</t>
  </si>
  <si>
    <t>Pay to TNB: 220543735508</t>
  </si>
  <si>
    <t>25209874</t>
  </si>
  <si>
    <t>HG LIM ELECTRICAL EN</t>
  </si>
  <si>
    <t>PGTEFT2915</t>
  </si>
  <si>
    <t>HAB ELECTRICAL INSTA</t>
  </si>
  <si>
    <t>PGTEFT2915          HAB ELECTRICAL INSTA</t>
  </si>
  <si>
    <t>25097418</t>
  </si>
  <si>
    <t>PGTEFT2880</t>
  </si>
  <si>
    <t>ADVANCES FOR</t>
  </si>
  <si>
    <t>25097488</t>
  </si>
  <si>
    <t>INDIA ROADSHOW DANNY TAN LEE KEONG</t>
  </si>
  <si>
    <t>PGTEFT2878</t>
  </si>
  <si>
    <t>ADVANCES TAKEN</t>
  </si>
  <si>
    <t>25097371</t>
  </si>
  <si>
    <t>OON KOK EU</t>
  </si>
  <si>
    <t>PGTEFT2881</t>
  </si>
  <si>
    <t>BROCHURE DISTRIBUTIO</t>
  </si>
  <si>
    <t>PGTEFT2881          BROCHURE DISTRIBUTIO</t>
  </si>
  <si>
    <t>25097553</t>
  </si>
  <si>
    <t>RELA ALLOWANCE JAN AZFALYZA BINTI ABDU</t>
  </si>
  <si>
    <t>PGTEFT2877</t>
  </si>
  <si>
    <t>25097449</t>
  </si>
  <si>
    <t>INDIA ROADSHOW LIM YEE HARNG</t>
  </si>
  <si>
    <t>PGTEFT2879</t>
  </si>
  <si>
    <t>00688100</t>
  </si>
  <si>
    <t>00688098</t>
  </si>
  <si>
    <t>00688097</t>
  </si>
  <si>
    <t>25014300</t>
  </si>
  <si>
    <t>PCET TAN SEANG AUN</t>
  </si>
  <si>
    <t>PGTEFT2866</t>
  </si>
  <si>
    <t>HONORARIUM DEC17</t>
  </si>
  <si>
    <t>25014119</t>
  </si>
  <si>
    <t>PGTEFT2876</t>
  </si>
  <si>
    <t>HG-1151-12-17</t>
  </si>
  <si>
    <t>PGTEFT2876          HG-1151-12-17</t>
  </si>
  <si>
    <t>25014676</t>
  </si>
  <si>
    <t>ANSURAN NO 12 AKAUN KJAAN MSIA PU</t>
  </si>
  <si>
    <t>PGTEFT2875</t>
  </si>
  <si>
    <t>C285195105</t>
  </si>
  <si>
    <t>/ROC/PEMBERIAN DALA BENDAHARI NEGERI PUL</t>
  </si>
  <si>
    <t>PEMBERIAN DALAM NEGE</t>
  </si>
  <si>
    <t>R</t>
  </si>
  <si>
    <t>BENDAHARI NEGERI PUL</t>
  </si>
  <si>
    <t>318004710040658</t>
  </si>
  <si>
    <t>00688155</t>
  </si>
  <si>
    <t>00688154</t>
  </si>
  <si>
    <t>00688153</t>
  </si>
  <si>
    <t>00688146</t>
  </si>
  <si>
    <t>00688145</t>
  </si>
  <si>
    <t>00688144</t>
  </si>
  <si>
    <t>/ROC/KELULUSAN KHAS BENDAHARI NEGERI PUL</t>
  </si>
  <si>
    <t>KELULUSAN KHAS PENGG</t>
  </si>
  <si>
    <t>00688148</t>
  </si>
  <si>
    <t>00688150</t>
  </si>
  <si>
    <t>00688149</t>
  </si>
  <si>
    <t>00688147</t>
  </si>
  <si>
    <t>27253528</t>
  </si>
  <si>
    <t>CAKE, FRUITS BASKET&amp; LIM HOOI LENG</t>
  </si>
  <si>
    <t>PGTEFT3034</t>
  </si>
  <si>
    <t>27253722</t>
  </si>
  <si>
    <t>CHEAH HOCK LYE</t>
  </si>
  <si>
    <t>PGTEFT3033</t>
  </si>
  <si>
    <t>INV39609</t>
  </si>
  <si>
    <t>PGTEFT3033          INV39609</t>
  </si>
  <si>
    <t>27253921</t>
  </si>
  <si>
    <t>PGTEFT3031</t>
  </si>
  <si>
    <t>PGTEFT3031          WELCOMING RECEPTION</t>
  </si>
  <si>
    <t>27254330</t>
  </si>
  <si>
    <t>TNT EXPRESS WORLDWID</t>
  </si>
  <si>
    <t>PGTEFT3030</t>
  </si>
  <si>
    <t>ACC233560</t>
  </si>
  <si>
    <t>PGTEFT3030          ACC233560</t>
  </si>
  <si>
    <t>27258557</t>
  </si>
  <si>
    <t>PGTEFT3024</t>
  </si>
  <si>
    <t>INV0450 0449</t>
  </si>
  <si>
    <t>PGTEFT3024          INV0450 0449</t>
  </si>
  <si>
    <t>27254420</t>
  </si>
  <si>
    <t>TOI TOI SERVICES SDN</t>
  </si>
  <si>
    <t>PGTEFT3029</t>
  </si>
  <si>
    <t>INV98922</t>
  </si>
  <si>
    <t>PGTEFT3029          INV98922</t>
  </si>
  <si>
    <t>27258415</t>
  </si>
  <si>
    <t>PGTEFT3027</t>
  </si>
  <si>
    <t>INV18-004</t>
  </si>
  <si>
    <t>PGTEFT3027          INV18-004</t>
  </si>
  <si>
    <t>27258621</t>
  </si>
  <si>
    <t>PGTEFT3023</t>
  </si>
  <si>
    <t>JAN2018</t>
  </si>
  <si>
    <t>PGTEFT3023          JAN2018</t>
  </si>
  <si>
    <t>27258494</t>
  </si>
  <si>
    <t>ST. JOHN AMBULANS MA</t>
  </si>
  <si>
    <t>PGTEFT3026</t>
  </si>
  <si>
    <t>IV-ADMIN1140</t>
  </si>
  <si>
    <t>PGTEFT3026          IV-ADMIN1140</t>
  </si>
  <si>
    <t>27253815</t>
  </si>
  <si>
    <t>PGTEFT3032</t>
  </si>
  <si>
    <t>PGTEFT3032          WELCOMING RECEPTION</t>
  </si>
  <si>
    <t>27258333</t>
  </si>
  <si>
    <t>TOP ONE DIGITAL SHOP</t>
  </si>
  <si>
    <t>PGTEFT3028</t>
  </si>
  <si>
    <t>IV-0028225</t>
  </si>
  <si>
    <t>PGTEFT3028          IV-0028225</t>
  </si>
  <si>
    <t>27259010</t>
  </si>
  <si>
    <t>PGTEFT3020</t>
  </si>
  <si>
    <t>PGTEFT3020          WELCOMING RECEPTION</t>
  </si>
  <si>
    <t>27259229</t>
  </si>
  <si>
    <t>PGTEFT3018</t>
  </si>
  <si>
    <t>P16072 P16080</t>
  </si>
  <si>
    <t>PGTEFT3018          P16072 P16080</t>
  </si>
  <si>
    <t>27258688</t>
  </si>
  <si>
    <t>PGTEFT3022</t>
  </si>
  <si>
    <t>PGTEFT3022          WELCOMING RECEPTION</t>
  </si>
  <si>
    <t>27259439</t>
  </si>
  <si>
    <t>MINI SELFIE STICK EVEREST PROMO SDN B</t>
  </si>
  <si>
    <t>PGTEFT3016</t>
  </si>
  <si>
    <t>PI-SO-170329</t>
  </si>
  <si>
    <t>27259575</t>
  </si>
  <si>
    <t>ACCOUNTS-JAN'18 CORPORATENET SDN BH</t>
  </si>
  <si>
    <t>PGTEFT3014</t>
  </si>
  <si>
    <t>CNET-18-0709</t>
  </si>
  <si>
    <t>27259280</t>
  </si>
  <si>
    <t>EDEN CATERING SDN BH</t>
  </si>
  <si>
    <t>PGTEFT3017</t>
  </si>
  <si>
    <t>INV23737</t>
  </si>
  <si>
    <t>PGTEFT3017          INV23737</t>
  </si>
  <si>
    <t>27259089</t>
  </si>
  <si>
    <t>PGTEFT3019</t>
  </si>
  <si>
    <t>HPT0013964</t>
  </si>
  <si>
    <t>PGTEFT3019          HPT0013964</t>
  </si>
  <si>
    <t>27259620</t>
  </si>
  <si>
    <t>QATAR LIM YEE HARNG</t>
  </si>
  <si>
    <t>PGTEFT3013</t>
  </si>
  <si>
    <t>ADVANCE FOR FAM</t>
  </si>
  <si>
    <t>27259496</t>
  </si>
  <si>
    <t>PAYROLL-FEB'18 CORPORATENET ADVISO</t>
  </si>
  <si>
    <t>PGTEFT3015</t>
  </si>
  <si>
    <t>CA-18-0032</t>
  </si>
  <si>
    <t>27258933</t>
  </si>
  <si>
    <t>HAB RISING ONE MEDIA SD</t>
  </si>
  <si>
    <t>PGTEFT3021</t>
  </si>
  <si>
    <t>INN14314</t>
  </si>
  <si>
    <t>618065710608919</t>
  </si>
  <si>
    <t>INV0008/2018/OC,PGVP</t>
  </si>
  <si>
    <t>20180305E0019053</t>
  </si>
  <si>
    <t>KOLEJ UNIVERSITI TUN</t>
  </si>
  <si>
    <t>00688151</t>
  </si>
  <si>
    <t>27194772</t>
  </si>
  <si>
    <t>PGTEFT3009</t>
  </si>
  <si>
    <t>DISTRIBUTION FEE</t>
  </si>
  <si>
    <t>PGTEFT3009          DISTRIBUTION FEE</t>
  </si>
  <si>
    <t>/ROC/FROM RHB REFLE RHB ASSET MANAGEMENT</t>
  </si>
  <si>
    <t>FROM RHB REFLEX</t>
  </si>
  <si>
    <t>27126274</t>
  </si>
  <si>
    <t>TITF &amp; HAB THOY SIEW PING</t>
  </si>
  <si>
    <t>PGTEFT3011</t>
  </si>
  <si>
    <t>27118103</t>
  </si>
  <si>
    <t>PGTEFT2999</t>
  </si>
  <si>
    <t>PGTEFT2999          PTPTN LOAN</t>
  </si>
  <si>
    <t>27126448</t>
  </si>
  <si>
    <t>EJA VENTURE</t>
  </si>
  <si>
    <t>PGTEFT3012</t>
  </si>
  <si>
    <t>FOOD FOR HAB</t>
  </si>
  <si>
    <t>PGTEFT3012          FOOD FOR HAB</t>
  </si>
  <si>
    <t>27118285</t>
  </si>
  <si>
    <t>NO ANSURAN 2 AKAUN KJAAN MSIA PU</t>
  </si>
  <si>
    <t>PGTEFT3010</t>
  </si>
  <si>
    <t>GST NA</t>
  </si>
  <si>
    <t>BANK CHARGES</t>
  </si>
  <si>
    <t>GST N/A</t>
  </si>
  <si>
    <t>Period : 01-04-2018 - 26-04-2018</t>
  </si>
  <si>
    <t>Opening Available Balance : 357625.35</t>
  </si>
  <si>
    <t>Closing Available Balance : 2641854.83</t>
  </si>
  <si>
    <t>00688187</t>
  </si>
  <si>
    <t>00688186</t>
  </si>
  <si>
    <t>43840535</t>
  </si>
  <si>
    <t>20548354</t>
  </si>
  <si>
    <t>518116711068420</t>
  </si>
  <si>
    <t>MPV-PENANGGLOBALTOU</t>
  </si>
  <si>
    <t>IBG TRANSACTION</t>
  </si>
  <si>
    <t>INTI INT COLLEGE PG</t>
  </si>
  <si>
    <t>02917235</t>
  </si>
  <si>
    <t>283277106</t>
  </si>
  <si>
    <t>00722250418T5614                       S</t>
  </si>
  <si>
    <t>283276705</t>
  </si>
  <si>
    <t>00722250418T5510                       T</t>
  </si>
  <si>
    <t>31445</t>
  </si>
  <si>
    <t>AA Philippines Media</t>
  </si>
  <si>
    <t>Advance balance- PGT</t>
  </si>
  <si>
    <t>LIM YEE HARNG</t>
  </si>
  <si>
    <t>29056094</t>
  </si>
  <si>
    <t>AA INDO FAM &amp; PG FAI LIM YEE HARNG</t>
  </si>
  <si>
    <t>PGTEFT3149</t>
  </si>
  <si>
    <t>ADVANCES AND CLAIMS</t>
  </si>
  <si>
    <t>/ROC/2018024100P101 BENDAHARI NEGERI PUL</t>
  </si>
  <si>
    <t>2018024100P1015344</t>
  </si>
  <si>
    <t>2018024100P1015345</t>
  </si>
  <si>
    <t>283261103</t>
  </si>
  <si>
    <t>00722200418T5154   /ACC/PLS DO NOT CONVC</t>
  </si>
  <si>
    <t>28998340</t>
  </si>
  <si>
    <t>VANDA DYNAMIC ENTERP</t>
  </si>
  <si>
    <t>PGTEFT3147</t>
  </si>
  <si>
    <t>PGT-114-18</t>
  </si>
  <si>
    <t>PGTEFT3147          PGT-114-18</t>
  </si>
  <si>
    <t>28998758</t>
  </si>
  <si>
    <t>PGTEFT3145</t>
  </si>
  <si>
    <t>PGTEFT3145          ACC233560</t>
  </si>
  <si>
    <t>28998181</t>
  </si>
  <si>
    <t>PGTEFT3148</t>
  </si>
  <si>
    <t>1STAPR2018</t>
  </si>
  <si>
    <t>PGTEFT3148          1STAPR2018</t>
  </si>
  <si>
    <t>28999363</t>
  </si>
  <si>
    <t>PGTEFT3144</t>
  </si>
  <si>
    <t>INV18-017</t>
  </si>
  <si>
    <t>PGTEFT3144          INV18-017</t>
  </si>
  <si>
    <t>28998621</t>
  </si>
  <si>
    <t>ATM DUBAI THOY SIEW PING</t>
  </si>
  <si>
    <t>PGTEFT3146</t>
  </si>
  <si>
    <t>ADVANCES</t>
  </si>
  <si>
    <t>28999899</t>
  </si>
  <si>
    <t>PGTEFT3137</t>
  </si>
  <si>
    <t>INV428</t>
  </si>
  <si>
    <t>PGTEFT3137          INV428</t>
  </si>
  <si>
    <t>28999532</t>
  </si>
  <si>
    <t>GUIDE FEE MAR&amp;APR TOH KIM HOCK</t>
  </si>
  <si>
    <t>PGTEFT3142</t>
  </si>
  <si>
    <t>INV146T 147T</t>
  </si>
  <si>
    <t>28999965</t>
  </si>
  <si>
    <t>PGTEFT3136</t>
  </si>
  <si>
    <t>NV2297</t>
  </si>
  <si>
    <t>PGTEFT3136          NV2297</t>
  </si>
  <si>
    <t>28999664</t>
  </si>
  <si>
    <t>PGTEFT3140</t>
  </si>
  <si>
    <t>152051 152054 152062</t>
  </si>
  <si>
    <t>PGTEFT3140          152051 152054 152062</t>
  </si>
  <si>
    <t>2018041907192142</t>
  </si>
  <si>
    <t>29000163</t>
  </si>
  <si>
    <t>PGTEFT3135</t>
  </si>
  <si>
    <t>PERFORMANCE MAR APR</t>
  </si>
  <si>
    <t>PGTEFT3135          PERFORMANCE MAR APR</t>
  </si>
  <si>
    <t>28999732</t>
  </si>
  <si>
    <t>SECRETARY SERVICE JA PDC PREMIER HOLDING</t>
  </si>
  <si>
    <t>PGTEFT3139</t>
  </si>
  <si>
    <t>28999438</t>
  </si>
  <si>
    <t>PGTEFT3143</t>
  </si>
  <si>
    <t>IV-136823</t>
  </si>
  <si>
    <t>PGTEFT3143          IV-136823</t>
  </si>
  <si>
    <t>28999823</t>
  </si>
  <si>
    <t>LED-APR'18 PERFORMANCE PLUS MA</t>
  </si>
  <si>
    <t>PGTEFT3138</t>
  </si>
  <si>
    <t>PPM18-04-01</t>
  </si>
  <si>
    <t>29000304</t>
  </si>
  <si>
    <t>MEDIA RELEASE MOHAMMAD ASHRAF BIN</t>
  </si>
  <si>
    <t>PGTEFT3134</t>
  </si>
  <si>
    <t>TRANSLATION PG CUN</t>
  </si>
  <si>
    <t>29000686</t>
  </si>
  <si>
    <t>LEMBAGA PENGGALAKAN</t>
  </si>
  <si>
    <t>PGTEFT3132</t>
  </si>
  <si>
    <t>ATM PARTICIPATION FE</t>
  </si>
  <si>
    <t>2018041907190667</t>
  </si>
  <si>
    <t>29001417</t>
  </si>
  <si>
    <t>ARTISTARI PRODUCTION</t>
  </si>
  <si>
    <t>PGTEFT3124</t>
  </si>
  <si>
    <t>PG FAIR HCM</t>
  </si>
  <si>
    <t>PGTEFT3124          PG FAIR HCM</t>
  </si>
  <si>
    <t>29000840</t>
  </si>
  <si>
    <t>PGTEFT3130</t>
  </si>
  <si>
    <t>ACC316057</t>
  </si>
  <si>
    <t>PGTEFT3130          ACC316057</t>
  </si>
  <si>
    <t>29000944</t>
  </si>
  <si>
    <t>ACCOUNTS-MAR'18 CORPORATENET SDN BH</t>
  </si>
  <si>
    <t>PGTEFT3128</t>
  </si>
  <si>
    <t>CNET-18-1354</t>
  </si>
  <si>
    <t>29000421</t>
  </si>
  <si>
    <t>PGTEFT3133</t>
  </si>
  <si>
    <t>INV19573-575</t>
  </si>
  <si>
    <t>PGTEFT3133          INV19573-575</t>
  </si>
  <si>
    <t>29001270</t>
  </si>
  <si>
    <t>CAPITAL ONE LEISURE</t>
  </si>
  <si>
    <t>PGTEFT3126</t>
  </si>
  <si>
    <t>INV10431</t>
  </si>
  <si>
    <t>PGTEFT3126          INV10431</t>
  </si>
  <si>
    <t>29001523</t>
  </si>
  <si>
    <t>AUDIT FEE 2017 ALJEFFRI DEAN (A/C</t>
  </si>
  <si>
    <t>INV801006</t>
  </si>
  <si>
    <t>29000744</t>
  </si>
  <si>
    <t>TRIPODS KUA JANICE TZE PHIN</t>
  </si>
  <si>
    <t>PGTEFT3131</t>
  </si>
  <si>
    <t>29000882</t>
  </si>
  <si>
    <t>ATM DUBAI DANNY TAN LEE KEONG</t>
  </si>
  <si>
    <t>PGTEFT3129</t>
  </si>
  <si>
    <t>243241606</t>
  </si>
  <si>
    <t>20008190418T0029</t>
  </si>
  <si>
    <t>243241607</t>
  </si>
  <si>
    <t>20008190418T0027</t>
  </si>
  <si>
    <t>283258461</t>
  </si>
  <si>
    <t>00722190418T5359                       A</t>
  </si>
  <si>
    <t>818109711017646</t>
  </si>
  <si>
    <t>FL180418058470</t>
  </si>
  <si>
    <t>OUTWARD ACH</t>
  </si>
  <si>
    <t>OPTIMAX EYE SPECIALI</t>
  </si>
  <si>
    <t>00688188</t>
  </si>
  <si>
    <t>00688185</t>
  </si>
  <si>
    <t>00688169</t>
  </si>
  <si>
    <t>04026318</t>
  </si>
  <si>
    <t>51279</t>
  </si>
  <si>
    <t>Balance from RELA</t>
  </si>
  <si>
    <t>April</t>
  </si>
  <si>
    <t>AZFALYZA BINTI ABDUL</t>
  </si>
  <si>
    <t>02888035</t>
  </si>
  <si>
    <t>80036714</t>
  </si>
  <si>
    <t>28780679</t>
  </si>
  <si>
    <t>AIRASIA PHILIPPINES  LIM YEE HARNG</t>
  </si>
  <si>
    <t>PGTEFT3118</t>
  </si>
  <si>
    <t>ADVANCE</t>
  </si>
  <si>
    <t>28779990</t>
  </si>
  <si>
    <t>HCM RECCE &amp; MEDAN YOON PAULINE</t>
  </si>
  <si>
    <t>PGTEFT3123</t>
  </si>
  <si>
    <t>28780888</t>
  </si>
  <si>
    <t>BEYOND MULTIMEDIA PL</t>
  </si>
  <si>
    <t>PGTEFT3117</t>
  </si>
  <si>
    <t>BM-180301</t>
  </si>
  <si>
    <t>PGTEFT3117          BM-180301</t>
  </si>
  <si>
    <t>28780100</t>
  </si>
  <si>
    <t>TAN YIT MING</t>
  </si>
  <si>
    <t>PGTEFT3122</t>
  </si>
  <si>
    <t>YOSAKOI</t>
  </si>
  <si>
    <t>PGTEFT3122          YOSAKOI</t>
  </si>
  <si>
    <t>28780454</t>
  </si>
  <si>
    <t>ONE IMAGE BALLOON SD</t>
  </si>
  <si>
    <t>PGTEFT3120</t>
  </si>
  <si>
    <t>INV4117</t>
  </si>
  <si>
    <t>PGTEFT3120          INV4117</t>
  </si>
  <si>
    <t>28780354</t>
  </si>
  <si>
    <t>PGTEFT3121</t>
  </si>
  <si>
    <t>PGTEFT3121          WELCOMING RECEPTION</t>
  </si>
  <si>
    <t>28780625</t>
  </si>
  <si>
    <t>KL TRIP 27/3/18 NG CHUN HOW</t>
  </si>
  <si>
    <t>PGTEFT3119</t>
  </si>
  <si>
    <t>00688184</t>
  </si>
  <si>
    <t>00688183</t>
  </si>
  <si>
    <t>TR FROM CA</t>
  </si>
  <si>
    <t>28740061</t>
  </si>
  <si>
    <t>PCET membership</t>
  </si>
  <si>
    <t>renewal payment</t>
  </si>
  <si>
    <t>SILICON TECHNOLOGY C</t>
  </si>
  <si>
    <t>00688175</t>
  </si>
  <si>
    <t>00688174</t>
  </si>
  <si>
    <t>00688172</t>
  </si>
  <si>
    <t>/ROC/2018024100P100 BENDAHARI NEGERI PUL</t>
  </si>
  <si>
    <t>2018024100P1009532</t>
  </si>
  <si>
    <t>00688181</t>
  </si>
  <si>
    <t>00688177</t>
  </si>
  <si>
    <t>918099710977140</t>
  </si>
  <si>
    <t>IG180330007418</t>
  </si>
  <si>
    <t>OUTWARD ACH FROM CAR</t>
  </si>
  <si>
    <t>CARL CORRYNTON MEDIC</t>
  </si>
  <si>
    <t>00688176</t>
  </si>
  <si>
    <t>00688178</t>
  </si>
  <si>
    <t>00688180</t>
  </si>
  <si>
    <t>00688179</t>
  </si>
  <si>
    <t>28406606</t>
  </si>
  <si>
    <t>VCREATE SDN BHD</t>
  </si>
  <si>
    <t>PGTEFT3116</t>
  </si>
  <si>
    <t>10243-18</t>
  </si>
  <si>
    <t>PGTEFT3116          10243-18</t>
  </si>
  <si>
    <t>28406956</t>
  </si>
  <si>
    <t>PGTEFT3113</t>
  </si>
  <si>
    <t>IV-0029662</t>
  </si>
  <si>
    <t>PGTEFT3113          IV-0029662</t>
  </si>
  <si>
    <t>28406710</t>
  </si>
  <si>
    <t>PGTEFT3115</t>
  </si>
  <si>
    <t>13MAR2018</t>
  </si>
  <si>
    <t>PGTEFT3115          13MAR2018</t>
  </si>
  <si>
    <t>28407032</t>
  </si>
  <si>
    <t>TWO PRO PRINT SERVIC</t>
  </si>
  <si>
    <t>PGTEFT3112</t>
  </si>
  <si>
    <t>INV1600</t>
  </si>
  <si>
    <t>PGTEFT3112          INV1600</t>
  </si>
  <si>
    <t>28407546</t>
  </si>
  <si>
    <t>CITILINK FAM THOY SIEW PING</t>
  </si>
  <si>
    <t>PGTEFT3107</t>
  </si>
  <si>
    <t>28407279</t>
  </si>
  <si>
    <t>TEOH LAY PHENG</t>
  </si>
  <si>
    <t>PGTEFT3109</t>
  </si>
  <si>
    <t>PGTEFT3109          WELCOMING RECEPTION</t>
  </si>
  <si>
    <t>28407102</t>
  </si>
  <si>
    <t>PGTEFT3111</t>
  </si>
  <si>
    <t>INV3775 3776</t>
  </si>
  <si>
    <t>PGTEFT3111          INV3775 3776</t>
  </si>
  <si>
    <t>28407645</t>
  </si>
  <si>
    <t>PGTEFT3106</t>
  </si>
  <si>
    <t>PGTEFT3106          WELCOMING RECEPTION</t>
  </si>
  <si>
    <t>28407484</t>
  </si>
  <si>
    <t>PGTEFT3108</t>
  </si>
  <si>
    <t>PGTEFT3108          ACC233560</t>
  </si>
  <si>
    <t>28406877</t>
  </si>
  <si>
    <t>SQ BRISBANE,HCM &amp; BK YOON PAULINE</t>
  </si>
  <si>
    <t>PGTEFT3114</t>
  </si>
  <si>
    <t>28407215</t>
  </si>
  <si>
    <t>GUIDE FEE FOR MAR TOH KIM HOCK</t>
  </si>
  <si>
    <t>PGTEFT3110</t>
  </si>
  <si>
    <t>INV144T 145T 144SC</t>
  </si>
  <si>
    <t>28408137</t>
  </si>
  <si>
    <t>PGTEFT3101</t>
  </si>
  <si>
    <t>INV19571</t>
  </si>
  <si>
    <t>PGTEFT3101          INV19571</t>
  </si>
  <si>
    <t>28408656</t>
  </si>
  <si>
    <t>JAYKODI RESOURCES</t>
  </si>
  <si>
    <t>PGTEFT3098</t>
  </si>
  <si>
    <t>CLEANING SERVICES</t>
  </si>
  <si>
    <t>PGTEFT3098          CLEANING SERVICES</t>
  </si>
  <si>
    <t>28407988</t>
  </si>
  <si>
    <t>PGTEFT3103</t>
  </si>
  <si>
    <t>PGTEFT3103          BROCHURE DISTRIBUTIO</t>
  </si>
  <si>
    <t>28407777</t>
  </si>
  <si>
    <t>PGTEFT3105</t>
  </si>
  <si>
    <t>152005 152013 152018</t>
  </si>
  <si>
    <t>PGTEFT3105          152005 152013 152018</t>
  </si>
  <si>
    <t>28409462</t>
  </si>
  <si>
    <t>GINNCONS CONSTRUCTIO</t>
  </si>
  <si>
    <t>PGTEFT3096</t>
  </si>
  <si>
    <t>INV0247-2018</t>
  </si>
  <si>
    <t>PGTEFT3096          INV0247-2018</t>
  </si>
  <si>
    <t>28408063</t>
  </si>
  <si>
    <t>PGTEFT3102</t>
  </si>
  <si>
    <t>PGTEFT3102          WELCOMING RECEPTION</t>
  </si>
  <si>
    <t>28408702</t>
  </si>
  <si>
    <t>PGTEFT3097</t>
  </si>
  <si>
    <t>HPT0014819</t>
  </si>
  <si>
    <t>PGTEFT3097          HPT0014819</t>
  </si>
  <si>
    <t>28407931</t>
  </si>
  <si>
    <t>PLATINUM PARADISE SD</t>
  </si>
  <si>
    <t>PGTEFT3104</t>
  </si>
  <si>
    <t>PGTEFT3104          PROFORMA INV</t>
  </si>
  <si>
    <t>28408610</t>
  </si>
  <si>
    <t>TAIWAN AGENT FAM JOANNE KHOO ROU YAN</t>
  </si>
  <si>
    <t>PGTEFT3099</t>
  </si>
  <si>
    <t>28409692</t>
  </si>
  <si>
    <t>STORIES WRITING EMILIA BT ISMAIL</t>
  </si>
  <si>
    <t>PGTEFT3095</t>
  </si>
  <si>
    <t>04-02-001INV</t>
  </si>
  <si>
    <t>28410156</t>
  </si>
  <si>
    <t>CONVEP MOBILOGY SDN</t>
  </si>
  <si>
    <t>PGTEFT3090</t>
  </si>
  <si>
    <t>3333644</t>
  </si>
  <si>
    <t>PGTEFT3090          3333644</t>
  </si>
  <si>
    <t>28410240</t>
  </si>
  <si>
    <t>PGTEFT3089</t>
  </si>
  <si>
    <t>PMED STICKER FA</t>
  </si>
  <si>
    <t>PGTEFT3089          PMED STICKER FA</t>
  </si>
  <si>
    <t>28410312</t>
  </si>
  <si>
    <t>RELA ALLOWANCE-MAR AZFALYZA BINTI ABDU</t>
  </si>
  <si>
    <t>PGTEFT3088</t>
  </si>
  <si>
    <t>ADVANCE PAYMENT</t>
  </si>
  <si>
    <t>28409767</t>
  </si>
  <si>
    <t>ITB CHINA MEETING DANNY TAN LEE KEONG</t>
  </si>
  <si>
    <t>PGTEFFT3094</t>
  </si>
  <si>
    <t>28410501</t>
  </si>
  <si>
    <t>YOSAKOI A.SANI KW SDN BHD</t>
  </si>
  <si>
    <t>PGTEFT3086</t>
  </si>
  <si>
    <t>INV06935 06972</t>
  </si>
  <si>
    <t>28409985</t>
  </si>
  <si>
    <t>ACCOUNTS-FEB'18 CORPORATENET SDN BH</t>
  </si>
  <si>
    <t>PGTEFT3092</t>
  </si>
  <si>
    <t>CNET18-0814</t>
  </si>
  <si>
    <t>28410374</t>
  </si>
  <si>
    <t>PGTEFT3087</t>
  </si>
  <si>
    <t>INV10015562</t>
  </si>
  <si>
    <t>PGTEFT3087          INV10015562</t>
  </si>
  <si>
    <t>28409898</t>
  </si>
  <si>
    <t>CHEONG YANG GUANG</t>
  </si>
  <si>
    <t>PGTEFT3093</t>
  </si>
  <si>
    <t>PHOTOGRAPHY SERVICES</t>
  </si>
  <si>
    <t>PGTEFT3093          PHOTOGRAPHY SERVICES</t>
  </si>
  <si>
    <t>28408219</t>
  </si>
  <si>
    <t>K TWO TRADING</t>
  </si>
  <si>
    <t>PGTEFT3100</t>
  </si>
  <si>
    <t>C7796 7891 7911 7862</t>
  </si>
  <si>
    <t>PGTEFT3100          C7796 7891 7911 7862</t>
  </si>
  <si>
    <t>28410092</t>
  </si>
  <si>
    <t>PAYROLL MAR &amp; EA 201 CORPORATENET ADVISO</t>
  </si>
  <si>
    <t>PGTEFT3091</t>
  </si>
  <si>
    <t>CA-18-0042 18-0037</t>
  </si>
  <si>
    <t>28347008</t>
  </si>
  <si>
    <t>MALATHI A/P MUNIANDY</t>
  </si>
  <si>
    <t>PGTEFT3083</t>
  </si>
  <si>
    <t>TRAINEE</t>
  </si>
  <si>
    <t>PGTEFT3083          TRAINEE</t>
  </si>
  <si>
    <t>28346742</t>
  </si>
  <si>
    <t>PCET &amp; PMED TAN SEANG AUN</t>
  </si>
  <si>
    <t>PGTEFT3084</t>
  </si>
  <si>
    <t>HONORARIUM MAR18</t>
  </si>
  <si>
    <t>28346459</t>
  </si>
  <si>
    <t>NO ANSURAN 3 2018 AKAUN KJAAN MSIA PU</t>
  </si>
  <si>
    <t>PGTEFT3085</t>
  </si>
  <si>
    <t>NO RUJ C285195105</t>
  </si>
  <si>
    <t>918092710903539</t>
  </si>
  <si>
    <t>PCET MEMBER FEES</t>
  </si>
  <si>
    <t>FROM GCCA</t>
  </si>
  <si>
    <t>GCCA ACADEMY SDN BHD</t>
  </si>
  <si>
    <t>00688191</t>
  </si>
  <si>
    <t>00688190</t>
  </si>
  <si>
    <t>00688189</t>
  </si>
  <si>
    <t>29320059</t>
  </si>
  <si>
    <t>TAN SEANG AUN</t>
  </si>
  <si>
    <t>PGTEFT3169</t>
  </si>
  <si>
    <t>HONORARIIUM FOR APR</t>
  </si>
  <si>
    <t>23455589</t>
  </si>
  <si>
    <t>23341587</t>
  </si>
  <si>
    <t>U2018042703669 BCBB-Encrypted.dat</t>
  </si>
  <si>
    <t>347123341587</t>
  </si>
  <si>
    <t>29320345</t>
  </si>
  <si>
    <t>PGTEFT3162</t>
  </si>
  <si>
    <t>PGTEFT3162          WELCOMING RECEPTION</t>
  </si>
  <si>
    <t>2018042709350319</t>
  </si>
  <si>
    <t>29320168</t>
  </si>
  <si>
    <t>PG FAIR &amp; SEOUL FAM YOON PAULINE</t>
  </si>
  <si>
    <t>PGTEFT3167</t>
  </si>
  <si>
    <t>29320109</t>
  </si>
  <si>
    <t>PGTEFT3168</t>
  </si>
  <si>
    <t>PGTEFT3168          TRAINEE</t>
  </si>
  <si>
    <t>2018042709350289</t>
  </si>
  <si>
    <t>2018042709350313</t>
  </si>
  <si>
    <t>29320313</t>
  </si>
  <si>
    <t>PGTEFT3163</t>
  </si>
  <si>
    <t>PCET PG FAIR CLAIMS</t>
  </si>
  <si>
    <t>29320411</t>
  </si>
  <si>
    <t>CITILINK AIRLINES ME THOY SIEW PING</t>
  </si>
  <si>
    <t>PGTEFT3161</t>
  </si>
  <si>
    <t>29320514</t>
  </si>
  <si>
    <t>RECCE PG FAIR, QATAR OOI CHOK YAN</t>
  </si>
  <si>
    <t>PGTEFT3160</t>
  </si>
  <si>
    <t>29320605</t>
  </si>
  <si>
    <t>AA INDONESIA MEDIA F LIM YEE HARNG</t>
  </si>
  <si>
    <t>PGTEFT3158</t>
  </si>
  <si>
    <t>29321791</t>
  </si>
  <si>
    <t>TW TACTICAL BUTTERFLY HOUSE (PG</t>
  </si>
  <si>
    <t>PGTEFT3152</t>
  </si>
  <si>
    <t>A74215 A74266 A75378</t>
  </si>
  <si>
    <t>29320560</t>
  </si>
  <si>
    <t>PGTEFT3159</t>
  </si>
  <si>
    <t>PGTEFT3159          WELCOMING RECEPTION</t>
  </si>
  <si>
    <t>29320647</t>
  </si>
  <si>
    <t>OFFICE EXPENSES LIM HOOI LENG</t>
  </si>
  <si>
    <t>PGTEFT3157</t>
  </si>
  <si>
    <t>29321847</t>
  </si>
  <si>
    <t>ALLOWANCE RELA-MAY AZFALYZA BINTI ABDU</t>
  </si>
  <si>
    <t>PGTEFT3151</t>
  </si>
  <si>
    <t>29321587</t>
  </si>
  <si>
    <t>DISCOVERY OVERLAND H</t>
  </si>
  <si>
    <t>PGTEFT3154</t>
  </si>
  <si>
    <t>INV741557</t>
  </si>
  <si>
    <t>PGTEFT3154          INV741557</t>
  </si>
  <si>
    <t>29320763</t>
  </si>
  <si>
    <t>PGTEFT3156</t>
  </si>
  <si>
    <t>WELCOMING LUNCH</t>
  </si>
  <si>
    <t>29321653</t>
  </si>
  <si>
    <t>PGTEFT3153</t>
  </si>
  <si>
    <t>INV10619 10620 10621</t>
  </si>
  <si>
    <t>PGTEFT3153          INV10619 10620 10621</t>
  </si>
  <si>
    <t>29320837</t>
  </si>
  <si>
    <t>ITB CHINA KL MEETING DANNY TAN LEE KEONG</t>
  </si>
  <si>
    <t>PGTEFT3155</t>
  </si>
  <si>
    <t>283287563</t>
  </si>
  <si>
    <t>00722270418T5531   /ACC/PLS DO NOT CONVH</t>
  </si>
  <si>
    <t>BANK CHARGES N/A</t>
  </si>
  <si>
    <t>Period : 01-05-2018 - 21-05-2018</t>
  </si>
  <si>
    <t>Opening Available Balance : 2430963.17</t>
  </si>
  <si>
    <t>Closing Available Balance : 175215.09</t>
  </si>
  <si>
    <t>00688207</t>
  </si>
  <si>
    <t>00688204</t>
  </si>
  <si>
    <t>00688203</t>
  </si>
  <si>
    <t>00688202</t>
  </si>
  <si>
    <t>00688201</t>
  </si>
  <si>
    <t>32803933</t>
  </si>
  <si>
    <t>225400551</t>
  </si>
  <si>
    <t>20008170518T0035    /ACC/PLEASE DO NOT</t>
  </si>
  <si>
    <t>/ROC/2018024100P102 BENDAHARI NEGERI PUL</t>
  </si>
  <si>
    <t>2018024100P1022031</t>
  </si>
  <si>
    <t>00688194</t>
  </si>
  <si>
    <t>00688193</t>
  </si>
  <si>
    <t>00688200</t>
  </si>
  <si>
    <t>00688198</t>
  </si>
  <si>
    <t>00688196</t>
  </si>
  <si>
    <t>00688192</t>
  </si>
  <si>
    <t>DEBIT ADVICE</t>
  </si>
  <si>
    <t>07052018</t>
  </si>
  <si>
    <t>00688199</t>
  </si>
  <si>
    <t>00688197</t>
  </si>
  <si>
    <t>12206</t>
  </si>
  <si>
    <t>AA Indo Media FAM</t>
  </si>
  <si>
    <t>29Apr - 2 May</t>
  </si>
  <si>
    <t>29637877</t>
  </si>
  <si>
    <t>PGTEFT3194</t>
  </si>
  <si>
    <t>INV00019213</t>
  </si>
  <si>
    <t>PGTEFT3194          INV00019213</t>
  </si>
  <si>
    <t>29638028</t>
  </si>
  <si>
    <t>PGTEFT3193</t>
  </si>
  <si>
    <t>IV-137602</t>
  </si>
  <si>
    <t>PGTEFT3193          IV-137602</t>
  </si>
  <si>
    <t>29637810</t>
  </si>
  <si>
    <t>PGTEFT3195</t>
  </si>
  <si>
    <t>PGTEFT3195          ACC233560</t>
  </si>
  <si>
    <t>29638152</t>
  </si>
  <si>
    <t>GUIDE FEE FOR APR TOH KIM HOCK</t>
  </si>
  <si>
    <t>PGTEFT3192</t>
  </si>
  <si>
    <t>INV149T INV150T</t>
  </si>
  <si>
    <t>29639479</t>
  </si>
  <si>
    <t>PGTEFT3184</t>
  </si>
  <si>
    <t>P16379-16381</t>
  </si>
  <si>
    <t>PGTEFT3184          P16379-16381</t>
  </si>
  <si>
    <t>29638255</t>
  </si>
  <si>
    <t>REDBERRY OUTDOORS SD</t>
  </si>
  <si>
    <t>PGTEFT3191</t>
  </si>
  <si>
    <t>RBO11347</t>
  </si>
  <si>
    <t>PGTEFT3191          RBO11347</t>
  </si>
  <si>
    <t>29638585</t>
  </si>
  <si>
    <t>IMG-GT TOURISM SEMIN NG CHUN HOW</t>
  </si>
  <si>
    <t>PGTEFT3188</t>
  </si>
  <si>
    <t>29639242</t>
  </si>
  <si>
    <t>LEE ICKJOO</t>
  </si>
  <si>
    <t>PGTEFT3186</t>
  </si>
  <si>
    <t>SEOUL AGENT FAM</t>
  </si>
  <si>
    <t>29638357</t>
  </si>
  <si>
    <t>FIREFLY FAM &amp; ATM THOY SIEW PING</t>
  </si>
  <si>
    <t>PGTEFT3190</t>
  </si>
  <si>
    <t>29639585</t>
  </si>
  <si>
    <t>FLAGSTAFF HOLDINGS S</t>
  </si>
  <si>
    <t>PGTEFT3183</t>
  </si>
  <si>
    <t>GIV1802-30 GIV1803-3</t>
  </si>
  <si>
    <t>PGTEFT3183          GIV1802-30 GIV1803-3</t>
  </si>
  <si>
    <t>29638679</t>
  </si>
  <si>
    <t>PGTEFT3187</t>
  </si>
  <si>
    <t>INV19577 19579</t>
  </si>
  <si>
    <t>PGTEFT3187          INV19577 19579</t>
  </si>
  <si>
    <t>29638512</t>
  </si>
  <si>
    <t>QATAR - TRANSPORTATI OOI CHOK YAN</t>
  </si>
  <si>
    <t>PGTEFT3189</t>
  </si>
  <si>
    <t>29639308</t>
  </si>
  <si>
    <t>ONLINE ADS YOUTUBE GOOGLE MALAYSIA SDN</t>
  </si>
  <si>
    <t>PGTEFT3185</t>
  </si>
  <si>
    <t>INV3450481994</t>
  </si>
  <si>
    <t>29640209</t>
  </si>
  <si>
    <t>PGTEFT3176</t>
  </si>
  <si>
    <t>PGT03-18INV</t>
  </si>
  <si>
    <t>PGTEFT3176          PGT03-18INV</t>
  </si>
  <si>
    <t>29640305</t>
  </si>
  <si>
    <t>PGTEFT3175</t>
  </si>
  <si>
    <t>BM-180401</t>
  </si>
  <si>
    <t>PGTEFT3175          BM-180401</t>
  </si>
  <si>
    <t>29640483</t>
  </si>
  <si>
    <t>TW TAC CAMPAIGN BUTTERFLY HOUSE (PG</t>
  </si>
  <si>
    <t>PGTEFT3174</t>
  </si>
  <si>
    <t>B038384</t>
  </si>
  <si>
    <t>29640075</t>
  </si>
  <si>
    <t>PAYROLL-APR'18 CORPORATENET ADVISO</t>
  </si>
  <si>
    <t>PGTEFT3178</t>
  </si>
  <si>
    <t>CA-18-0055</t>
  </si>
  <si>
    <t>29639756</t>
  </si>
  <si>
    <t>EDITORIAL ASSOCIATES</t>
  </si>
  <si>
    <t>PGTEFT3182</t>
  </si>
  <si>
    <t>SALES-MAR18</t>
  </si>
  <si>
    <t>PGTEFT3182          SALES-MAR18</t>
  </si>
  <si>
    <t>29640571</t>
  </si>
  <si>
    <t>BRAND-NEW BANNERSHOP</t>
  </si>
  <si>
    <t>PGTEFT3173</t>
  </si>
  <si>
    <t>INV00047568</t>
  </si>
  <si>
    <t>PGTEFT3173          INV00047568</t>
  </si>
  <si>
    <t>201805040029640158</t>
  </si>
  <si>
    <t>PGTEFT3177</t>
  </si>
  <si>
    <t>CC MAY 2018</t>
  </si>
  <si>
    <t>29639858</t>
  </si>
  <si>
    <t>KATAK CREATION</t>
  </si>
  <si>
    <t>PGTEFT3180</t>
  </si>
  <si>
    <t>IV00011</t>
  </si>
  <si>
    <t>PGTEFT3180          IV00011</t>
  </si>
  <si>
    <t>29639803</t>
  </si>
  <si>
    <t>PGTEFT3181</t>
  </si>
  <si>
    <t>KKCN18-IV015</t>
  </si>
  <si>
    <t>PGTEFT3181          KKCN18-IV015</t>
  </si>
  <si>
    <t>29639935</t>
  </si>
  <si>
    <t>PGTEFT3179</t>
  </si>
  <si>
    <t>INV741352</t>
  </si>
  <si>
    <t>PGTEFT3179          INV741352</t>
  </si>
  <si>
    <t>14935254</t>
  </si>
  <si>
    <t>29574532</t>
  </si>
  <si>
    <t>PGTEFT3170</t>
  </si>
  <si>
    <t>PGTEFT3170          CLEANING SERVICES</t>
  </si>
  <si>
    <t>29574187</t>
  </si>
  <si>
    <t>IRANIAN FOOD BLOGGER JOANNE KHOO ROU YAN</t>
  </si>
  <si>
    <t>PGTEFT3172</t>
  </si>
  <si>
    <t>29574676</t>
  </si>
  <si>
    <t>PGTEFT3150</t>
  </si>
  <si>
    <t>PGTEFT3150          PTPTN LOAN</t>
  </si>
  <si>
    <t>29574460</t>
  </si>
  <si>
    <t>NO ANSURAN 4 CP204 AKAUN KJAAN MSIA PU</t>
  </si>
  <si>
    <t>PGTEFT1371</t>
  </si>
  <si>
    <t>D5907598</t>
  </si>
  <si>
    <t>33385254</t>
  </si>
  <si>
    <t>283297696</t>
  </si>
  <si>
    <t>00722020518T5495   /ACC/PLEASE DO NOT CN</t>
  </si>
  <si>
    <t>67369</t>
  </si>
  <si>
    <t>AA Indo 21 Apr</t>
  </si>
  <si>
    <t>30644119</t>
  </si>
  <si>
    <t>PGTEFT3207</t>
  </si>
  <si>
    <t>PGTEFT3207          PTPTN LOAN</t>
  </si>
  <si>
    <t>30643622</t>
  </si>
  <si>
    <t>PGTEFT3209</t>
  </si>
  <si>
    <t>HONORARIUM - MAY 18</t>
  </si>
  <si>
    <t>30643780</t>
  </si>
  <si>
    <t>PGTEFT3208</t>
  </si>
  <si>
    <t>TRAINEE ALLOWANCE</t>
  </si>
  <si>
    <t>PGTEFT3208          TRAINEE ALLOWANCE</t>
  </si>
  <si>
    <t>30644601</t>
  </si>
  <si>
    <t>LOW YEN PENG</t>
  </si>
  <si>
    <t>PGTEFT3206</t>
  </si>
  <si>
    <t>SALARY - MAY</t>
  </si>
  <si>
    <t>06477</t>
  </si>
  <si>
    <t>RELA Balance for May</t>
  </si>
  <si>
    <t>27830534</t>
  </si>
  <si>
    <t>27766597</t>
  </si>
  <si>
    <t>U2018052301762 BCBB-Encrypted.dat</t>
  </si>
  <si>
    <t>347127766597</t>
  </si>
  <si>
    <t>00688208</t>
  </si>
  <si>
    <t>118148711293793</t>
  </si>
  <si>
    <t>ITB ASIA SINGAPORE</t>
  </si>
  <si>
    <t>PARTICIPATION FEE</t>
  </si>
  <si>
    <t>HOLIDAY TOURS &amp; TRAV</t>
  </si>
  <si>
    <t>2018052863411546</t>
  </si>
  <si>
    <t>CHEQUE STAMP DUTY</t>
  </si>
  <si>
    <t>00000000</t>
  </si>
  <si>
    <t>FEE INCOME - AUDIT CONFIRMATION</t>
  </si>
  <si>
    <t>OTHERS FEE</t>
  </si>
  <si>
    <t>30274325</t>
  </si>
  <si>
    <t>PGTEFT3204</t>
  </si>
  <si>
    <t>INV148T</t>
  </si>
  <si>
    <t>2018052315586588</t>
  </si>
  <si>
    <t>2018052315586566</t>
  </si>
  <si>
    <t>30275045</t>
  </si>
  <si>
    <t>SCHENKER LOGISTICS (</t>
  </si>
  <si>
    <t>PGTEFT3197</t>
  </si>
  <si>
    <t>INV30001167</t>
  </si>
  <si>
    <t>PGTEFT3197          INV30001167</t>
  </si>
  <si>
    <t>30274657</t>
  </si>
  <si>
    <t>PGTEFT3199</t>
  </si>
  <si>
    <t>INV19576</t>
  </si>
  <si>
    <t>PGTEFT3199          INV19576</t>
  </si>
  <si>
    <t>30275183</t>
  </si>
  <si>
    <t>PGTEFT3196</t>
  </si>
  <si>
    <t>INV10623</t>
  </si>
  <si>
    <t>PGTEFT3196          INV10623</t>
  </si>
  <si>
    <t>30274602</t>
  </si>
  <si>
    <t>PGTEFT3200</t>
  </si>
  <si>
    <t>INV152116</t>
  </si>
  <si>
    <t>PGTEFT3200          INV152116</t>
  </si>
  <si>
    <t>2018052315586523</t>
  </si>
  <si>
    <t>30274835</t>
  </si>
  <si>
    <t>ENG SPEAKING FOOD GU LOCAL CULINARY EXPE</t>
  </si>
  <si>
    <t>PGTEFT3198</t>
  </si>
  <si>
    <t>FA1805-0481</t>
  </si>
  <si>
    <t>34994827</t>
  </si>
  <si>
    <t>55026</t>
  </si>
  <si>
    <t>MR. TASTER ADVANCE</t>
  </si>
  <si>
    <t>818142711268290</t>
  </si>
  <si>
    <t>SPINECARE PMED</t>
  </si>
  <si>
    <t>PMED MEMBERSHIP 2018</t>
  </si>
  <si>
    <t>SPINECARE CHIROPRACT</t>
  </si>
  <si>
    <t>Period : 01-06-2018 - 30-06-2018</t>
  </si>
  <si>
    <t>Opening Available Balance : 65164.27</t>
  </si>
  <si>
    <t>Closing Available Balance : 1844289.96</t>
  </si>
  <si>
    <t>G237</t>
  </si>
  <si>
    <t>Period : 01-07-2018 - 31-07-2018</t>
  </si>
  <si>
    <t>Opening Available Balance : 1844289.96</t>
  </si>
  <si>
    <t>Closing Available Balance : 3352420.5</t>
  </si>
  <si>
    <t>33195818</t>
  </si>
  <si>
    <t>PGTEFT3378</t>
  </si>
  <si>
    <t>PGTEFT3378          TRAINEE ALLOWANCE</t>
  </si>
  <si>
    <t>33195682</t>
  </si>
  <si>
    <t>ATM, ITB &amp; KL DANNY TAN LEE KEONG</t>
  </si>
  <si>
    <t>PGTEFT3380</t>
  </si>
  <si>
    <t>33195867</t>
  </si>
  <si>
    <t>PGTEFT3377</t>
  </si>
  <si>
    <t>PGTEFT3377          CLEANING SERVICES</t>
  </si>
  <si>
    <t>33195757</t>
  </si>
  <si>
    <t>PCET &amp; PMED JUL'18 TAN SEANG AUN</t>
  </si>
  <si>
    <t>PGTEFT3379</t>
  </si>
  <si>
    <t>HONORARIUM</t>
  </si>
  <si>
    <t>78923626</t>
  </si>
  <si>
    <t>35012651</t>
  </si>
  <si>
    <t>300033119200</t>
  </si>
  <si>
    <t>U2018073100617 RTB1807300033119200.TXT</t>
  </si>
  <si>
    <t>1807300033119200</t>
  </si>
  <si>
    <t>33116802</t>
  </si>
  <si>
    <t>CAR REPAIR PJP1311 OOI CHOK YAN</t>
  </si>
  <si>
    <t>PGTEFT3372</t>
  </si>
  <si>
    <t>33116032</t>
  </si>
  <si>
    <t>PGTEFT3374</t>
  </si>
  <si>
    <t>IV-0032542</t>
  </si>
  <si>
    <t>PGTEFT3374          IV-0032542</t>
  </si>
  <si>
    <t>33117048</t>
  </si>
  <si>
    <t>NICHE FORTE COMMUNIC</t>
  </si>
  <si>
    <t>PGTEFT3371</t>
  </si>
  <si>
    <t>333-18</t>
  </si>
  <si>
    <t>PGTEFT3371          333-18</t>
  </si>
  <si>
    <t>33116646</t>
  </si>
  <si>
    <t>PGTEFT3373</t>
  </si>
  <si>
    <t>INV152298 152299</t>
  </si>
  <si>
    <t>PGTEFT3373          INV152298 152299</t>
  </si>
  <si>
    <t>33115882</t>
  </si>
  <si>
    <t>GUIDE FEE 10/7 TOH KIM HOCK</t>
  </si>
  <si>
    <t>PGTEFT3375</t>
  </si>
  <si>
    <t>INV160T</t>
  </si>
  <si>
    <t>33118338</t>
  </si>
  <si>
    <t>HANA TOUR SERVICE (M</t>
  </si>
  <si>
    <t>PGTEFT3367</t>
  </si>
  <si>
    <t>B179551</t>
  </si>
  <si>
    <t>PGTEFT3367          B179551</t>
  </si>
  <si>
    <t>33119055</t>
  </si>
  <si>
    <t>PGTEFT3363</t>
  </si>
  <si>
    <t>INV00048886</t>
  </si>
  <si>
    <t>PGTEFT3363          INV00048886</t>
  </si>
  <si>
    <t>33118706</t>
  </si>
  <si>
    <t>DSOP OFFICE SYSTEM &amp;</t>
  </si>
  <si>
    <t>PGTEFT3365</t>
  </si>
  <si>
    <t>INV202477 INV203321</t>
  </si>
  <si>
    <t>PGTEFT3365          INV202477 INV203321</t>
  </si>
  <si>
    <t>33117233</t>
  </si>
  <si>
    <t>SNACKS, FAREWELL LUN LIM HOOI LENG</t>
  </si>
  <si>
    <t>PGTEFT3369</t>
  </si>
  <si>
    <t>33117154</t>
  </si>
  <si>
    <t>INV19591</t>
  </si>
  <si>
    <t>PGTEFT3380          INV19591</t>
  </si>
  <si>
    <t>33117360</t>
  </si>
  <si>
    <t>IMAGE FARM PRODUCTIO</t>
  </si>
  <si>
    <t>PGTEFT3368</t>
  </si>
  <si>
    <t>IV-0992</t>
  </si>
  <si>
    <t>PGTEFT3368          IV-0992</t>
  </si>
  <si>
    <t>33118593</t>
  </si>
  <si>
    <t>ET HOSPITALITY VENTU</t>
  </si>
  <si>
    <t>PGTEFT3366</t>
  </si>
  <si>
    <t>12018GST1806</t>
  </si>
  <si>
    <t>PGTEFT3366          12018GST1806</t>
  </si>
  <si>
    <t>33119123</t>
  </si>
  <si>
    <t>ADR &amp; JNA VENTURE</t>
  </si>
  <si>
    <t>PGTEFT3362</t>
  </si>
  <si>
    <t>INV00022812</t>
  </si>
  <si>
    <t>PGTEFT3362          INV00022812</t>
  </si>
  <si>
    <t>33118959</t>
  </si>
  <si>
    <t>PGTEFT3364</t>
  </si>
  <si>
    <t>3333664 3333681</t>
  </si>
  <si>
    <t>PGTEFT3364          3333664 3333681</t>
  </si>
  <si>
    <t>201807270033005374</t>
  </si>
  <si>
    <t>PGTEFT3361</t>
  </si>
  <si>
    <t>CREDIT CARD - JULY</t>
  </si>
  <si>
    <t>00196329</t>
  </si>
  <si>
    <t>20008260718T0140</t>
  </si>
  <si>
    <t>20008260718T0137</t>
  </si>
  <si>
    <t>20008260718T0135</t>
  </si>
  <si>
    <t>20008260718T0132</t>
  </si>
  <si>
    <t>20008260718T0129</t>
  </si>
  <si>
    <t>00688241</t>
  </si>
  <si>
    <t>00688240</t>
  </si>
  <si>
    <t>00688239</t>
  </si>
  <si>
    <t>00688238</t>
  </si>
  <si>
    <t>00688237</t>
  </si>
  <si>
    <t>00688236</t>
  </si>
  <si>
    <t>00688235</t>
  </si>
  <si>
    <t>00688234</t>
  </si>
  <si>
    <t>CLRG CHQ RTN</t>
  </si>
  <si>
    <t>43</t>
  </si>
  <si>
    <t>00688247</t>
  </si>
  <si>
    <t>00688246</t>
  </si>
  <si>
    <t>00688245</t>
  </si>
  <si>
    <t>00688244</t>
  </si>
  <si>
    <t>00688243</t>
  </si>
  <si>
    <t>00688230</t>
  </si>
  <si>
    <t>CASH DEPOSIT</t>
  </si>
  <si>
    <t>48596421</t>
  </si>
  <si>
    <t>CASH</t>
  </si>
  <si>
    <t>32595651</t>
  </si>
  <si>
    <t>PCET MANDALAY TAN SEANG AUN</t>
  </si>
  <si>
    <t>PGTEFT3356</t>
  </si>
  <si>
    <t>32595531</t>
  </si>
  <si>
    <t>PGTEFT3358</t>
  </si>
  <si>
    <t>INV18-036</t>
  </si>
  <si>
    <t>PGTEFT3358          INV18-036</t>
  </si>
  <si>
    <t>2018071731070998</t>
  </si>
  <si>
    <t>2018071731070996</t>
  </si>
  <si>
    <t>32595384</t>
  </si>
  <si>
    <t>PGTEFT3360</t>
  </si>
  <si>
    <t>PGTEFT3360          ACC1618-3542</t>
  </si>
  <si>
    <t>32595590</t>
  </si>
  <si>
    <t>PGTEFT3357</t>
  </si>
  <si>
    <t>PGTEFT3357          ACC233560</t>
  </si>
  <si>
    <t>2018071731070986</t>
  </si>
  <si>
    <t>32595721</t>
  </si>
  <si>
    <t>GUIDE FEE JUNE&amp;JULY TOH KIM HOCK</t>
  </si>
  <si>
    <t>PGTEFT3355</t>
  </si>
  <si>
    <t>INV157T INV158T</t>
  </si>
  <si>
    <t>32596705</t>
  </si>
  <si>
    <t>PGTEFT3343</t>
  </si>
  <si>
    <t>INV19580</t>
  </si>
  <si>
    <t>PGTEFT3343          INV19580</t>
  </si>
  <si>
    <t>32596158</t>
  </si>
  <si>
    <t>PAM MBPP LICENSE NG CHUN HOW</t>
  </si>
  <si>
    <t>PGTEFT3347</t>
  </si>
  <si>
    <t>32596520</t>
  </si>
  <si>
    <t>MAGNIFICENT EMPIRE S</t>
  </si>
  <si>
    <t>PGTEFT3345</t>
  </si>
  <si>
    <t>INMEI1807005-010</t>
  </si>
  <si>
    <t>PGTEFT3345          INMEI1807005-010</t>
  </si>
  <si>
    <t>2018071731070498</t>
  </si>
  <si>
    <t>32595947</t>
  </si>
  <si>
    <t>LED-JULY PERFORMANCE PLUS MA</t>
  </si>
  <si>
    <t>PGTEFT3349</t>
  </si>
  <si>
    <t>PPM18-07-01</t>
  </si>
  <si>
    <t>32596468</t>
  </si>
  <si>
    <t>MSIG INSURANCE (MALA</t>
  </si>
  <si>
    <t>PGTEFT3346</t>
  </si>
  <si>
    <t>TRAVEL INSURANCE</t>
  </si>
  <si>
    <t>PGTEFT3346          TRAVEL INSURANCE</t>
  </si>
  <si>
    <t>32597628</t>
  </si>
  <si>
    <t>LIM WOI HONG</t>
  </si>
  <si>
    <t>PGTEFT3342</t>
  </si>
  <si>
    <t>INV00010</t>
  </si>
  <si>
    <t>PGTEFT3342          INV00010</t>
  </si>
  <si>
    <t>32595987</t>
  </si>
  <si>
    <t>PGTEFT3348</t>
  </si>
  <si>
    <t>INV474</t>
  </si>
  <si>
    <t>PGTEFT3348          INV474</t>
  </si>
  <si>
    <t>32595867</t>
  </si>
  <si>
    <t>PGTEFT3350</t>
  </si>
  <si>
    <t>INV152291</t>
  </si>
  <si>
    <t>PGTEFT3350          INV152291</t>
  </si>
  <si>
    <t>32596663</t>
  </si>
  <si>
    <t>ALEXIA LURIA FAM LOCAL CULINARY EXPE</t>
  </si>
  <si>
    <t>PGTEFT3344</t>
  </si>
  <si>
    <t>FA180700495</t>
  </si>
  <si>
    <t>32598045</t>
  </si>
  <si>
    <t>PGTEFT3337</t>
  </si>
  <si>
    <t>PGT06-18INV</t>
  </si>
  <si>
    <t>PGTEFT3337          PGT06-18INV</t>
  </si>
  <si>
    <t>32598766</t>
  </si>
  <si>
    <t>PGTEFT3359</t>
  </si>
  <si>
    <t>IV-139075</t>
  </si>
  <si>
    <t>PGTEFT3359          IV-139075</t>
  </si>
  <si>
    <t>32597890</t>
  </si>
  <si>
    <t>98888000316057 FUJI XEROX ASIA PAC</t>
  </si>
  <si>
    <t>98888000316057 PGTEF</t>
  </si>
  <si>
    <t>32598093</t>
  </si>
  <si>
    <t>PGTEFT3336</t>
  </si>
  <si>
    <t>2018-00028</t>
  </si>
  <si>
    <t>PGTEFT3336          2018-00028</t>
  </si>
  <si>
    <t>32598836</t>
  </si>
  <si>
    <t>PGTEFT3340</t>
  </si>
  <si>
    <t>HPR0016067</t>
  </si>
  <si>
    <t>PGTEFT3340          HPR0016067</t>
  </si>
  <si>
    <t>2018071731069806</t>
  </si>
  <si>
    <t>32597992</t>
  </si>
  <si>
    <t>PGTEFT3338</t>
  </si>
  <si>
    <t>INV00011352</t>
  </si>
  <si>
    <t>PGTEFT3338          INV00011352</t>
  </si>
  <si>
    <t>32598370</t>
  </si>
  <si>
    <t>CHONG LEE CHOO</t>
  </si>
  <si>
    <t>PGTEFT3334</t>
  </si>
  <si>
    <t>CUN-2018</t>
  </si>
  <si>
    <t>PGTEFT3334          CUN-2018</t>
  </si>
  <si>
    <t>32597705</t>
  </si>
  <si>
    <t>PGTEFT3341</t>
  </si>
  <si>
    <t>KKCN18-IV029</t>
  </si>
  <si>
    <t>PGTEFT3341          KKCN18-IV029</t>
  </si>
  <si>
    <t>32598472</t>
  </si>
  <si>
    <t>A081418 A081741 BUTTERFLY HOUSE (PG</t>
  </si>
  <si>
    <t>PGTEFT3333</t>
  </si>
  <si>
    <t>B040249 A081271</t>
  </si>
  <si>
    <t>/ROC/2018024100P103 BENDAHARI NEGERI PUL</t>
  </si>
  <si>
    <t>2018024100P1038661</t>
  </si>
  <si>
    <t>283518842</t>
  </si>
  <si>
    <t>00722130718T5493                       P</t>
  </si>
  <si>
    <t>283518474</t>
  </si>
  <si>
    <t>00722130718T5436                       S</t>
  </si>
  <si>
    <t>00688233</t>
  </si>
  <si>
    <t>00688232</t>
  </si>
  <si>
    <t>43777617</t>
  </si>
  <si>
    <t>2018071229753309</t>
  </si>
  <si>
    <t>Pay to EPF: 16677434</t>
  </si>
  <si>
    <t>2018024100P1037224</t>
  </si>
  <si>
    <t>00688231</t>
  </si>
  <si>
    <t>071029041493</t>
  </si>
  <si>
    <t>Pay to SOCSO-ACCT2: 980710138939</t>
  </si>
  <si>
    <t>2018071029041482</t>
  </si>
  <si>
    <t>Pay to IRD-PCB: 0394937303</t>
  </si>
  <si>
    <t>32127633</t>
  </si>
  <si>
    <t>PGTEFT3313</t>
  </si>
  <si>
    <t>KKCN18-IV022</t>
  </si>
  <si>
    <t>PGTEFT3313          KKCN18-IV022</t>
  </si>
  <si>
    <t>32121526</t>
  </si>
  <si>
    <t>YEAP PENG HOE</t>
  </si>
  <si>
    <t>PGTEFT3332</t>
  </si>
  <si>
    <t>INV007-2018</t>
  </si>
  <si>
    <t>PGTEFT3332          INV007-2018</t>
  </si>
  <si>
    <t>32128878</t>
  </si>
  <si>
    <t>PGTEFT3302</t>
  </si>
  <si>
    <t>INV00048585</t>
  </si>
  <si>
    <t>PGTEFT3302          INV00048585</t>
  </si>
  <si>
    <t>32126371</t>
  </si>
  <si>
    <t>PGTEFT3322</t>
  </si>
  <si>
    <t>INV152224 152247</t>
  </si>
  <si>
    <t>PGTEFT3322          INV152224 152247</t>
  </si>
  <si>
    <t>32128483</t>
  </si>
  <si>
    <t>PGTEFT3306</t>
  </si>
  <si>
    <t>INV2018-00024</t>
  </si>
  <si>
    <t>PGTEFT3306          INV2018-00024</t>
  </si>
  <si>
    <t>32121631</t>
  </si>
  <si>
    <t>PGTEFT3331</t>
  </si>
  <si>
    <t>INV16JU2018</t>
  </si>
  <si>
    <t>PGTEFT3331          INV16JU2018</t>
  </si>
  <si>
    <t>32125313</t>
  </si>
  <si>
    <t>PGTEFT3326</t>
  </si>
  <si>
    <t>PGTEFT3326          WELCOMING RECEPTION</t>
  </si>
  <si>
    <t>32127345</t>
  </si>
  <si>
    <t>PGTEFT3315</t>
  </si>
  <si>
    <t>INV19587 19588</t>
  </si>
  <si>
    <t>PGTEFT3315          INV19587 19588</t>
  </si>
  <si>
    <t>32128816</t>
  </si>
  <si>
    <t>BOUSTEAD WELD QUAY S</t>
  </si>
  <si>
    <t>PGTEFT3303</t>
  </si>
  <si>
    <t>INV103727</t>
  </si>
  <si>
    <t>PGTEFT3303          INV103727</t>
  </si>
  <si>
    <t>32128756</t>
  </si>
  <si>
    <t>BBWEB SOLUTIONS</t>
  </si>
  <si>
    <t>PGTEFT3304</t>
  </si>
  <si>
    <t>INV2018-27</t>
  </si>
  <si>
    <t>PGTEFT3304          INV2018-27</t>
  </si>
  <si>
    <t>32127507</t>
  </si>
  <si>
    <t>PGTEFT3314</t>
  </si>
  <si>
    <t>PGTEFT3314          PHOTOGRAPHY SERVICES</t>
  </si>
  <si>
    <t>32127102</t>
  </si>
  <si>
    <t>TM ISTANBUL FAM LIM YEE HARNG</t>
  </si>
  <si>
    <t>PGTEFT3316</t>
  </si>
  <si>
    <t>32121729</t>
  </si>
  <si>
    <t>GUIDE FEE FOR JUNE TOH KIM HOCK</t>
  </si>
  <si>
    <t>PGTEFT3330</t>
  </si>
  <si>
    <t>INV155T2018</t>
  </si>
  <si>
    <t>32128093</t>
  </si>
  <si>
    <t>PAYROLL JUNE'18 CORPORATENET ADVISO</t>
  </si>
  <si>
    <t>PGTEFT3309</t>
  </si>
  <si>
    <t>CA18-0082</t>
  </si>
  <si>
    <t>32126863</t>
  </si>
  <si>
    <t>PG AIDILFITRI &amp; PAM MOHAMMAD ASHRAF BIN</t>
  </si>
  <si>
    <t>PGTEFT3318</t>
  </si>
  <si>
    <t>COPYWRITING</t>
  </si>
  <si>
    <t>32126449</t>
  </si>
  <si>
    <t>PGTEFT3321</t>
  </si>
  <si>
    <t>PGTEFT3321          WELCOMING RECEPTION</t>
  </si>
  <si>
    <t>32128702</t>
  </si>
  <si>
    <t>PGTEFT3305</t>
  </si>
  <si>
    <t>JN0443 JN0444</t>
  </si>
  <si>
    <t>PGTEFT3305          JN0443 JN0444</t>
  </si>
  <si>
    <t>32122211</t>
  </si>
  <si>
    <t>PGTEFT3329</t>
  </si>
  <si>
    <t>INV07395937</t>
  </si>
  <si>
    <t>PGTEFT3329          INV07395937</t>
  </si>
  <si>
    <t>32128003</t>
  </si>
  <si>
    <t>ERNST &amp; YOUNG TAX CO</t>
  </si>
  <si>
    <t>PGTEFT3310</t>
  </si>
  <si>
    <t>MY00200220356</t>
  </si>
  <si>
    <t>PGTEFT3310          MY00200220356</t>
  </si>
  <si>
    <t>32126656</t>
  </si>
  <si>
    <t>PGTEFT3319</t>
  </si>
  <si>
    <t>NV2300</t>
  </si>
  <si>
    <t>PGTEFT3319          NV2300</t>
  </si>
  <si>
    <t>32126303</t>
  </si>
  <si>
    <t>PGTEFT3323</t>
  </si>
  <si>
    <t>INV1637</t>
  </si>
  <si>
    <t>PGTEFT3323          INV1637</t>
  </si>
  <si>
    <t>32127723</t>
  </si>
  <si>
    <t>PGTEFT3312</t>
  </si>
  <si>
    <t>HPT0015854</t>
  </si>
  <si>
    <t>PGTEFT3312          HPT0015854</t>
  </si>
  <si>
    <t>32126242</t>
  </si>
  <si>
    <t>PGTEFT3324</t>
  </si>
  <si>
    <t>INV30001213</t>
  </si>
  <si>
    <t>PGTEFT3324          INV30001213</t>
  </si>
  <si>
    <t>32122421</t>
  </si>
  <si>
    <t>TM ISTANBUL FAM TOUR &amp; INCENTIVE TR</t>
  </si>
  <si>
    <t>PGTEFT3328</t>
  </si>
  <si>
    <t>INV00020251</t>
  </si>
  <si>
    <t>32127045</t>
  </si>
  <si>
    <t>SNACKS,CAR REPAIR &amp;  LIM HOOI LENG</t>
  </si>
  <si>
    <t>PGTEFT3317</t>
  </si>
  <si>
    <t>32128420</t>
  </si>
  <si>
    <t>PGTEFT3307</t>
  </si>
  <si>
    <t>INV00011187</t>
  </si>
  <si>
    <t>PGTEFT3307          INV00011187</t>
  </si>
  <si>
    <t>32125212</t>
  </si>
  <si>
    <t>PGTEFT3327</t>
  </si>
  <si>
    <t>INV18-034</t>
  </si>
  <si>
    <t>PGTEFT3327          INV18-034</t>
  </si>
  <si>
    <t>32128348</t>
  </si>
  <si>
    <t>COPTHORNE ORCHID PEN</t>
  </si>
  <si>
    <t>PGTEFT3308</t>
  </si>
  <si>
    <t>072-2017-10000042</t>
  </si>
  <si>
    <t>PGTEFT3308          072-2017-10000042</t>
  </si>
  <si>
    <t>32126591</t>
  </si>
  <si>
    <t>AA HANOI,ITB,HANATOU OOI CHOK YAN</t>
  </si>
  <si>
    <t>PGTEFT3320</t>
  </si>
  <si>
    <t>32126021</t>
  </si>
  <si>
    <t>MANDALAY TAN SEANG AUN</t>
  </si>
  <si>
    <t>PGTEFT3325</t>
  </si>
  <si>
    <t>32143977</t>
  </si>
  <si>
    <t>PPB GROUP BERHAD</t>
  </si>
  <si>
    <t>PGTEFT3298</t>
  </si>
  <si>
    <t>PGT RENTAL</t>
  </si>
  <si>
    <t>PGTEFT3298          PGT RENTAL</t>
  </si>
  <si>
    <t>00688228</t>
  </si>
  <si>
    <t>00688227</t>
  </si>
  <si>
    <t>00688226</t>
  </si>
  <si>
    <t>69690535</t>
  </si>
  <si>
    <t>31936617</t>
  </si>
  <si>
    <t>PGTEFT3295</t>
  </si>
  <si>
    <t>PGTEFT3295          CLEANING SERVICES</t>
  </si>
  <si>
    <t>31958978</t>
  </si>
  <si>
    <t>PGTEFT3297</t>
  </si>
  <si>
    <t>31959324</t>
  </si>
  <si>
    <t>CP204 YE2018 ANSURAN AKAUN KJAAN MSIA PU</t>
  </si>
  <si>
    <t>PGTEFT3300</t>
  </si>
  <si>
    <t>31965171</t>
  </si>
  <si>
    <t>PGTEFT3301</t>
  </si>
  <si>
    <t>BM-180602</t>
  </si>
  <si>
    <t>PGTEFT3301          BM-180602</t>
  </si>
  <si>
    <t>31959137</t>
  </si>
  <si>
    <t>PGTEFT3293</t>
  </si>
  <si>
    <t>PGTEFT3293          PTPTN LOAN</t>
  </si>
  <si>
    <t>31936601</t>
  </si>
  <si>
    <t>PGTEFT3296</t>
  </si>
  <si>
    <t>PGTEFT3296          TRAINEE ALLOWANCE</t>
  </si>
  <si>
    <t>Period : 01-08-2018 - 31-08-2018</t>
  </si>
  <si>
    <t>Opening Available Balance : 3352420.5</t>
  </si>
  <si>
    <t>Closing Available Balance : 2456290.3</t>
  </si>
  <si>
    <t>34526981</t>
  </si>
  <si>
    <t>PGTEFT3457</t>
  </si>
  <si>
    <t>PGTEFT3457          TRAINEE ALLOWANCE</t>
  </si>
  <si>
    <t>34526873</t>
  </si>
  <si>
    <t>PGTEFT3458</t>
  </si>
  <si>
    <t>HONORARIUM-AUG18</t>
  </si>
  <si>
    <t>083164568807</t>
  </si>
  <si>
    <t>Pay to SOCSO-ACCT2: 980829309357</t>
  </si>
  <si>
    <t>34528171</t>
  </si>
  <si>
    <t>PGTEFT3459</t>
  </si>
  <si>
    <t>BM-180804</t>
  </si>
  <si>
    <t>PGTEFT3459          BM-180804</t>
  </si>
  <si>
    <t>38260944</t>
  </si>
  <si>
    <t>280034354910</t>
  </si>
  <si>
    <t>U2018083000478 RTB1808280034354910.TXT</t>
  </si>
  <si>
    <t>1808280034354910</t>
  </si>
  <si>
    <t>2018083064538321</t>
  </si>
  <si>
    <t>04009235</t>
  </si>
  <si>
    <t>00205329</t>
  </si>
  <si>
    <t>200037088</t>
  </si>
  <si>
    <t>20008290818T0103</t>
  </si>
  <si>
    <t>200037087</t>
  </si>
  <si>
    <t>20008290818T0101    /ACC/PLS DO NOT CON</t>
  </si>
  <si>
    <t>2018082943051972</t>
  </si>
  <si>
    <t>00688266</t>
  </si>
  <si>
    <t>00688265</t>
  </si>
  <si>
    <t>00688262</t>
  </si>
  <si>
    <t>00688260</t>
  </si>
  <si>
    <t>34292658</t>
  </si>
  <si>
    <t>REFRESHMENT-14/8 TAN SEANG AUN</t>
  </si>
  <si>
    <t>PGTEFT3450</t>
  </si>
  <si>
    <t>34292867</t>
  </si>
  <si>
    <t>STUDIO HOWARD</t>
  </si>
  <si>
    <t>PGTEFT3448</t>
  </si>
  <si>
    <t>SHB00675</t>
  </si>
  <si>
    <t>PGTEFT3448          SHB00675</t>
  </si>
  <si>
    <t>34292730</t>
  </si>
  <si>
    <t>PGTEFT3449</t>
  </si>
  <si>
    <t>PGTEFT3449          ACC233560</t>
  </si>
  <si>
    <t>34292516</t>
  </si>
  <si>
    <t>PGTEFT3452</t>
  </si>
  <si>
    <t>INV10814-816</t>
  </si>
  <si>
    <t>PGTEFT3452          INV10814-816</t>
  </si>
  <si>
    <t>34292984</t>
  </si>
  <si>
    <t>PGTEFT3447</t>
  </si>
  <si>
    <t>INV152383-385</t>
  </si>
  <si>
    <t>PGTEFT3447          INV152383-385</t>
  </si>
  <si>
    <t>34292590</t>
  </si>
  <si>
    <t>GUIDE FEE AUG TOH KIM HOCK</t>
  </si>
  <si>
    <t>PGTEFT3451</t>
  </si>
  <si>
    <t>INV162T-2018</t>
  </si>
  <si>
    <t>34293838</t>
  </si>
  <si>
    <t>PGTEFT3440</t>
  </si>
  <si>
    <t>P16830 P16897</t>
  </si>
  <si>
    <t>PGTEFT3440          P16830 P16897</t>
  </si>
  <si>
    <t>34293386</t>
  </si>
  <si>
    <t>MAS UK CHEF JIMMY FA LOCAL CULINARY EXPE</t>
  </si>
  <si>
    <t>PGTEFT3444</t>
  </si>
  <si>
    <t>FA1808-0517</t>
  </si>
  <si>
    <t>34293983</t>
  </si>
  <si>
    <t>COPYWRITING FLATPLAN PUBLISHER</t>
  </si>
  <si>
    <t>PGTEFT3439</t>
  </si>
  <si>
    <t>Y18-INV18</t>
  </si>
  <si>
    <t>34293486</t>
  </si>
  <si>
    <t>SNACKS, BIRTHDAY&amp;FAR LIM HOOI LENG</t>
  </si>
  <si>
    <t>PGTEFT3443</t>
  </si>
  <si>
    <t>34294040</t>
  </si>
  <si>
    <t>PGTEFT3437</t>
  </si>
  <si>
    <t>PGT07-18INV</t>
  </si>
  <si>
    <t>PGTEFT3437          PGT07-18INV</t>
  </si>
  <si>
    <t>34293226</t>
  </si>
  <si>
    <t>PGTEFT3446</t>
  </si>
  <si>
    <t>JULY2018</t>
  </si>
  <si>
    <t>PGTEFT3446          JULY2018</t>
  </si>
  <si>
    <t>34293569</t>
  </si>
  <si>
    <t>PGTEFT3442</t>
  </si>
  <si>
    <t>HPT0016550</t>
  </si>
  <si>
    <t>PGTEFT3442          HPT0016550</t>
  </si>
  <si>
    <t>34294121</t>
  </si>
  <si>
    <t>PGTEFT3436</t>
  </si>
  <si>
    <t>INV00049641</t>
  </si>
  <si>
    <t>PGTEFT3436          INV00049641</t>
  </si>
  <si>
    <t>34293272</t>
  </si>
  <si>
    <t>PGTEFT3445</t>
  </si>
  <si>
    <t>TW TACTICAL CAMPAIGN</t>
  </si>
  <si>
    <t>PGTEFT3445          TW TACTICAL CAMPAIGN</t>
  </si>
  <si>
    <t>34293769</t>
  </si>
  <si>
    <t>00688263</t>
  </si>
  <si>
    <t>00688258</t>
  </si>
  <si>
    <t>201808230034179167</t>
  </si>
  <si>
    <t>PGTEFT3438</t>
  </si>
  <si>
    <t>CREDIT CARD</t>
  </si>
  <si>
    <t>318235712118108</t>
  </si>
  <si>
    <t>ASIA GARDEN SDN BH</t>
  </si>
  <si>
    <t>CHANGE OF SIGNATORIES / CONDITIONS CHARG</t>
  </si>
  <si>
    <t>03674495</t>
  </si>
  <si>
    <t>ADD SIGNATURE OR MANDATE</t>
  </si>
  <si>
    <t>583642442</t>
  </si>
  <si>
    <t>09825210818T5567                       I</t>
  </si>
  <si>
    <t>34117153</t>
  </si>
  <si>
    <t>PGTEFT3435</t>
  </si>
  <si>
    <t>PGTEFT3435          ACC1618-3542</t>
  </si>
  <si>
    <t>34118083</t>
  </si>
  <si>
    <t>PGTEFT3426</t>
  </si>
  <si>
    <t>INV049383 049424</t>
  </si>
  <si>
    <t>PGTEFT3426          INV049383 049424</t>
  </si>
  <si>
    <t>34117549</t>
  </si>
  <si>
    <t>PGTEFT3431</t>
  </si>
  <si>
    <t>INV491</t>
  </si>
  <si>
    <t>PGTEFT3431          INV491</t>
  </si>
  <si>
    <t>34117374</t>
  </si>
  <si>
    <t>PGTEFT3433</t>
  </si>
  <si>
    <t>INV0649</t>
  </si>
  <si>
    <t>PGTEFT3433          INV0649</t>
  </si>
  <si>
    <t>2018082141063317</t>
  </si>
  <si>
    <t>34117705</t>
  </si>
  <si>
    <t>PGTEFT3429</t>
  </si>
  <si>
    <t>INV19595</t>
  </si>
  <si>
    <t>PGTEFT3429          INV19595</t>
  </si>
  <si>
    <t>34118128</t>
  </si>
  <si>
    <t>WELCOME REEPTION-AUG AZFALYZA BINTI ABDU</t>
  </si>
  <si>
    <t>PGTEFT3425</t>
  </si>
  <si>
    <t>34117633</t>
  </si>
  <si>
    <t>ME SKETCH ENTERPRISE</t>
  </si>
  <si>
    <t>PGTEFT3430</t>
  </si>
  <si>
    <t>PGT-INV02-18</t>
  </si>
  <si>
    <t>PGTEFT3430          PGT-INV02-18</t>
  </si>
  <si>
    <t>34118004</t>
  </si>
  <si>
    <t>043480,084488,036440 BUTTERFLY HOUSE (PG</t>
  </si>
  <si>
    <t>PGTEFT3427</t>
  </si>
  <si>
    <t>TAIWAN TAC CAMPAIGN</t>
  </si>
  <si>
    <t>34117218</t>
  </si>
  <si>
    <t>ITE &amp; AA BAZAAR THOY SIEW PING</t>
  </si>
  <si>
    <t>PGTEF3434</t>
  </si>
  <si>
    <t>34117475</t>
  </si>
  <si>
    <t>SECRETARIAL SERVICE  PDC PREMIER HOLDING</t>
  </si>
  <si>
    <t>PGTEFT3432</t>
  </si>
  <si>
    <t>INV0000767</t>
  </si>
  <si>
    <t>32724027</t>
  </si>
  <si>
    <t>91446327</t>
  </si>
  <si>
    <t>283632498</t>
  </si>
  <si>
    <t>00722170818T5558   /FULLPAY/           P</t>
  </si>
  <si>
    <t>283632229</t>
  </si>
  <si>
    <t>00722170818T5499   /ACC/PLS DO NOT CONVU</t>
  </si>
  <si>
    <t>200206494</t>
  </si>
  <si>
    <t>20008160818T0041</t>
  </si>
  <si>
    <t>33871772</t>
  </si>
  <si>
    <t>THOY SIEW PING</t>
  </si>
  <si>
    <t>PGTEFT3424</t>
  </si>
  <si>
    <t>HK ADVANCE</t>
  </si>
  <si>
    <t>/ROC/2018024100P104 BENDAHARI NEGERI PUL</t>
  </si>
  <si>
    <t>2018024100P1049000</t>
  </si>
  <si>
    <t>2018024100P1049001</t>
  </si>
  <si>
    <t>2018024100P1049002</t>
  </si>
  <si>
    <t>00688257</t>
  </si>
  <si>
    <t>00688252</t>
  </si>
  <si>
    <t>33781590</t>
  </si>
  <si>
    <t>HK &amp; JAKARTA YOON PAULINE</t>
  </si>
  <si>
    <t>PGTEFT3423</t>
  </si>
  <si>
    <t>33781701</t>
  </si>
  <si>
    <t>PGTEFT3422</t>
  </si>
  <si>
    <t>INV18-040 041</t>
  </si>
  <si>
    <t>PGTEFT3422          INV18-040 041</t>
  </si>
  <si>
    <t>2018081338936072</t>
  </si>
  <si>
    <t>33782041</t>
  </si>
  <si>
    <t>PGTEFT3418</t>
  </si>
  <si>
    <t>IV-0032882 IV0030485</t>
  </si>
  <si>
    <t>PGTEFT3418          IV-0032882 IV0030485</t>
  </si>
  <si>
    <t>33782467</t>
  </si>
  <si>
    <t>PGTEFT3415</t>
  </si>
  <si>
    <t>INV07418139</t>
  </si>
  <si>
    <t>PGTEFT3415          INV07418139</t>
  </si>
  <si>
    <t>2018081338936067</t>
  </si>
  <si>
    <t>33782673</t>
  </si>
  <si>
    <t>VIDEO REVISION RISING ONE MEDIA SD</t>
  </si>
  <si>
    <t>PGTEFT3413</t>
  </si>
  <si>
    <t>INN14327</t>
  </si>
  <si>
    <t>33782112</t>
  </si>
  <si>
    <t>GUIDE FEE FOR JUL&amp;AU TOH KIM HOCK</t>
  </si>
  <si>
    <t>PGTEFT3417</t>
  </si>
  <si>
    <t>INV160T 161T</t>
  </si>
  <si>
    <t>33782525</t>
  </si>
  <si>
    <t>PGTEFT3414</t>
  </si>
  <si>
    <t>INV152360</t>
  </si>
  <si>
    <t>PGTEFT3414          INV152360</t>
  </si>
  <si>
    <t>2018081338936059</t>
  </si>
  <si>
    <t>33782802</t>
  </si>
  <si>
    <t>PGTEFT3412</t>
  </si>
  <si>
    <t>GL1870245 GL1872111</t>
  </si>
  <si>
    <t>PGTEFT3412          GL1870245 GL1872111</t>
  </si>
  <si>
    <t>33782340</t>
  </si>
  <si>
    <t>PGTEFT3416</t>
  </si>
  <si>
    <t>IV-139995</t>
  </si>
  <si>
    <t>PGTEFT3416          IV-139995</t>
  </si>
  <si>
    <t>33784128</t>
  </si>
  <si>
    <t>PGTEFT3402</t>
  </si>
  <si>
    <t>INV744041</t>
  </si>
  <si>
    <t>PGTEFT3402          INV744041</t>
  </si>
  <si>
    <t>33782884</t>
  </si>
  <si>
    <t>LED AUG'18 PERFORMANCE PLUS MA</t>
  </si>
  <si>
    <t>PGTEFT3411</t>
  </si>
  <si>
    <t>PPM18-08-02</t>
  </si>
  <si>
    <t>33783175</t>
  </si>
  <si>
    <t>MARK NG TI CHIEN</t>
  </si>
  <si>
    <t>PGTEFT3410</t>
  </si>
  <si>
    <t>INV-000019</t>
  </si>
  <si>
    <t>PGTEFT3410          INV-000019</t>
  </si>
  <si>
    <t>33783889</t>
  </si>
  <si>
    <t>PGTEFT3404</t>
  </si>
  <si>
    <t>12018GST2176 5056</t>
  </si>
  <si>
    <t>PGTEFT3404          12018GST2176 5056</t>
  </si>
  <si>
    <t>33784036</t>
  </si>
  <si>
    <t>PGTEFT3403</t>
  </si>
  <si>
    <t>INV205091</t>
  </si>
  <si>
    <t>PGTEFT3403          INV205091</t>
  </si>
  <si>
    <t>33784408</t>
  </si>
  <si>
    <t>PGTEFT3401</t>
  </si>
  <si>
    <t>INV00049495</t>
  </si>
  <si>
    <t>PGTEFT3401          INV00049495</t>
  </si>
  <si>
    <t>33783633</t>
  </si>
  <si>
    <t>HWA YIK TOUR &amp; TRAVE</t>
  </si>
  <si>
    <t>PGTEFT3406</t>
  </si>
  <si>
    <t>DIHYT5178 5179</t>
  </si>
  <si>
    <t>PGTEFT3406          DIHYT5178 5179</t>
  </si>
  <si>
    <t>33783235</t>
  </si>
  <si>
    <t>PGTEFT3409</t>
  </si>
  <si>
    <t>INV19593</t>
  </si>
  <si>
    <t>PGTEFT3409          INV19593</t>
  </si>
  <si>
    <t>33783733</t>
  </si>
  <si>
    <t>ELITE TRANSLATION AS</t>
  </si>
  <si>
    <t>PGTEFT3405</t>
  </si>
  <si>
    <t>S1808035</t>
  </si>
  <si>
    <t>PGTEFT3405          S1808035</t>
  </si>
  <si>
    <t>33783521</t>
  </si>
  <si>
    <t>PGTEFT3407</t>
  </si>
  <si>
    <t>IV-1008</t>
  </si>
  <si>
    <t>PGTEFT3407          IV-1008</t>
  </si>
  <si>
    <t>241557002</t>
  </si>
  <si>
    <t>20008130818T0083</t>
  </si>
  <si>
    <t>00688250</t>
  </si>
  <si>
    <t>00688256</t>
  </si>
  <si>
    <t>00688255</t>
  </si>
  <si>
    <t>283606981</t>
  </si>
  <si>
    <t>00722090818T5748   /ACC/PLEASE DO NOT CI</t>
  </si>
  <si>
    <t>283606924</t>
  </si>
  <si>
    <t>00722090818T5733                       F</t>
  </si>
  <si>
    <t>00688254</t>
  </si>
  <si>
    <t>00688253</t>
  </si>
  <si>
    <t>00688248</t>
  </si>
  <si>
    <t>918220711968481</t>
  </si>
  <si>
    <t>SHANGRI-LA HOTELS</t>
  </si>
  <si>
    <t>CREDIT ADV</t>
  </si>
  <si>
    <t>362001</t>
  </si>
  <si>
    <t>225656214</t>
  </si>
  <si>
    <t>20008070818T0015    /ACC/PLEASE DO NOT</t>
  </si>
  <si>
    <t>00688251</t>
  </si>
  <si>
    <t>33351118</t>
  </si>
  <si>
    <t>PGTEFT3397</t>
  </si>
  <si>
    <t>PGTEFT3397          ACC233560</t>
  </si>
  <si>
    <t>33350786</t>
  </si>
  <si>
    <t>GUIDE FEE JULY TOH KIM HOCK</t>
  </si>
  <si>
    <t>PGTEFT3399</t>
  </si>
  <si>
    <t>INV159T</t>
  </si>
  <si>
    <t>33351397</t>
  </si>
  <si>
    <t>PGTEFT3396</t>
  </si>
  <si>
    <t>INV0635</t>
  </si>
  <si>
    <t>PGTEFT3396          INV0635</t>
  </si>
  <si>
    <t>33350972</t>
  </si>
  <si>
    <t>TA KRAI CAFE SDN BHD</t>
  </si>
  <si>
    <t>PGTEFT3398</t>
  </si>
  <si>
    <t>TK-1807-001</t>
  </si>
  <si>
    <t>PGTEFT3398          TK-1807-001</t>
  </si>
  <si>
    <t>33350255</t>
  </si>
  <si>
    <t>HANATOUR &amp; UOB BKK YOON PAULINE</t>
  </si>
  <si>
    <t>PGTEFT3400</t>
  </si>
  <si>
    <t>33351566</t>
  </si>
  <si>
    <t>PGTEFT3394</t>
  </si>
  <si>
    <t>INV152288 152308</t>
  </si>
  <si>
    <t>PGTEFT3394          INV152288 152308</t>
  </si>
  <si>
    <t>33351741</t>
  </si>
  <si>
    <t>PGTEFT3392</t>
  </si>
  <si>
    <t>INV19592</t>
  </si>
  <si>
    <t>PGTEFT3392          INV19592</t>
  </si>
  <si>
    <t>33351856</t>
  </si>
  <si>
    <t>DISPOSABLE RAINCOAT HOOI CERAMICS &amp; GIF</t>
  </si>
  <si>
    <t>PGTEFT3391</t>
  </si>
  <si>
    <t>INV2902</t>
  </si>
  <si>
    <t>33352442</t>
  </si>
  <si>
    <t>PAYROLL-JUL'18 CORPORATENET ADVISO</t>
  </si>
  <si>
    <t>PGTEFT3389</t>
  </si>
  <si>
    <t>CA-18-0090</t>
  </si>
  <si>
    <t>33352973</t>
  </si>
  <si>
    <t>PGTEFT3387</t>
  </si>
  <si>
    <t>BM-180707</t>
  </si>
  <si>
    <t>PGTEFT3387          BM-180707</t>
  </si>
  <si>
    <t>33351474</t>
  </si>
  <si>
    <t>PGTEFT3395</t>
  </si>
  <si>
    <t>IV-139757</t>
  </si>
  <si>
    <t>PGTEFT3395          IV-139757</t>
  </si>
  <si>
    <t>33352025</t>
  </si>
  <si>
    <t>BUS WRAPPING ELANG WAH SDN. BHD.</t>
  </si>
  <si>
    <t>PGTEFT3390</t>
  </si>
  <si>
    <t>300718</t>
  </si>
  <si>
    <t>33352588</t>
  </si>
  <si>
    <t>PGTEFT3388</t>
  </si>
  <si>
    <t>INV00011455</t>
  </si>
  <si>
    <t>PGTEFT3388          INV00011455</t>
  </si>
  <si>
    <t>33353249</t>
  </si>
  <si>
    <t>DEPOSIT PGT GALLERY TG SOLUTIONS</t>
  </si>
  <si>
    <t>PGTEFT3376</t>
  </si>
  <si>
    <t>I00O1-PGT-2018</t>
  </si>
  <si>
    <t>33296194</t>
  </si>
  <si>
    <t>ANSURANCE KE-7 AKAUN KJAAN MSIA PU</t>
  </si>
  <si>
    <t>33296321</t>
  </si>
  <si>
    <t>PGTEFT3385</t>
  </si>
  <si>
    <t>RENTAL-AUG18</t>
  </si>
  <si>
    <t>PGTEFT3385          RENTAL-AUG18</t>
  </si>
  <si>
    <t>080135393982</t>
  </si>
  <si>
    <t>Pay to SOCSO-ACCT2: 980801206786</t>
  </si>
  <si>
    <t>2018080135394002</t>
  </si>
  <si>
    <t>33229106</t>
  </si>
  <si>
    <t>PGTEFT3384</t>
  </si>
  <si>
    <t>PGTEFT3384          PTPTN LOAN</t>
  </si>
  <si>
    <t>2018080135393944</t>
  </si>
  <si>
    <t>TELEX/FAX CHARGES</t>
  </si>
  <si>
    <t xml:space="preserve">AUTOPAY CHARGES </t>
  </si>
  <si>
    <t>Period : 01-09-2018 - 30-09-2018</t>
  </si>
  <si>
    <t>Opening Available Balance : 2456290.3</t>
  </si>
  <si>
    <t>Closing Available Balance : 1650746.18</t>
  </si>
  <si>
    <t>Pay to SOCSO-ACCT2: 980926409129</t>
  </si>
  <si>
    <t>U2018093000436 RTB1809260035573773.TXT</t>
  </si>
  <si>
    <t>D5996995</t>
  </si>
  <si>
    <t>00722260918T5736                       M</t>
  </si>
  <si>
    <t>20008240918T0063</t>
  </si>
  <si>
    <t>20008240918T0062</t>
  </si>
  <si>
    <t>LOCAL CHQ RTN</t>
  </si>
  <si>
    <t>C:028936 R:053 FORM R/PR REQUIRED/ECM/BO</t>
  </si>
  <si>
    <t>L&amp;O STANDARD SDN BHD</t>
  </si>
  <si>
    <t>PGTEFT3491</t>
  </si>
  <si>
    <t>INV129761</t>
  </si>
  <si>
    <t>PGTEFT3491          INV129761</t>
  </si>
  <si>
    <t>PGTEF3489</t>
  </si>
  <si>
    <t>PGTEF3489           ACC233560</t>
  </si>
  <si>
    <t>PGCC SALES &amp; SERVICE</t>
  </si>
  <si>
    <t>PGTEFT3487</t>
  </si>
  <si>
    <t>INV10349-18 10362-18</t>
  </si>
  <si>
    <t>PGTEFT3487          INV10349-18 10362-18</t>
  </si>
  <si>
    <t>PGTEFT3490</t>
  </si>
  <si>
    <t>INV18-049 050</t>
  </si>
  <si>
    <t>PGTEFT3490          INV18-049 050</t>
  </si>
  <si>
    <t>KL, HK &amp; JAKARTA OOI CHOK YAN</t>
  </si>
  <si>
    <t>PGTEFT3486</t>
  </si>
  <si>
    <t>PGTEFT3488</t>
  </si>
  <si>
    <t>INV152357</t>
  </si>
  <si>
    <t>PGTEFT3488          INV152357</t>
  </si>
  <si>
    <t>PGTEFT3477</t>
  </si>
  <si>
    <t>PGTEFT3477          10017090</t>
  </si>
  <si>
    <t>PGTEFT3485</t>
  </si>
  <si>
    <t>GL1943045</t>
  </si>
  <si>
    <t>PGTEFT3485          GL1943045</t>
  </si>
  <si>
    <t>PGTEFT3393</t>
  </si>
  <si>
    <t>INV10251 10274 10280</t>
  </si>
  <si>
    <t>PGTEFT3393          INV10251 10274 10280</t>
  </si>
  <si>
    <t>PARTICIPATION FEE LEMBAGA PENGGALAKAN</t>
  </si>
  <si>
    <t>PGTEFT3484</t>
  </si>
  <si>
    <t>WTM LONDON</t>
  </si>
  <si>
    <t>TAMPO MIKI</t>
  </si>
  <si>
    <t>PGTEFT3483</t>
  </si>
  <si>
    <t>PGT001</t>
  </si>
  <si>
    <t>PGTEFT3483          PGT001</t>
  </si>
  <si>
    <t>PGTEFT3479</t>
  </si>
  <si>
    <t>CIMB CREDIT CARD SEP</t>
  </si>
  <si>
    <t>PGTEFT3481</t>
  </si>
  <si>
    <t>KKNPP-2018-03-02-15</t>
  </si>
  <si>
    <t>PGTEFT3481          KKNPP-2018-03-02-15</t>
  </si>
  <si>
    <t>PGTEFT3482</t>
  </si>
  <si>
    <t>PGTEFT3482          WELCOMING RECEPTION</t>
  </si>
  <si>
    <t>PAYROLL AUG'18 CORPORATENET ADVISO</t>
  </si>
  <si>
    <t>PGTEFT3478</t>
  </si>
  <si>
    <t>CA-18-0106</t>
  </si>
  <si>
    <t>TAIWAN TACTICAL BUTTERFLY HOUSE (PG</t>
  </si>
  <si>
    <t>PGTEFT3480</t>
  </si>
  <si>
    <t>A085546</t>
  </si>
  <si>
    <t>00722180918T5753   /ACC/PLEASE DO NOT CC</t>
  </si>
  <si>
    <t>00722180918T5875                       F</t>
  </si>
  <si>
    <t>00722180918T5751                       T</t>
  </si>
  <si>
    <t>KOPERASI SEKOLAH MEN</t>
  </si>
  <si>
    <t>PGTEFT3467</t>
  </si>
  <si>
    <t>SMKPSG100-1-1-16-18</t>
  </si>
  <si>
    <t>PGTEFT3467          SMKPSG100-1-1-16-18</t>
  </si>
  <si>
    <t>PIBG SEK REN PEREMPU</t>
  </si>
  <si>
    <t>PGTEFT3470</t>
  </si>
  <si>
    <t>PIBGSKJR18-08-07</t>
  </si>
  <si>
    <t>PGTEFT3470          PIBGSKJR18-08-07</t>
  </si>
  <si>
    <t>PGTEFT3468</t>
  </si>
  <si>
    <t>INV19596 19597 19598</t>
  </si>
  <si>
    <t>PGTEFT3468          INV19596 19597 19598</t>
  </si>
  <si>
    <t>PGTEFT3465</t>
  </si>
  <si>
    <t>PGTEFT3465          CLEANING SERVICES</t>
  </si>
  <si>
    <t>PGTEFT3464</t>
  </si>
  <si>
    <t>INV00335</t>
  </si>
  <si>
    <t>PGTEFT3464          INV00335</t>
  </si>
  <si>
    <t>PGTEFT3463</t>
  </si>
  <si>
    <t>INV00011790</t>
  </si>
  <si>
    <t>PGTEFT3463          INV00011790</t>
  </si>
  <si>
    <t>PGTEFT3469</t>
  </si>
  <si>
    <t>PGTINV03-18</t>
  </si>
  <si>
    <t>PGTEFT3469          PGTINV03-18</t>
  </si>
  <si>
    <t>AA JAKARTA THOY SIEW PING</t>
  </si>
  <si>
    <t>PGTEFT3471</t>
  </si>
  <si>
    <t>PGTEFT3473</t>
  </si>
  <si>
    <t>INV163 164 165T</t>
  </si>
  <si>
    <t>RELA ALLOWANCE AZFALYZA BINTI ABDU</t>
  </si>
  <si>
    <t>PGTEFT3462</t>
  </si>
  <si>
    <t>ROUND NECK T-SHIRT TEXLINE LINO SDN BH</t>
  </si>
  <si>
    <t>PGTEFT3476</t>
  </si>
  <si>
    <t>INV1808077</t>
  </si>
  <si>
    <t>KL TRIP &amp; AA JAKARTA NG CHUN HOW</t>
  </si>
  <si>
    <t>PGTEFT3466</t>
  </si>
  <si>
    <t>PG SEMINAR AUS YOON PAULINE</t>
  </si>
  <si>
    <t>PGTEFT3475</t>
  </si>
  <si>
    <t>CLAIMS-</t>
  </si>
  <si>
    <t>HATYAI &amp; JAKARTA TAN SEANG AUN</t>
  </si>
  <si>
    <t>PGTEFT3472</t>
  </si>
  <si>
    <t>SPAIN MEDIA, AA TRAV YOON PAULINE</t>
  </si>
  <si>
    <t>PGTEFT3474</t>
  </si>
  <si>
    <t>ANSURAN NO.8 AKAUN KJAAN MSIA PU</t>
  </si>
  <si>
    <t>PGTEFT3461</t>
  </si>
  <si>
    <t>PGTEFT3460</t>
  </si>
  <si>
    <t>RENTAL-SEPT18</t>
  </si>
  <si>
    <t>PGTEFT3460          RENTAL-SEPT18</t>
  </si>
  <si>
    <t>Period : 01-10-2018 - 31-10-2018</t>
  </si>
  <si>
    <t>Opening Available Balance : 1650746.18</t>
  </si>
  <si>
    <t>Closing Available Balance : 2690757.87</t>
  </si>
  <si>
    <t>00688288</t>
  </si>
  <si>
    <t>35910</t>
  </si>
  <si>
    <t>Thai TV FAM</t>
  </si>
  <si>
    <t>44981116</t>
  </si>
  <si>
    <t>290037129805</t>
  </si>
  <si>
    <t>U2018103103644 RTB1810290037129805.TXT</t>
  </si>
  <si>
    <t>1810290037129805</t>
  </si>
  <si>
    <t>2018103101310899</t>
  </si>
  <si>
    <t>103101310902</t>
  </si>
  <si>
    <t>Pay to SOCSO-ACCT2: 981029522894</t>
  </si>
  <si>
    <t>37288074</t>
  </si>
  <si>
    <t>RELA ALLOWANCE FOR N AZFALYZA BINTI ABDU</t>
  </si>
  <si>
    <t>PGTEFT3616</t>
  </si>
  <si>
    <t>37288184</t>
  </si>
  <si>
    <t>PGTEFT3615</t>
  </si>
  <si>
    <t>37286858</t>
  </si>
  <si>
    <t>TRIPZILLA TRANSPORTA TOUR &amp; INCENTIVE TR</t>
  </si>
  <si>
    <t>PGTEFT3619</t>
  </si>
  <si>
    <t>37286975</t>
  </si>
  <si>
    <t>PGTEFT3618</t>
  </si>
  <si>
    <t>PGTEFT3618          WELCOMING RECEPTION</t>
  </si>
  <si>
    <t>37287422</t>
  </si>
  <si>
    <t>LAM CHOOI KHENG</t>
  </si>
  <si>
    <t>PGTEFT3618          INV65</t>
  </si>
  <si>
    <t>2018103101310094</t>
  </si>
  <si>
    <t>37287601</t>
  </si>
  <si>
    <t>PGTEFT3617</t>
  </si>
  <si>
    <t>PGTEFT3617          CLEANING SERVICES</t>
  </si>
  <si>
    <t>37286672</t>
  </si>
  <si>
    <t>WTM HOTEL YOON PAULINE</t>
  </si>
  <si>
    <t>PGTEFT3620</t>
  </si>
  <si>
    <t>36237427</t>
  </si>
  <si>
    <t>37167105</t>
  </si>
  <si>
    <t>PGTEFT3612</t>
  </si>
  <si>
    <t>PGTEFT3612          WELCOMING RECEPTION</t>
  </si>
  <si>
    <t>37171301</t>
  </si>
  <si>
    <t>PG SEMINAR@AUS YOON PAULINE</t>
  </si>
  <si>
    <t>PGTEFT3611</t>
  </si>
  <si>
    <t>37171443</t>
  </si>
  <si>
    <t>PGTEFT3610</t>
  </si>
  <si>
    <t>PGTEFT3610          GUIDE FEE FOR OCT</t>
  </si>
  <si>
    <t>37172324</t>
  </si>
  <si>
    <t>PGTEFT3601</t>
  </si>
  <si>
    <t>PGTEFT3601          2018-00034</t>
  </si>
  <si>
    <t>37171621</t>
  </si>
  <si>
    <t>SNACKS&amp;BIRTHDAY CAKE LIM HOOI LENG</t>
  </si>
  <si>
    <t>PGTEFT3608</t>
  </si>
  <si>
    <t>37171770</t>
  </si>
  <si>
    <t>GUIDE FEE FOR OCT TOH KIM HOCK</t>
  </si>
  <si>
    <t>PGTEFT3606</t>
  </si>
  <si>
    <t>37172045</t>
  </si>
  <si>
    <t>GAME START &amp; MEETING NG CHUN HOW</t>
  </si>
  <si>
    <t>PGTEFT3604</t>
  </si>
  <si>
    <t>37171723</t>
  </si>
  <si>
    <t>PGTEFT3607</t>
  </si>
  <si>
    <t>PGTEFT3607          INV152571 152598-99</t>
  </si>
  <si>
    <t>37171904</t>
  </si>
  <si>
    <t>TRANSPORTATION FOR F TOUR &amp; INCENTIVE TR</t>
  </si>
  <si>
    <t>PGTEFT3605</t>
  </si>
  <si>
    <t>37171512</t>
  </si>
  <si>
    <t>PMED-GUANGZHOU TRIP TAN SEANG AUN</t>
  </si>
  <si>
    <t>PGTEFT3609</t>
  </si>
  <si>
    <t>37172251</t>
  </si>
  <si>
    <t>QATAR AIRWAYS &amp; TM P METICBIZ SDN BHD</t>
  </si>
  <si>
    <t>PGTEFT3603</t>
  </si>
  <si>
    <t>37172569</t>
  </si>
  <si>
    <t>ACCOUNTS-SEPT'18 CORPORATENET SDN BH</t>
  </si>
  <si>
    <t>PGTEFT3600</t>
  </si>
  <si>
    <t>283863761</t>
  </si>
  <si>
    <t>00722291018T5771                       S</t>
  </si>
  <si>
    <t>36988662</t>
  </si>
  <si>
    <t>SARA CHEN THOY SIEW PING</t>
  </si>
  <si>
    <t>PGTEFT3593</t>
  </si>
  <si>
    <t>36988565</t>
  </si>
  <si>
    <t>PGTEFT3594</t>
  </si>
  <si>
    <t>PGTEFT3594          ACC1618-3542</t>
  </si>
  <si>
    <t>36988815</t>
  </si>
  <si>
    <t>BUSINESS OPPORTUNITI TAN SEANG AUN</t>
  </si>
  <si>
    <t>PGTEFT3592</t>
  </si>
  <si>
    <t>36988894</t>
  </si>
  <si>
    <t>PGTEFT3591</t>
  </si>
  <si>
    <t>PGTEFT3591          WELCOMING RECEPTION</t>
  </si>
  <si>
    <t>36989139</t>
  </si>
  <si>
    <t>PGTFT3587</t>
  </si>
  <si>
    <t>PGTFT3587           INV19603 19605</t>
  </si>
  <si>
    <t>36989347</t>
  </si>
  <si>
    <t>PGTEFT3585</t>
  </si>
  <si>
    <t>PGTEFT3585          GIV-1809-35</t>
  </si>
  <si>
    <t>36989527</t>
  </si>
  <si>
    <t>PGTEFT3583</t>
  </si>
  <si>
    <t>PGTEFT3583          PHOTOGRAPHY SERVICES</t>
  </si>
  <si>
    <t>36988997</t>
  </si>
  <si>
    <t>PGTEFT3589</t>
  </si>
  <si>
    <t>PGTEFT3589          WELCOMING RECEPTION</t>
  </si>
  <si>
    <t>36989259</t>
  </si>
  <si>
    <t>36988956</t>
  </si>
  <si>
    <t>PGTEFT3590</t>
  </si>
  <si>
    <t>PGTEFT3590          INV10449-18</t>
  </si>
  <si>
    <t>36989394</t>
  </si>
  <si>
    <t>DESIGN ARK SDN BHD</t>
  </si>
  <si>
    <t>PGTEFT3584</t>
  </si>
  <si>
    <t>PGTEFT3584          IV-10167</t>
  </si>
  <si>
    <t>36989057</t>
  </si>
  <si>
    <t>PENANG SEMINAR OOI CHOK YAN</t>
  </si>
  <si>
    <t>PGTEFT3588</t>
  </si>
  <si>
    <t>36989613</t>
  </si>
  <si>
    <t>ACCOUNTS JUNE-SEPT CORPORATENET SDN BH</t>
  </si>
  <si>
    <t>PGTEFT3582</t>
  </si>
  <si>
    <t>00688296</t>
  </si>
  <si>
    <t>81015726</t>
  </si>
  <si>
    <t>00688298</t>
  </si>
  <si>
    <t>00688297</t>
  </si>
  <si>
    <t>00688291</t>
  </si>
  <si>
    <t>2018102358615333</t>
  </si>
  <si>
    <t>36869905</t>
  </si>
  <si>
    <t>FAM LIM YEE HARNG</t>
  </si>
  <si>
    <t>PGTEFT3580</t>
  </si>
  <si>
    <t>283839362</t>
  </si>
  <si>
    <t>00722221018T5800                       S</t>
  </si>
  <si>
    <t>00688294</t>
  </si>
  <si>
    <t>00688293</t>
  </si>
  <si>
    <t>00688292</t>
  </si>
  <si>
    <t>/ROC/2018024100P106 BENDAHARI NEGERI PUL</t>
  </si>
  <si>
    <t>2018024100P1067337</t>
  </si>
  <si>
    <t>2018101656582995</t>
  </si>
  <si>
    <t>36576956</t>
  </si>
  <si>
    <t>PENANG SEMINAR TPE YOON PAULINE</t>
  </si>
  <si>
    <t>PGTEFT3579</t>
  </si>
  <si>
    <t>36577250</t>
  </si>
  <si>
    <t>PGTEFT3577</t>
  </si>
  <si>
    <t>PGTEFT3577          ACC233560</t>
  </si>
  <si>
    <t>36577776</t>
  </si>
  <si>
    <t>PGTEFT3572</t>
  </si>
  <si>
    <t>PGTEFT3572          INV152561</t>
  </si>
  <si>
    <t>2018101656583031</t>
  </si>
  <si>
    <t>36577178</t>
  </si>
  <si>
    <t>PGTEFT3578</t>
  </si>
  <si>
    <t>PGTEFT3578          IV-0952</t>
  </si>
  <si>
    <t>2018101656583015</t>
  </si>
  <si>
    <t>36577649</t>
  </si>
  <si>
    <t>GUIDE FEE FOR SEPT TOH KIM HOCK</t>
  </si>
  <si>
    <t>PGTEFT3573</t>
  </si>
  <si>
    <t>36578144</t>
  </si>
  <si>
    <t>SECRETARIAL FEE JUL- PDC PREMIER HOLDING</t>
  </si>
  <si>
    <t>PGTEFT3571</t>
  </si>
  <si>
    <t>36579309</t>
  </si>
  <si>
    <t>PGTEFT3562</t>
  </si>
  <si>
    <t>PGTEFT3562          INV2018-00043</t>
  </si>
  <si>
    <t>36579121</t>
  </si>
  <si>
    <t>PGTEFT3564</t>
  </si>
  <si>
    <t>PGTEFT3564          IV-10146</t>
  </si>
  <si>
    <t>36578681</t>
  </si>
  <si>
    <t>PGTEFT3568</t>
  </si>
  <si>
    <t>PGTEFT3568          SALES-JUL AUG18</t>
  </si>
  <si>
    <t>36578954</t>
  </si>
  <si>
    <t>PGTEFT3566</t>
  </si>
  <si>
    <t>PGTEFT3566          P17029</t>
  </si>
  <si>
    <t>36578496</t>
  </si>
  <si>
    <t>LED OCT PERFORMANCE PLUS MA</t>
  </si>
  <si>
    <t>PGTEFT3570</t>
  </si>
  <si>
    <t>36579391</t>
  </si>
  <si>
    <t>PGTEFT3561</t>
  </si>
  <si>
    <t>PGTEFT3561          PGT09-18INV</t>
  </si>
  <si>
    <t>36578855</t>
  </si>
  <si>
    <t>36579215</t>
  </si>
  <si>
    <t>PGTEFT3563</t>
  </si>
  <si>
    <t>PGTEFT3563          INV00012125 00012126</t>
  </si>
  <si>
    <t>36579050</t>
  </si>
  <si>
    <t>EMSOFT TRADING</t>
  </si>
  <si>
    <t>PGTEFT3565</t>
  </si>
  <si>
    <t>PGTEFT3565          INV18-0148</t>
  </si>
  <si>
    <t>36578581</t>
  </si>
  <si>
    <t>PGTEFT3569</t>
  </si>
  <si>
    <t>PGTEFT3569          INV515</t>
  </si>
  <si>
    <t>00688286</t>
  </si>
  <si>
    <t>16920726</t>
  </si>
  <si>
    <t>00688285</t>
  </si>
  <si>
    <t>283810095</t>
  </si>
  <si>
    <t>00722121018T5446                       M</t>
  </si>
  <si>
    <t>918285712480647</t>
  </si>
  <si>
    <t>REFUND PATA 18</t>
  </si>
  <si>
    <t>00688289</t>
  </si>
  <si>
    <t>00688284</t>
  </si>
  <si>
    <t>00688287</t>
  </si>
  <si>
    <t>36341881</t>
  </si>
  <si>
    <t>CHINA AIRLINES LIMIT</t>
  </si>
  <si>
    <t>PGTEFT3559</t>
  </si>
  <si>
    <t>PGTEFT3559          AIR TICKET</t>
  </si>
  <si>
    <t>201810100036341976</t>
  </si>
  <si>
    <t>STATEMENT 1.10.18 OO</t>
  </si>
  <si>
    <t>PGTEFT3558</t>
  </si>
  <si>
    <t>36341626</t>
  </si>
  <si>
    <t>ITB NETWORKING SESSI YOON PAULINE</t>
  </si>
  <si>
    <t>PGTEFT3560</t>
  </si>
  <si>
    <t>00688283</t>
  </si>
  <si>
    <t>00688281</t>
  </si>
  <si>
    <t>02893627</t>
  </si>
  <si>
    <t>84410422</t>
  </si>
  <si>
    <t>283796106</t>
  </si>
  <si>
    <t>00722091018T5373                       I</t>
  </si>
  <si>
    <t>283795321</t>
  </si>
  <si>
    <t>00722091018T5334   /ACC/PLS DO NOT CONVI</t>
  </si>
  <si>
    <t>00688282</t>
  </si>
  <si>
    <t>00688280</t>
  </si>
  <si>
    <t>00688279</t>
  </si>
  <si>
    <t>00688278</t>
  </si>
  <si>
    <t>36132628</t>
  </si>
  <si>
    <t>PGTEFT3557</t>
  </si>
  <si>
    <t>PGTEFT3557          16-2018</t>
  </si>
  <si>
    <t>36136504</t>
  </si>
  <si>
    <t>HOTEL ACCOMMODATION MUNTRI MEWS SDN BHD</t>
  </si>
  <si>
    <t>PGTEFT3550</t>
  </si>
  <si>
    <t>36136771</t>
  </si>
  <si>
    <t>HORES EQUIPMENT SDN</t>
  </si>
  <si>
    <t>PGTEFT3548</t>
  </si>
  <si>
    <t>PGTEFT3548          INE51442</t>
  </si>
  <si>
    <t>36137024</t>
  </si>
  <si>
    <t>PGTEFT3547</t>
  </si>
  <si>
    <t>PGTEFT3547          INV00050109</t>
  </si>
  <si>
    <t>36134959</t>
  </si>
  <si>
    <t>PGTEFT3554</t>
  </si>
  <si>
    <t>PGTEFT3554          INV1710</t>
  </si>
  <si>
    <t>36134270</t>
  </si>
  <si>
    <t>PGTEFT3556</t>
  </si>
  <si>
    <t>PGTEFT3556          1STSEP2018</t>
  </si>
  <si>
    <t>36135279</t>
  </si>
  <si>
    <t>AUDIT FEE PGC STRATEGIES SDN.</t>
  </si>
  <si>
    <t>PGTEFT3552</t>
  </si>
  <si>
    <t>36137542</t>
  </si>
  <si>
    <t>PGTEFT3549</t>
  </si>
  <si>
    <t>PGTEFT3549          INV19602</t>
  </si>
  <si>
    <t>36135140</t>
  </si>
  <si>
    <t>PGTEFT3553</t>
  </si>
  <si>
    <t>PGTEFT3553          ACC233560</t>
  </si>
  <si>
    <t>36135438</t>
  </si>
  <si>
    <t>PATA &amp; KL AUDIT MEET OOI CHOK YAN</t>
  </si>
  <si>
    <t>PGTEFT3551</t>
  </si>
  <si>
    <t>36134555</t>
  </si>
  <si>
    <t>GUIDE FEE 22/9/18 TOH KIM HOCK</t>
  </si>
  <si>
    <t>PGTEFT3555</t>
  </si>
  <si>
    <t>283784975</t>
  </si>
  <si>
    <t>00722051018T5156                       M</t>
  </si>
  <si>
    <t>36025463</t>
  </si>
  <si>
    <t>PGTEFT3546</t>
  </si>
  <si>
    <t>PGTEFT3546          WELCOMING RECEPTION</t>
  </si>
  <si>
    <t>36025561</t>
  </si>
  <si>
    <t>PGTEFT3545</t>
  </si>
  <si>
    <t>PGTEFT3545          WELCOMING RECEPTION</t>
  </si>
  <si>
    <t>36026031</t>
  </si>
  <si>
    <t>T-SHIRT TEXLINE LINO SDN BH</t>
  </si>
  <si>
    <t>PGTEFT3542</t>
  </si>
  <si>
    <t>36026387</t>
  </si>
  <si>
    <t>PGTEFT3541</t>
  </si>
  <si>
    <t>PGTEFT3541          WELCOMING RECEPTION</t>
  </si>
  <si>
    <t>36030383</t>
  </si>
  <si>
    <t>KL MEETING SEOW AI SEE</t>
  </si>
  <si>
    <t>PGTEFT3538</t>
  </si>
  <si>
    <t>36025666</t>
  </si>
  <si>
    <t>PGTEFT3544</t>
  </si>
  <si>
    <t>PGTEFT3544          IV-141380</t>
  </si>
  <si>
    <t>36030886</t>
  </si>
  <si>
    <t>PGTEFT3536</t>
  </si>
  <si>
    <t>PGTEFT3536          INV152510</t>
  </si>
  <si>
    <t>36030173</t>
  </si>
  <si>
    <t>JAKARTA&amp;ITE THOY SIEW PING</t>
  </si>
  <si>
    <t>PGTEFT3540</t>
  </si>
  <si>
    <t>36030550</t>
  </si>
  <si>
    <t>PGTEFT3557          WELCOMING RECEPTION</t>
  </si>
  <si>
    <t>36025778</t>
  </si>
  <si>
    <t>PGTEFT3543</t>
  </si>
  <si>
    <t>PGTEFT3543          ACC233560</t>
  </si>
  <si>
    <t>36030977</t>
  </si>
  <si>
    <t>PGTEFT3535</t>
  </si>
  <si>
    <t>PGTEFT3535          10418-18</t>
  </si>
  <si>
    <t>36030303</t>
  </si>
  <si>
    <t>CLAIMS TAN SEANG AUN</t>
  </si>
  <si>
    <t>PGTEFT3539</t>
  </si>
  <si>
    <t>36031546</t>
  </si>
  <si>
    <t>KL MEETING 24/9 NG CHUN HOW</t>
  </si>
  <si>
    <t>PGTEFT3534</t>
  </si>
  <si>
    <t>36032431</t>
  </si>
  <si>
    <t>PGTEFT3530</t>
  </si>
  <si>
    <t>PGTEFT3530          INV2088824</t>
  </si>
  <si>
    <t>36032536</t>
  </si>
  <si>
    <t>PGTEFT3529</t>
  </si>
  <si>
    <t>PGTEFT3529          INV00011950</t>
  </si>
  <si>
    <t>36032221</t>
  </si>
  <si>
    <t>MARKETSOURCE SDN BHD</t>
  </si>
  <si>
    <t>PGTEFT3532</t>
  </si>
  <si>
    <t>PGTEFT3532          OTH-1809-008</t>
  </si>
  <si>
    <t>36032027</t>
  </si>
  <si>
    <t>PGTEFT3533</t>
  </si>
  <si>
    <t>PGTEFT3533          WELCOMING RECEPTION</t>
  </si>
  <si>
    <t>36033019</t>
  </si>
  <si>
    <t>NO ANSURAN 9 AKAUN KJAAN MSIA PU</t>
  </si>
  <si>
    <t>PGTEFT3526</t>
  </si>
  <si>
    <t>36032623</t>
  </si>
  <si>
    <t>PAYROLL-SEPT'18 CORPORATENET ADVISO</t>
  </si>
  <si>
    <t>PGTEFT3528</t>
  </si>
  <si>
    <t>36032317</t>
  </si>
  <si>
    <t>EXABYTES NETWORKS SD</t>
  </si>
  <si>
    <t>PGTEFT3531</t>
  </si>
  <si>
    <t>PGTEFT3531          INV8758385</t>
  </si>
  <si>
    <t>36071511</t>
  </si>
  <si>
    <t>PGTEFT3525</t>
  </si>
  <si>
    <t>PGTEFT3525          RENTAL-OCT18</t>
  </si>
  <si>
    <t>36032817</t>
  </si>
  <si>
    <t>WELCOME RECEPTION OC AZFALYZA BINTI ABDU</t>
  </si>
  <si>
    <t>PGTEFT3527</t>
  </si>
  <si>
    <t>225786284</t>
  </si>
  <si>
    <t>20008021018T0051</t>
  </si>
  <si>
    <t>518274712419371</t>
  </si>
  <si>
    <t>INV0038/2018/OCY/MIC</t>
  </si>
  <si>
    <t>35550791</t>
  </si>
  <si>
    <t>PGTEFT3498</t>
  </si>
  <si>
    <t>PGTEFT3498          KKCN18-IV038</t>
  </si>
  <si>
    <t>35545755</t>
  </si>
  <si>
    <t>PGTEFT3514</t>
  </si>
  <si>
    <t>PGTEFT3514          ACC1618-3542</t>
  </si>
  <si>
    <t>35550960</t>
  </si>
  <si>
    <t>PGTEFT3497</t>
  </si>
  <si>
    <t>PGTEFT3497          INV00621</t>
  </si>
  <si>
    <t>35550719</t>
  </si>
  <si>
    <t>PGTEFT3499</t>
  </si>
  <si>
    <t>PGTEFT3499          AUG2018</t>
  </si>
  <si>
    <t>35551864</t>
  </si>
  <si>
    <t>PGTEFT3493</t>
  </si>
  <si>
    <t>PGTEFT3493          PGT08-18INV</t>
  </si>
  <si>
    <t>35545987</t>
  </si>
  <si>
    <t>PGTEFT3511</t>
  </si>
  <si>
    <t>PGTEFT3511          IV-140754</t>
  </si>
  <si>
    <t>35551035</t>
  </si>
  <si>
    <t>PGTEFT3496</t>
  </si>
  <si>
    <t>PGTEFT3496          GIV1807-35 IV1807-36</t>
  </si>
  <si>
    <t>35549805</t>
  </si>
  <si>
    <t>PGTEFT3501</t>
  </si>
  <si>
    <t>PGTEFT3501          INV19600-601</t>
  </si>
  <si>
    <t>35549347</t>
  </si>
  <si>
    <t>PGTEFT3505</t>
  </si>
  <si>
    <t>PGTEFT3505          INV10379-18</t>
  </si>
  <si>
    <t>35546131</t>
  </si>
  <si>
    <t>PGTEFT3510</t>
  </si>
  <si>
    <t>PGTEFT3510          ACC233560</t>
  </si>
  <si>
    <t>35545672</t>
  </si>
  <si>
    <t>PATA TRAVEL MART LIM YEE HARNG</t>
  </si>
  <si>
    <t>PGTEFT3515</t>
  </si>
  <si>
    <t>35549887</t>
  </si>
  <si>
    <t>SNACKS,BIRTHDAY CAKE LIM HOOI LENG</t>
  </si>
  <si>
    <t>PGTEFT3500</t>
  </si>
  <si>
    <t>35549693</t>
  </si>
  <si>
    <t>PGTEFT3502</t>
  </si>
  <si>
    <t>PGTEFT3502          INV503</t>
  </si>
  <si>
    <t>35551832</t>
  </si>
  <si>
    <t>USED BOOK SELLER EMILIA BT ISMAIL</t>
  </si>
  <si>
    <t>PGTEFT3494</t>
  </si>
  <si>
    <t>35547369</t>
  </si>
  <si>
    <t>GUIDE FEE FOR SEPT'1 TOH KIM HOCK</t>
  </si>
  <si>
    <t>PGTEFT3506</t>
  </si>
  <si>
    <t>35549545</t>
  </si>
  <si>
    <t>RO WATER-60 DRUMS OMEGA SPARKLES SDN</t>
  </si>
  <si>
    <t>PGTEFT3503</t>
  </si>
  <si>
    <t>35545502</t>
  </si>
  <si>
    <t>KL MEETING NG CHUN HOW</t>
  </si>
  <si>
    <t>PGTEFT3517</t>
  </si>
  <si>
    <t>35545838</t>
  </si>
  <si>
    <t>PG SEMINAR HK THOY SIEW PING</t>
  </si>
  <si>
    <t>PGTEFT3513</t>
  </si>
  <si>
    <t>35551409</t>
  </si>
  <si>
    <t>35549411</t>
  </si>
  <si>
    <t>LED SEPT'18 PERFORMANCE PLUS MA</t>
  </si>
  <si>
    <t>PGTEFT3504</t>
  </si>
  <si>
    <t>35545602</t>
  </si>
  <si>
    <t>PMED &amp; PCET TAN SEANG AUN</t>
  </si>
  <si>
    <t>PGTEFT3516</t>
  </si>
  <si>
    <t>35538877</t>
  </si>
  <si>
    <t>PATA,HK,ITE YOON PAULINE</t>
  </si>
  <si>
    <t>PGTEFT3518</t>
  </si>
  <si>
    <t>2018100164938336</t>
  </si>
  <si>
    <t>2018100164938330</t>
  </si>
  <si>
    <t>2018100164938325</t>
  </si>
  <si>
    <t>35545911</t>
  </si>
  <si>
    <t>PGTEFT3512</t>
  </si>
  <si>
    <t>PGTEFT3512          INV015-2018</t>
  </si>
  <si>
    <t>35819009</t>
  </si>
  <si>
    <t>PGTEFT3523</t>
  </si>
  <si>
    <t>PGTEFT3523          CLEANING SERVICES</t>
  </si>
  <si>
    <t>35819179</t>
  </si>
  <si>
    <t>SEPT'18 TAN SEANG AUN</t>
  </si>
  <si>
    <t>PGTEFT3522</t>
  </si>
  <si>
    <t>35818917</t>
  </si>
  <si>
    <t>PGTEFT3524</t>
  </si>
  <si>
    <t>PGTEFT3524          BM-180902</t>
  </si>
  <si>
    <t>90592</t>
  </si>
  <si>
    <t>RELA Balance Sept</t>
  </si>
  <si>
    <t>Period : 01-11-2018 - 30-11-2018</t>
  </si>
  <si>
    <t>Opening Available Balance : 2690757.87</t>
  </si>
  <si>
    <t>Closing Available Balance : 6079800.81</t>
  </si>
  <si>
    <t>38260530</t>
  </si>
  <si>
    <t>NOV'18 TAN SEANG AUN</t>
  </si>
  <si>
    <t>PGTEFT3660</t>
  </si>
  <si>
    <t>113065639261</t>
  </si>
  <si>
    <t>Pay to SOCSO-ACCT2: 981121609307</t>
  </si>
  <si>
    <t>2018113065638977</t>
  </si>
  <si>
    <t>2018113065638411</t>
  </si>
  <si>
    <t>47993588</t>
  </si>
  <si>
    <t>160038182064</t>
  </si>
  <si>
    <t>U2018113000025 RTB1811160038182064.TXT</t>
  </si>
  <si>
    <t>1811160038182064</t>
  </si>
  <si>
    <t>283963951</t>
  </si>
  <si>
    <t>00722291118T5394                       T</t>
  </si>
  <si>
    <t>918333712818679</t>
  </si>
  <si>
    <t>103259XAAA977</t>
  </si>
  <si>
    <t>HOTEL EQUATORIAL PEN</t>
  </si>
  <si>
    <t>BUKIT JAMBUL HOTEL D</t>
  </si>
  <si>
    <t>38262126</t>
  </si>
  <si>
    <t>SNAKCS&amp; WREATH LIM HOOI LENG</t>
  </si>
  <si>
    <t>PGTEFT3641</t>
  </si>
  <si>
    <t>38262859</t>
  </si>
  <si>
    <t>PAYROLL-OCT'18 CORPORATENET ADVISO</t>
  </si>
  <si>
    <t>PGTFT3634</t>
  </si>
  <si>
    <t>CA-18-0142</t>
  </si>
  <si>
    <t>38262643</t>
  </si>
  <si>
    <t>FLATPLAN PUBLISHER</t>
  </si>
  <si>
    <t>PGTEFT3638</t>
  </si>
  <si>
    <t>38260463</t>
  </si>
  <si>
    <t>CIIE - CHINA NG CHUN HOW</t>
  </si>
  <si>
    <t>PGTEFT3661</t>
  </si>
  <si>
    <t>38260423</t>
  </si>
  <si>
    <t>CIIE - CHINA THOY SIEW PING</t>
  </si>
  <si>
    <t>PGTEFT3662</t>
  </si>
  <si>
    <t>38260835</t>
  </si>
  <si>
    <t>IMT FAM,ITB ASIA&amp; JA YOON PAULINE</t>
  </si>
  <si>
    <t>PGTEFT3654</t>
  </si>
  <si>
    <t>38260581</t>
  </si>
  <si>
    <t>LED-NOV'18 PERFORMANCE PLUS MA</t>
  </si>
  <si>
    <t>PGTEFT3659</t>
  </si>
  <si>
    <t>PPM18-11-01</t>
  </si>
  <si>
    <t>38262366</t>
  </si>
  <si>
    <t>38261274</t>
  </si>
  <si>
    <t>QATAR AIRWAYS FAM TOUR &amp; INCENTIVE TR</t>
  </si>
  <si>
    <t>PGTEFT3649</t>
  </si>
  <si>
    <t>PRO363-18</t>
  </si>
  <si>
    <t>2018112265537648</t>
  </si>
  <si>
    <t>38260999</t>
  </si>
  <si>
    <t>PGTEFT3652</t>
  </si>
  <si>
    <t>PGTEFT3652          ACC1618-3542</t>
  </si>
  <si>
    <t>38262078</t>
  </si>
  <si>
    <t>PGTEFT3642</t>
  </si>
  <si>
    <t>INV19608</t>
  </si>
  <si>
    <t>PGTEFT3642          INV19608</t>
  </si>
  <si>
    <t>38260893</t>
  </si>
  <si>
    <t>PGTEFT3653</t>
  </si>
  <si>
    <t>PGTEFT3653          WELCOMING RECEPTION</t>
  </si>
  <si>
    <t>38261063</t>
  </si>
  <si>
    <t>PGTEFT3651</t>
  </si>
  <si>
    <t>PGTEFT3651          WELCOMING RECEPTION</t>
  </si>
  <si>
    <t>38262701</t>
  </si>
  <si>
    <t>PGTEFT3637</t>
  </si>
  <si>
    <t>JTB WORLD VACATIONS</t>
  </si>
  <si>
    <t>PGTEFT3637          JTB WORLD VACATIONS</t>
  </si>
  <si>
    <t>38262016</t>
  </si>
  <si>
    <t>PGTEFT3643</t>
  </si>
  <si>
    <t>KKNPP-2018-03-02-21</t>
  </si>
  <si>
    <t>PGTEFT3643          KKNPP-2018-03-02-21</t>
  </si>
  <si>
    <t>38261765</t>
  </si>
  <si>
    <t>PGTEFT3645</t>
  </si>
  <si>
    <t>PGTEFT3645          NV2300</t>
  </si>
  <si>
    <t>38260792</t>
  </si>
  <si>
    <t>PENANG TURF CLUB</t>
  </si>
  <si>
    <t>PGTEFT3602</t>
  </si>
  <si>
    <t>MI180138</t>
  </si>
  <si>
    <t>PGTEFT3602          MI180138</t>
  </si>
  <si>
    <t>38262751</t>
  </si>
  <si>
    <t>PGTEFT3636</t>
  </si>
  <si>
    <t>INV333699</t>
  </si>
  <si>
    <t>PGTEFT3636          INV333699</t>
  </si>
  <si>
    <t>38261713</t>
  </si>
  <si>
    <t>PGTEFT3646</t>
  </si>
  <si>
    <t>INV527</t>
  </si>
  <si>
    <t>PGTEFT3646          INV527</t>
  </si>
  <si>
    <t>38261389</t>
  </si>
  <si>
    <t>PGTEFT3648</t>
  </si>
  <si>
    <t>PGTEFT3648          ACC233560</t>
  </si>
  <si>
    <t>38261156</t>
  </si>
  <si>
    <t>PGTEFT3650</t>
  </si>
  <si>
    <t>INV1738 1739 1740</t>
  </si>
  <si>
    <t>PGTEFT3650          INV1738 1739 1740</t>
  </si>
  <si>
    <t>38262233</t>
  </si>
  <si>
    <t>PGTEFT3640</t>
  </si>
  <si>
    <t>HPT17193 17192</t>
  </si>
  <si>
    <t>PGTEFT3640          HPT17193 17192</t>
  </si>
  <si>
    <t>38261666</t>
  </si>
  <si>
    <t>RAVI SHARMA TRAVEL S</t>
  </si>
  <si>
    <t>PGTEFT3647</t>
  </si>
  <si>
    <t>PGT01-2018</t>
  </si>
  <si>
    <t>PGTEFT3647          PGT01-2018</t>
  </si>
  <si>
    <t>38261853</t>
  </si>
  <si>
    <t>PGTEFT3644</t>
  </si>
  <si>
    <t>OTH-1810-007</t>
  </si>
  <si>
    <t>PGTEFT3644          OTH-1810-007</t>
  </si>
  <si>
    <t>418323712810262</t>
  </si>
  <si>
    <t>32380EYLDAK</t>
  </si>
  <si>
    <t>INTERBANK GIRO</t>
  </si>
  <si>
    <t>CHINA AIRLINES LTD</t>
  </si>
  <si>
    <t>00688310</t>
  </si>
  <si>
    <t>00688308</t>
  </si>
  <si>
    <t>00688305</t>
  </si>
  <si>
    <t>51841522</t>
  </si>
  <si>
    <t>.</t>
  </si>
  <si>
    <t>/ROC/2018024100P107 BENDAHARI NEGERI PUL</t>
  </si>
  <si>
    <t>2018024100P1074751</t>
  </si>
  <si>
    <t>283902488</t>
  </si>
  <si>
    <t>00722091118T5667                       I</t>
  </si>
  <si>
    <t>2018024100P1074124</t>
  </si>
  <si>
    <t>2018024100P1074125</t>
  </si>
  <si>
    <t>37736750</t>
  </si>
  <si>
    <t>QATAR AIRWAYS FAM LIM YEE HARNG</t>
  </si>
  <si>
    <t>PGTEFT3633</t>
  </si>
  <si>
    <t>ADV AND CLAIMS</t>
  </si>
  <si>
    <t>00688299</t>
  </si>
  <si>
    <t>37591621</t>
  </si>
  <si>
    <t>PGTEFT3632</t>
  </si>
  <si>
    <t>BM-181010</t>
  </si>
  <si>
    <t>PGTEFT3632          BM-181010</t>
  </si>
  <si>
    <t>283887347</t>
  </si>
  <si>
    <t>00722051118T5334   /ACC/PLEASE DO NOT CS</t>
  </si>
  <si>
    <t>00688303</t>
  </si>
  <si>
    <t>00688302</t>
  </si>
  <si>
    <t>283883462</t>
  </si>
  <si>
    <t>00722021118T5518                       H</t>
  </si>
  <si>
    <t>37313078</t>
  </si>
  <si>
    <t>KOLEKSI WASAYANG</t>
  </si>
  <si>
    <t>PGTEFT3622</t>
  </si>
  <si>
    <t>20181021</t>
  </si>
  <si>
    <t>PGTEFT3622          20181021</t>
  </si>
  <si>
    <t>37311949</t>
  </si>
  <si>
    <t>PGTEFT3631</t>
  </si>
  <si>
    <t>PGTEFT3631          WELCOMING RECEPTION</t>
  </si>
  <si>
    <t>37312862</t>
  </si>
  <si>
    <t>PGTEFT3624</t>
  </si>
  <si>
    <t>INV19606 19607</t>
  </si>
  <si>
    <t>PGTEFT3624          INV19606 19607</t>
  </si>
  <si>
    <t>37312180</t>
  </si>
  <si>
    <t>PGTEFT3629</t>
  </si>
  <si>
    <t>10810-0044</t>
  </si>
  <si>
    <t>PGTEFT3629          10810-0044</t>
  </si>
  <si>
    <t>37313190</t>
  </si>
  <si>
    <t>PGTEFT3599</t>
  </si>
  <si>
    <t>INV2018-52</t>
  </si>
  <si>
    <t>PGTEFT3599          INV2018-52</t>
  </si>
  <si>
    <t>37312994</t>
  </si>
  <si>
    <t>PGTEFT3623</t>
  </si>
  <si>
    <t>IMT-GT FAM CLAIMS</t>
  </si>
  <si>
    <t>37312359</t>
  </si>
  <si>
    <t>PGTEFT3628</t>
  </si>
  <si>
    <t>INV171T 172T</t>
  </si>
  <si>
    <t>37312756</t>
  </si>
  <si>
    <t>TAIPEI LEONG WEI LENG</t>
  </si>
  <si>
    <t>PGTEFT3625</t>
  </si>
  <si>
    <t>37312669</t>
  </si>
  <si>
    <t>QATAR ROMADIA MEDIA  METICBIZ SDN BHD</t>
  </si>
  <si>
    <t>PGTEFT3626</t>
  </si>
  <si>
    <t>37312467</t>
  </si>
  <si>
    <t>ITB &amp; TAIPEI THOY SIEW PING</t>
  </si>
  <si>
    <t>PGTEFT3627</t>
  </si>
  <si>
    <t>37312015</t>
  </si>
  <si>
    <t>HK,JAPAN&amp;GUANGZHOU YOON PAULINE</t>
  </si>
  <si>
    <t>PGTEFT3630</t>
  </si>
  <si>
    <t>283878207</t>
  </si>
  <si>
    <t>00722011118T5331                       T</t>
  </si>
  <si>
    <t>225995182</t>
  </si>
  <si>
    <t>20008011118T0037</t>
  </si>
  <si>
    <t>66612</t>
  </si>
  <si>
    <t>TripZilla FAM</t>
  </si>
  <si>
    <t>Balance from Advance</t>
  </si>
  <si>
    <t>37286420</t>
  </si>
  <si>
    <t>NO ANSURAN 10 AKAUN KJAAN MSIA PU</t>
  </si>
  <si>
    <t>PGTEFT3614</t>
  </si>
  <si>
    <t>37286565</t>
  </si>
  <si>
    <t>PGTEFT3613</t>
  </si>
  <si>
    <t>IR10000702 10000710</t>
  </si>
  <si>
    <t>PGTEFT3613          IR10000702 10000710</t>
  </si>
  <si>
    <t>Period : 01-12-2018 - 31-12-2018</t>
  </si>
  <si>
    <t>Opening Available Balance : 6,079,800.81</t>
  </si>
  <si>
    <t>Closing Available Balance : 870,123.69</t>
  </si>
  <si>
    <t>123121669064</t>
  </si>
  <si>
    <t>Pay to SOCSO-ACCT2: 981228742983</t>
  </si>
  <si>
    <t>2018123121669044</t>
  </si>
  <si>
    <t>2018123121669041</t>
  </si>
  <si>
    <t>40044288</t>
  </si>
  <si>
    <t>PGTEFT3769</t>
  </si>
  <si>
    <t>BM-181204</t>
  </si>
  <si>
    <t>PGTEFT3769          BM-181204</t>
  </si>
  <si>
    <t>40043281</t>
  </si>
  <si>
    <t>PGTEFT3776</t>
  </si>
  <si>
    <t>PGTEFT3776          CLEANING SERVICES</t>
  </si>
  <si>
    <t>40043462</t>
  </si>
  <si>
    <t>HONORARIUM FOR DEC'1 TAN SEANG AUN</t>
  </si>
  <si>
    <t>PGTEFT3774</t>
  </si>
  <si>
    <t>STUDY PENANG</t>
  </si>
  <si>
    <t>00688335</t>
  </si>
  <si>
    <t>40089051</t>
  </si>
  <si>
    <t>PGTEFT3779</t>
  </si>
  <si>
    <t>INV0800</t>
  </si>
  <si>
    <t>PGTEFT3779          INV0800</t>
  </si>
  <si>
    <t>40088970</t>
  </si>
  <si>
    <t>CHINA AIRLINES MEDIA TONG YAN TRAVEL &amp; T</t>
  </si>
  <si>
    <t>PGTEFT3781</t>
  </si>
  <si>
    <t>DIYE6037 6038</t>
  </si>
  <si>
    <t>40089108</t>
  </si>
  <si>
    <t>PMED FAM MAXIM HOLIDAYS SDN.</t>
  </si>
  <si>
    <t>PGTEFT3777</t>
  </si>
  <si>
    <t>INV2018-0016</t>
  </si>
  <si>
    <t>40089179</t>
  </si>
  <si>
    <t>INV19616 19617</t>
  </si>
  <si>
    <t>PGTEFT3776          INV19616 19617</t>
  </si>
  <si>
    <t>40089072</t>
  </si>
  <si>
    <t>PGTEFT3778</t>
  </si>
  <si>
    <t>NV2308</t>
  </si>
  <si>
    <t>PGTEFT3778          NV2308</t>
  </si>
  <si>
    <t>40088985</t>
  </si>
  <si>
    <t>GUIDE FEE FOR 15/12 TOH KIM HOCK</t>
  </si>
  <si>
    <t>PGTEFT3780</t>
  </si>
  <si>
    <t>INV179T</t>
  </si>
  <si>
    <t>40044184</t>
  </si>
  <si>
    <t>CHEE SENG BROTHERS</t>
  </si>
  <si>
    <t>PGTEFT3770</t>
  </si>
  <si>
    <t>CS1812-0441</t>
  </si>
  <si>
    <t>PGTEFT3770          CS1812-0441</t>
  </si>
  <si>
    <t>40043860</t>
  </si>
  <si>
    <t>FOONG CHEE YIN</t>
  </si>
  <si>
    <t>PGTEFT3772</t>
  </si>
  <si>
    <t>TRANSLATION FEE</t>
  </si>
  <si>
    <t>PGTEFT3772          TRANSLATION FEE</t>
  </si>
  <si>
    <t>40043381</t>
  </si>
  <si>
    <t>PGTEFT3775</t>
  </si>
  <si>
    <t>PGTEFT3775          WELCOMING RECEPTION</t>
  </si>
  <si>
    <t>40044104</t>
  </si>
  <si>
    <t>40043531</t>
  </si>
  <si>
    <t>SNACKS&amp;HAMPER LIM HOOI LENG</t>
  </si>
  <si>
    <t>PGTEFT3773</t>
  </si>
  <si>
    <t>225419777</t>
  </si>
  <si>
    <t>20008271218T0145    /INT/DO NOT CONVERT</t>
  </si>
  <si>
    <t>225414963</t>
  </si>
  <si>
    <t>20008271218T0142    /INT/DO NOT CONVERT</t>
  </si>
  <si>
    <t>918361713036502</t>
  </si>
  <si>
    <t>39963551</t>
  </si>
  <si>
    <t>PGTEFT3765</t>
  </si>
  <si>
    <t>IV-143402</t>
  </si>
  <si>
    <t>PGTEFT3765          IV-143402</t>
  </si>
  <si>
    <t>39972508</t>
  </si>
  <si>
    <t>ATF YOON PAULINE</t>
  </si>
  <si>
    <t>PGTEFT3767</t>
  </si>
  <si>
    <t>39963116</t>
  </si>
  <si>
    <t>GUIDE FEE FOR DEC TOH KIM HOCK</t>
  </si>
  <si>
    <t>PGTEFT3766</t>
  </si>
  <si>
    <t>INV177 178</t>
  </si>
  <si>
    <t>39968866</t>
  </si>
  <si>
    <t>RO WATER 60 DRUMS OMEGA SPARKLES SDN</t>
  </si>
  <si>
    <t>PGTEFT3757</t>
  </si>
  <si>
    <t>I-48854</t>
  </si>
  <si>
    <t>39969403</t>
  </si>
  <si>
    <t>JAPAN &amp; WTM OOI CHOK YAN</t>
  </si>
  <si>
    <t>PGTEFT3756</t>
  </si>
  <si>
    <t>39965266</t>
  </si>
  <si>
    <t>CHINA SOUTHERN AIRLI SEVEN TERRACES SDN.</t>
  </si>
  <si>
    <t>PGTEFT3763</t>
  </si>
  <si>
    <t>INV32590</t>
  </si>
  <si>
    <t>39967658</t>
  </si>
  <si>
    <t>PGTEFT3761</t>
  </si>
  <si>
    <t>INV152757</t>
  </si>
  <si>
    <t>PGTEFT3761          INV152757</t>
  </si>
  <si>
    <t>39968325</t>
  </si>
  <si>
    <t>PG TRAVELLERS MAP PEN'ADS (M) SDN BHD</t>
  </si>
  <si>
    <t>PGTEFT3759</t>
  </si>
  <si>
    <t>INV114461</t>
  </si>
  <si>
    <t>39967549</t>
  </si>
  <si>
    <t>PGTEFT3762</t>
  </si>
  <si>
    <t>PGTEFT3762          WELCOMING RECEPTION</t>
  </si>
  <si>
    <t>39968528</t>
  </si>
  <si>
    <t>PGTEFT3758</t>
  </si>
  <si>
    <t>INV01575-18</t>
  </si>
  <si>
    <t>PGTEFT3758          INV01575-18</t>
  </si>
  <si>
    <t>39967883</t>
  </si>
  <si>
    <t>HOT AIR BALLOON PERSATUAN IBU BAPA</t>
  </si>
  <si>
    <t>PGTEFT3760</t>
  </si>
  <si>
    <t>RENTAL OF CAR PARK</t>
  </si>
  <si>
    <t>39964749</t>
  </si>
  <si>
    <t>TRANSPORTATION TVB TONG YAN TRAVEL &amp; T</t>
  </si>
  <si>
    <t>PGTEFT3764</t>
  </si>
  <si>
    <t>DIYE5895</t>
  </si>
  <si>
    <t>39970925</t>
  </si>
  <si>
    <t>PGTEFT3754</t>
  </si>
  <si>
    <t>INV19615</t>
  </si>
  <si>
    <t>PGTEFT3754          INV19615</t>
  </si>
  <si>
    <t>39971777</t>
  </si>
  <si>
    <t>BAMBOO CATERING (M)</t>
  </si>
  <si>
    <t>PGTEFT3748</t>
  </si>
  <si>
    <t>INV16018-11310</t>
  </si>
  <si>
    <t>PGTEFT3748          INV16018-11310</t>
  </si>
  <si>
    <t>39971130</t>
  </si>
  <si>
    <t>PGTEFT3753</t>
  </si>
  <si>
    <t>CHINA</t>
  </si>
  <si>
    <t>PGTEFT3753          CHINA</t>
  </si>
  <si>
    <t>39971491</t>
  </si>
  <si>
    <t>PGTEFT3750</t>
  </si>
  <si>
    <t>INV00012862</t>
  </si>
  <si>
    <t>PGTEFT3750          INV00012862</t>
  </si>
  <si>
    <t>39971277</t>
  </si>
  <si>
    <t>PGTEFT3752</t>
  </si>
  <si>
    <t>GIV-1811-33</t>
  </si>
  <si>
    <t>PGTEFT3752          GIV-1811-33</t>
  </si>
  <si>
    <t>39971940</t>
  </si>
  <si>
    <t>ADVANCED CREATIVE TE</t>
  </si>
  <si>
    <t>PGTEFT3747</t>
  </si>
  <si>
    <t>INV911703</t>
  </si>
  <si>
    <t>PGTEFT3747          INV911703</t>
  </si>
  <si>
    <t>39971605</t>
  </si>
  <si>
    <t>PGTEFT3749</t>
  </si>
  <si>
    <t>INV0000882</t>
  </si>
  <si>
    <t>39969664</t>
  </si>
  <si>
    <t>PGTEFT3755</t>
  </si>
  <si>
    <t>PGTEFT3755          WELCOMING RECEPTION</t>
  </si>
  <si>
    <t>39971383</t>
  </si>
  <si>
    <t>PGTEFT3751</t>
  </si>
  <si>
    <t>2018-00051</t>
  </si>
  <si>
    <t>PGTEFT3751          2018-00051</t>
  </si>
  <si>
    <t>284056123</t>
  </si>
  <si>
    <t>00722271218T5432                       I</t>
  </si>
  <si>
    <t>00688334</t>
  </si>
  <si>
    <t>00688333</t>
  </si>
  <si>
    <t>00688331</t>
  </si>
  <si>
    <t>00688324</t>
  </si>
  <si>
    <t>00688322</t>
  </si>
  <si>
    <t>00688320</t>
  </si>
  <si>
    <t>00688319</t>
  </si>
  <si>
    <t>284036313</t>
  </si>
  <si>
    <t>00722201218T5911   /INT/DO NOT CONVERT M</t>
  </si>
  <si>
    <t>284035714</t>
  </si>
  <si>
    <t>00722201218T5717   /INT/DO NOT CONVERT C</t>
  </si>
  <si>
    <t>50432465</t>
  </si>
  <si>
    <t>190039673831</t>
  </si>
  <si>
    <t>U2018122001527 RTB1812190039673831.TXT</t>
  </si>
  <si>
    <t>1812190039673831</t>
  </si>
  <si>
    <t>00688323</t>
  </si>
  <si>
    <t>39674218</t>
  </si>
  <si>
    <t>TAN LIU CHIN</t>
  </si>
  <si>
    <t>PGTEFT3696</t>
  </si>
  <si>
    <t>DESIGNING FEE</t>
  </si>
  <si>
    <t>PGTEFT3696          DESIGNING FEE</t>
  </si>
  <si>
    <t>39671539</t>
  </si>
  <si>
    <t>PMED DINNER HOSTING BUMIMAJU SENTRAL SD</t>
  </si>
  <si>
    <t>PGTEFT3740</t>
  </si>
  <si>
    <t>INV3817</t>
  </si>
  <si>
    <t>2018121917915877</t>
  </si>
  <si>
    <t>201812190039671750</t>
  </si>
  <si>
    <t>FOR NOV OOI CHOK YAN</t>
  </si>
  <si>
    <t>PGTEFT3742</t>
  </si>
  <si>
    <t>39671336</t>
  </si>
  <si>
    <t>PGTEFT3679</t>
  </si>
  <si>
    <t>INV114362</t>
  </si>
  <si>
    <t>2018121917878708</t>
  </si>
  <si>
    <t>39637076</t>
  </si>
  <si>
    <t>JAPAN,WTM,FAMS YOON PAULINE</t>
  </si>
  <si>
    <t>PGTEFT1143</t>
  </si>
  <si>
    <t>2018121917878682</t>
  </si>
  <si>
    <t>2018121917878704</t>
  </si>
  <si>
    <t>39637143</t>
  </si>
  <si>
    <t>MEDIA COVERAGE TAN SEANG AUN</t>
  </si>
  <si>
    <t>PGTEFT3737</t>
  </si>
  <si>
    <t>PMED FAM CLAIM</t>
  </si>
  <si>
    <t>39637300</t>
  </si>
  <si>
    <t>TSUYOI CONNECTIVITY</t>
  </si>
  <si>
    <t>PGTEFT3731</t>
  </si>
  <si>
    <t>INV18-0220</t>
  </si>
  <si>
    <t>PGTEFT3731          INV18-0220</t>
  </si>
  <si>
    <t>39637276</t>
  </si>
  <si>
    <t>PGTEFT3733</t>
  </si>
  <si>
    <t>INV18-084</t>
  </si>
  <si>
    <t>PGTEFT3733          INV18-084</t>
  </si>
  <si>
    <t>39637532</t>
  </si>
  <si>
    <t>PENANG INSTITUTE</t>
  </si>
  <si>
    <t>PGTEFT3725</t>
  </si>
  <si>
    <t>PT035-18</t>
  </si>
  <si>
    <t>PGTEFT3725          PT035-18</t>
  </si>
  <si>
    <t>39637380</t>
  </si>
  <si>
    <t>PGTEFT3729</t>
  </si>
  <si>
    <t>GTLF PAM</t>
  </si>
  <si>
    <t>PGTEFT3729          GTLF PAM</t>
  </si>
  <si>
    <t>39637404</t>
  </si>
  <si>
    <t>PENELOPE YUEN LI JYN</t>
  </si>
  <si>
    <t>PGTEFT3727</t>
  </si>
  <si>
    <t>INV7 - 11</t>
  </si>
  <si>
    <t>PGTEFT3727          INV7 - 11</t>
  </si>
  <si>
    <t>39637328</t>
  </si>
  <si>
    <t>PERSATUAN IBU BAPA D</t>
  </si>
  <si>
    <t>PGTEFT3730</t>
  </si>
  <si>
    <t>HAB CAR PARK RENTAL</t>
  </si>
  <si>
    <t>PGTEFT3730          HAB CAR PARK RENTAL</t>
  </si>
  <si>
    <t>39637290</t>
  </si>
  <si>
    <t>PGTEFT3732</t>
  </si>
  <si>
    <t>PGTEFT3732          ACC233560</t>
  </si>
  <si>
    <t>39637567</t>
  </si>
  <si>
    <t>PERFORMANCE PLUS MA</t>
  </si>
  <si>
    <t>PGTEFT3724</t>
  </si>
  <si>
    <t>PPM18-12-01</t>
  </si>
  <si>
    <t>39637391</t>
  </si>
  <si>
    <t>HERE &amp; NOW VIDEO, PG RISING ONE MEDIA SD</t>
  </si>
  <si>
    <t>PGTEFT3728</t>
  </si>
  <si>
    <t>INN14349</t>
  </si>
  <si>
    <t>39637420</t>
  </si>
  <si>
    <t>COURSE FEE PENANG SKILLS DEVEL</t>
  </si>
  <si>
    <t>PGTEFT3726</t>
  </si>
  <si>
    <t>INV1832643</t>
  </si>
  <si>
    <t>39637751</t>
  </si>
  <si>
    <t>PGTEF3717</t>
  </si>
  <si>
    <t>INV19613</t>
  </si>
  <si>
    <t>PGTEF3717           INV19613</t>
  </si>
  <si>
    <t>39637670</t>
  </si>
  <si>
    <t>PGTEFT3723</t>
  </si>
  <si>
    <t>PGT-PHF-18</t>
  </si>
  <si>
    <t>PGTEFT3723          PGT-PHF-18</t>
  </si>
  <si>
    <t>39637775</t>
  </si>
  <si>
    <t>PGTEFT3715</t>
  </si>
  <si>
    <t>INV00585</t>
  </si>
  <si>
    <t>PGTEFT3715          INV00585</t>
  </si>
  <si>
    <t>39637741</t>
  </si>
  <si>
    <t>PGTEFT3719</t>
  </si>
  <si>
    <t>INV2018-0017</t>
  </si>
  <si>
    <t>39637695</t>
  </si>
  <si>
    <t>PGTEFT3721</t>
  </si>
  <si>
    <t>PGTEFT3721          NV2300</t>
  </si>
  <si>
    <t>39637745</t>
  </si>
  <si>
    <t>LOO CHEE KHUAN</t>
  </si>
  <si>
    <t>PGTEFT3718</t>
  </si>
  <si>
    <t>PGTEFT3718          PHOTOGRAPHY SERVICES</t>
  </si>
  <si>
    <t>39637760</t>
  </si>
  <si>
    <t>PGTEFT3716</t>
  </si>
  <si>
    <t>INV00044</t>
  </si>
  <si>
    <t>PGTEFT3716          INV00044</t>
  </si>
  <si>
    <t>39637688</t>
  </si>
  <si>
    <t>PGTEFT3722</t>
  </si>
  <si>
    <t>INV543</t>
  </si>
  <si>
    <t>PGTEFT3722          INV543</t>
  </si>
  <si>
    <t>39637784</t>
  </si>
  <si>
    <t>PGTEFT3714</t>
  </si>
  <si>
    <t>HPT00017445 17177</t>
  </si>
  <si>
    <t>PGTEFT3714          HPT00017445 17177</t>
  </si>
  <si>
    <t>39637698</t>
  </si>
  <si>
    <t>CIIE CHINA VISA NG CHUN HOW</t>
  </si>
  <si>
    <t>PGTEFT3720</t>
  </si>
  <si>
    <t>39637937</t>
  </si>
  <si>
    <t>HOT PRINT DESIGN &amp; A</t>
  </si>
  <si>
    <t>PGTEFT3672</t>
  </si>
  <si>
    <t>DO1810-124</t>
  </si>
  <si>
    <t>PGTEFT3672          DO1810-124</t>
  </si>
  <si>
    <t>39638056</t>
  </si>
  <si>
    <t>PGTEFT3738</t>
  </si>
  <si>
    <t>PGTEFT3738          ACC1618-3542</t>
  </si>
  <si>
    <t>39637839</t>
  </si>
  <si>
    <t>ACCOUNTS-OCT &amp; NOV CORPORATENET SDN BH</t>
  </si>
  <si>
    <t>PGTEFT3709</t>
  </si>
  <si>
    <t>CNET18-3671 3809</t>
  </si>
  <si>
    <t>39637887</t>
  </si>
  <si>
    <t>2017 ROSLI BIN JAAFAR</t>
  </si>
  <si>
    <t>PGTEFT3707</t>
  </si>
  <si>
    <t>BOD MEETING ALLOWNCE</t>
  </si>
  <si>
    <t>39637814</t>
  </si>
  <si>
    <t>PGTEFT3711</t>
  </si>
  <si>
    <t>INV11-18INV</t>
  </si>
  <si>
    <t>PGTEFT3711          INV11-18INV</t>
  </si>
  <si>
    <t>39637798</t>
  </si>
  <si>
    <t>PGTEFT3713</t>
  </si>
  <si>
    <t>MY00200233704</t>
  </si>
  <si>
    <t>PGTEFT3713          MY00200233704</t>
  </si>
  <si>
    <t>39637848</t>
  </si>
  <si>
    <t>PGTEFT3708</t>
  </si>
  <si>
    <t>PGTEFT3708          PHOTOGRAPHY SERVICES</t>
  </si>
  <si>
    <t>39637917</t>
  </si>
  <si>
    <t>NEXT TREND PUBLICATI</t>
  </si>
  <si>
    <t>PGTEFT3676</t>
  </si>
  <si>
    <t>EC1811-02</t>
  </si>
  <si>
    <t>PGTEFT3676          EC1811-02</t>
  </si>
  <si>
    <t>39637809</t>
  </si>
  <si>
    <t>NASI KANDAR&amp;TEOCHEW  EMILIA BT ISMAIL</t>
  </si>
  <si>
    <t>PGTEFT3712</t>
  </si>
  <si>
    <t>39637817</t>
  </si>
  <si>
    <t>PAYROLL-NOV'18 CORPORATENET ADVISO</t>
  </si>
  <si>
    <t>PGTEFT3710</t>
  </si>
  <si>
    <t>CA-18-0156</t>
  </si>
  <si>
    <t>00688318</t>
  </si>
  <si>
    <t>00688314</t>
  </si>
  <si>
    <t>284026234</t>
  </si>
  <si>
    <t>00722181218T5816                       P</t>
  </si>
  <si>
    <t>284026246</t>
  </si>
  <si>
    <t>00722181218T5820                       C</t>
  </si>
  <si>
    <t>39560834</t>
  </si>
  <si>
    <t>PROFORMA-8769086</t>
  </si>
  <si>
    <t>PGTEFT3707          PROFORMA-8769086</t>
  </si>
  <si>
    <t>00688326</t>
  </si>
  <si>
    <t>00688325</t>
  </si>
  <si>
    <t>39496112</t>
  </si>
  <si>
    <t>MUSTAFA KAMAL BIN MO</t>
  </si>
  <si>
    <t>PGTEFT3700</t>
  </si>
  <si>
    <t>PGT BOD MEETING ALLO</t>
  </si>
  <si>
    <t>PGTEFT3700          PGT BOD MEETING ALLO</t>
  </si>
  <si>
    <t>39496265</t>
  </si>
  <si>
    <t>ABDUL MALIK BIN ABDU</t>
  </si>
  <si>
    <t>PGTEFT3699</t>
  </si>
  <si>
    <t>PGTEFT3699          PGT BOD MEETING ALLO</t>
  </si>
  <si>
    <t>39496622</t>
  </si>
  <si>
    <t>LAW HENG KIANG</t>
  </si>
  <si>
    <t>PGTEFT3698</t>
  </si>
  <si>
    <t>PGTEFT3698          PGT BOD MEETING ALLO</t>
  </si>
  <si>
    <t>39495629</t>
  </si>
  <si>
    <t>KHOO BOO LIM</t>
  </si>
  <si>
    <t>PGTEFT3704</t>
  </si>
  <si>
    <t>PGTEFT3704          PGT BOD MEETING ALLO</t>
  </si>
  <si>
    <t>39495912</t>
  </si>
  <si>
    <t>FOR 2017 TAN SAM SOON</t>
  </si>
  <si>
    <t>PGTEFT3702</t>
  </si>
  <si>
    <t>39494669</t>
  </si>
  <si>
    <t>PGTEFT3705</t>
  </si>
  <si>
    <t>PGTEFT3705          PGT BOD MEETING ALLO</t>
  </si>
  <si>
    <t>39497270</t>
  </si>
  <si>
    <t>BABAJOB SDN BHD</t>
  </si>
  <si>
    <t>PGTEFT3664</t>
  </si>
  <si>
    <t>INVB1811042</t>
  </si>
  <si>
    <t>PGTEFT3664          INVB1811042</t>
  </si>
  <si>
    <t>39495997</t>
  </si>
  <si>
    <t>FOR 2017 DANNY GOON SIEW CHE</t>
  </si>
  <si>
    <t>PGTEFT3701</t>
  </si>
  <si>
    <t>39495793</t>
  </si>
  <si>
    <t>FOR 2017 R ARUNASALAM A/L V</t>
  </si>
  <si>
    <t>PGTEFT3703</t>
  </si>
  <si>
    <t>IBG INWARD RETURN</t>
  </si>
  <si>
    <t>0231</t>
  </si>
  <si>
    <t>INVALID COMPANY IDEN</t>
  </si>
  <si>
    <t>IBG RETURN : R21</t>
  </si>
  <si>
    <t>39325797</t>
  </si>
  <si>
    <t>PGTEFT3693</t>
  </si>
  <si>
    <t>PGTEFT3693          WELCOMING RECEPTION</t>
  </si>
  <si>
    <t>39325915</t>
  </si>
  <si>
    <t>PGTEFT3692</t>
  </si>
  <si>
    <t>PGTEFT3692          WELCOMING RECEPTION</t>
  </si>
  <si>
    <t>39326573</t>
  </si>
  <si>
    <t>PGTEFT3688</t>
  </si>
  <si>
    <t>INV18-075-077</t>
  </si>
  <si>
    <t>PGTEFT3688          INV18-075-077</t>
  </si>
  <si>
    <t>39326320</t>
  </si>
  <si>
    <t>50% BALANCE TG SOLUTIONS</t>
  </si>
  <si>
    <t>PGTEFT3690</t>
  </si>
  <si>
    <t>I002-PGT-2018</t>
  </si>
  <si>
    <t>39326075</t>
  </si>
  <si>
    <t>PGTEFT3691</t>
  </si>
  <si>
    <t>PGTEFT3691          ACC233560</t>
  </si>
  <si>
    <t>39326767</t>
  </si>
  <si>
    <t>FAM TRANSPORTATION TONG YAN TRAVEL &amp; T</t>
  </si>
  <si>
    <t>PGTEFT3687</t>
  </si>
  <si>
    <t>DITYE5894</t>
  </si>
  <si>
    <t>39326447</t>
  </si>
  <si>
    <t>GUIDE FEE NOV TOH KIM HOCK</t>
  </si>
  <si>
    <t>PGTEFT3689</t>
  </si>
  <si>
    <t>INV173 -176</t>
  </si>
  <si>
    <t>39327392</t>
  </si>
  <si>
    <t>PGTEFT3680</t>
  </si>
  <si>
    <t>PGTEFT3680          WELCOMING RECEPTION</t>
  </si>
  <si>
    <t>2018121215814125</t>
  </si>
  <si>
    <t>2018121215814167</t>
  </si>
  <si>
    <t>39327106</t>
  </si>
  <si>
    <t>OMAN AIR FAM TOUR &amp; INCENTIVE TR</t>
  </si>
  <si>
    <t>PGTEFT3682</t>
  </si>
  <si>
    <t>PRO368-18</t>
  </si>
  <si>
    <t>39327830</t>
  </si>
  <si>
    <t>PGTEFT3677</t>
  </si>
  <si>
    <t>PGTEFT3677          NV2300</t>
  </si>
  <si>
    <t>2018121215814161</t>
  </si>
  <si>
    <t>39327669</t>
  </si>
  <si>
    <t>PGTEFT3678</t>
  </si>
  <si>
    <t>20181112 20181124</t>
  </si>
  <si>
    <t>PGTEFT3678          20181112 20181124</t>
  </si>
  <si>
    <t>39327220</t>
  </si>
  <si>
    <t>PGTEFT3681</t>
  </si>
  <si>
    <t>SHB00698</t>
  </si>
  <si>
    <t>PGTEFT3681          SHB00698</t>
  </si>
  <si>
    <t>39326996</t>
  </si>
  <si>
    <t>PGTEFT3683</t>
  </si>
  <si>
    <t>IV-142372</t>
  </si>
  <si>
    <t>PGTEFT3683          IV-142372</t>
  </si>
  <si>
    <t>39328925</t>
  </si>
  <si>
    <t>GZ, ITB ASIA &amp; TAIWA OOI CHOK YAN</t>
  </si>
  <si>
    <t>PGTEFT3675</t>
  </si>
  <si>
    <t>39329892</t>
  </si>
  <si>
    <t>PGTEFT3667</t>
  </si>
  <si>
    <t>PGT10-18INV</t>
  </si>
  <si>
    <t>PGTEFT3667          PGT10-18INV</t>
  </si>
  <si>
    <t>39329980</t>
  </si>
  <si>
    <t>CHING XING SPORTS AN</t>
  </si>
  <si>
    <t>PGTEFT3666</t>
  </si>
  <si>
    <t>211120-01-PGT</t>
  </si>
  <si>
    <t>PGTEFT3666          211120-01-PGT</t>
  </si>
  <si>
    <t>39329538</t>
  </si>
  <si>
    <t>PGTEFT3671</t>
  </si>
  <si>
    <t>DIHYT7030</t>
  </si>
  <si>
    <t>PGTEFT3671          DIHYT7030</t>
  </si>
  <si>
    <t>39329632</t>
  </si>
  <si>
    <t>PGTEFT3670</t>
  </si>
  <si>
    <t>P17331 P17335</t>
  </si>
  <si>
    <t>PGTEFT3670          P17331 P17335</t>
  </si>
  <si>
    <t>39330031</t>
  </si>
  <si>
    <t>INV00050922</t>
  </si>
  <si>
    <t>PGTEFT3664          INV00050922</t>
  </si>
  <si>
    <t>39329115</t>
  </si>
  <si>
    <t>PGTEFT3674</t>
  </si>
  <si>
    <t>INV19610-612</t>
  </si>
  <si>
    <t>PGTEFT3674          INV19610-612</t>
  </si>
  <si>
    <t>39329701</t>
  </si>
  <si>
    <t>PGTEFT3669</t>
  </si>
  <si>
    <t>S1811027</t>
  </si>
  <si>
    <t>PGTEFT3669          S1811027</t>
  </si>
  <si>
    <t>39330231</t>
  </si>
  <si>
    <t>B1811042</t>
  </si>
  <si>
    <t>PGTEFT3664          B1811042</t>
  </si>
  <si>
    <t>39329255</t>
  </si>
  <si>
    <t>PGTEFT3673</t>
  </si>
  <si>
    <t>AIR TICKET</t>
  </si>
  <si>
    <t>PGTEFT3673          AIR TICKET</t>
  </si>
  <si>
    <t>39329794</t>
  </si>
  <si>
    <t>EMILIA BT ISMAIL</t>
  </si>
  <si>
    <t>PGTEFT3668</t>
  </si>
  <si>
    <t>00688317</t>
  </si>
  <si>
    <t>00688315</t>
  </si>
  <si>
    <t>39054225</t>
  </si>
  <si>
    <t>PGTEFT3695</t>
  </si>
  <si>
    <t>BM-181115</t>
  </si>
  <si>
    <t>PGTEFT3695          BM-181115</t>
  </si>
  <si>
    <t>39054234</t>
  </si>
  <si>
    <t>PGTEFT3694</t>
  </si>
  <si>
    <t>PGTEFT3694          CLEANING SERVICES</t>
  </si>
  <si>
    <t>39054203</t>
  </si>
  <si>
    <t>CASH ADVANCE TAN SEANG AUN</t>
  </si>
  <si>
    <t>PMED</t>
  </si>
  <si>
    <t>00688316</t>
  </si>
  <si>
    <t>00688313</t>
  </si>
  <si>
    <t>290091614</t>
  </si>
  <si>
    <t>20008041218T0095</t>
  </si>
  <si>
    <t>290091616</t>
  </si>
  <si>
    <t>20008041218T0090</t>
  </si>
  <si>
    <t>283980861</t>
  </si>
  <si>
    <t>00722041218T5908                       P</t>
  </si>
  <si>
    <t>38962961</t>
  </si>
  <si>
    <t>Inv0032-2018-OCY-MIC</t>
  </si>
  <si>
    <t>Pata and ITE Fee</t>
  </si>
  <si>
    <t>TONG YAN TRAVEL &amp; TO</t>
  </si>
  <si>
    <t>00688312</t>
  </si>
  <si>
    <t>00688311</t>
  </si>
  <si>
    <t>00688306</t>
  </si>
  <si>
    <t>00688301</t>
  </si>
  <si>
    <t>38864368</t>
  </si>
  <si>
    <t>ANSURANCE KE 11 CP20 AKAUN KJAAN MSIA PU</t>
  </si>
  <si>
    <t>38864800</t>
  </si>
  <si>
    <t>PGTEFT3663</t>
  </si>
  <si>
    <t>RENTAL-DEC18</t>
  </si>
  <si>
    <t>PGTEFT3663          RENTAL-DEC18</t>
  </si>
  <si>
    <t>38864129</t>
  </si>
  <si>
    <t>WELCOMING RECEPTION AZFALYZA BINTI ABDU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</si>
</sst>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4" applyNumberFormat="0" applyAlignment="0" applyProtection="0"/>
    <xf numFmtId="0" fontId="12" fillId="8" borderId="5" applyNumberFormat="0" applyAlignment="0" applyProtection="0"/>
    <xf numFmtId="0" fontId="13" fillId="8" borderId="4" applyNumberFormat="0" applyAlignment="0" applyProtection="0"/>
    <xf numFmtId="0" fontId="14" fillId="0" borderId="6" applyNumberFormat="0" applyFill="0" applyAlignment="0" applyProtection="0"/>
    <xf numFmtId="0" fontId="15" fillId="9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8" applyNumberFormat="0" applyFont="0" applyAlignment="0" applyProtection="0"/>
  </cellStyleXfs>
  <cellXfs count="19">
    <xf numFmtId="0" fontId="0" fillId="0" borderId="0" xfId="0"/>
    <xf numFmtId="0" fontId="0" fillId="0" borderId="0" xfId="0" applyFont="1"/>
    <xf numFmtId="43" fontId="0" fillId="0" borderId="0" xfId="1" applyFont="1"/>
    <xf numFmtId="0" fontId="0" fillId="0" borderId="0" xfId="0" applyFon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43" fontId="0" fillId="0" borderId="0" xfId="1" applyFont="1" applyAlignment="1">
      <alignment horizontal="center" wrapText="1"/>
    </xf>
    <xf numFmtId="0" fontId="0" fillId="0" borderId="0" xfId="2" applyFont="1" applyFill="1"/>
    <xf numFmtId="43" fontId="0" fillId="0" borderId="0" xfId="3" applyFont="1" applyFill="1"/>
    <xf numFmtId="0" fontId="0" fillId="0" borderId="0" xfId="0" applyFont="1" applyFill="1"/>
    <xf numFmtId="43" fontId="0" fillId="0" borderId="0" xfId="1" applyFont="1" applyFill="1"/>
    <xf numFmtId="0" fontId="0" fillId="0" borderId="0" xfId="0" applyFont="1" applyAlignment="1">
      <alignment horizontal="center"/>
    </xf>
    <xf numFmtId="0" fontId="0" fillId="0" borderId="0" xfId="2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0" borderId="0" xfId="0" applyFill="1"/>
    <xf numFmtId="43" fontId="0" fillId="2" borderId="0" xfId="1" applyFont="1" applyFill="1"/>
    <xf numFmtId="43" fontId="0" fillId="3" borderId="0" xfId="1" applyFont="1" applyFill="1"/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3" xr:uid="{00000000-0005-0000-0000-000001000000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03000000}"/>
    <cellStyle name="Normal 3" xfId="44" xr:uid="{00000000-0005-0000-0000-000031000000}"/>
    <cellStyle name="Note 2" xfId="45" xr:uid="{00000000-0005-0000-0000-000032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6"/>
  <sheetViews>
    <sheetView topLeftCell="A7" workbookViewId="0">
      <selection activeCell="E14" sqref="E14"/>
    </sheetView>
  </sheetViews>
  <sheetFormatPr defaultRowHeight="15" x14ac:dyDescent="0.25"/>
  <cols>
    <col min="1" max="1" width="14.5703125" style="1" customWidth="1"/>
    <col min="2" max="2" width="10.85546875" style="1" customWidth="1"/>
    <col min="3" max="3" width="12.140625" style="1" customWidth="1"/>
    <col min="4" max="4" width="14.140625" style="1" customWidth="1"/>
    <col min="5" max="5" width="29.5703125" style="1" bestFit="1" customWidth="1"/>
    <col min="6" max="6" width="13.28515625" style="1" customWidth="1"/>
    <col min="7" max="7" width="15.42578125" style="11" customWidth="1"/>
    <col min="8" max="8" width="18.85546875" style="2" customWidth="1"/>
    <col min="9" max="9" width="16.42578125" style="1" customWidth="1"/>
    <col min="10" max="10" width="12.28515625" style="2" customWidth="1"/>
    <col min="11" max="11" width="14.85546875" style="1" bestFit="1" customWidth="1"/>
    <col min="12" max="12" width="18.42578125" style="1" bestFit="1" customWidth="1"/>
    <col min="13" max="13" width="41" style="1" bestFit="1" customWidth="1"/>
    <col min="14" max="14" width="7.85546875" style="1" bestFit="1" customWidth="1"/>
    <col min="15" max="15" width="14.140625" style="1" bestFit="1" customWidth="1"/>
    <col min="16" max="16" width="21.5703125" style="1" bestFit="1" customWidth="1"/>
    <col min="17" max="17" width="23.7109375" style="1" bestFit="1" customWidth="1"/>
    <col min="18" max="16384" width="9.140625" style="1"/>
  </cols>
  <sheetData>
    <row r="1" spans="1:18" x14ac:dyDescent="0.25">
      <c r="A1" s="1" t="s">
        <v>0</v>
      </c>
    </row>
    <row r="2" spans="1:18" x14ac:dyDescent="0.25">
      <c r="A2" s="1" t="s">
        <v>1</v>
      </c>
      <c r="B2" s="1" t="s">
        <v>2</v>
      </c>
    </row>
    <row r="3" spans="1:18" x14ac:dyDescent="0.25">
      <c r="A3" s="1" t="s">
        <v>3</v>
      </c>
    </row>
    <row r="4" spans="1:18" x14ac:dyDescent="0.25">
      <c r="A4" s="1" t="s">
        <v>4</v>
      </c>
    </row>
    <row r="5" spans="1:18" x14ac:dyDescent="0.25">
      <c r="A5" s="1" t="s">
        <v>5</v>
      </c>
    </row>
    <row r="6" spans="1:18" x14ac:dyDescent="0.25">
      <c r="A6" s="1" t="s">
        <v>6</v>
      </c>
    </row>
    <row r="9" spans="1:18" s="3" customFormat="1" ht="39" customHeight="1" x14ac:dyDescent="0.25">
      <c r="A9" s="3" t="s">
        <v>7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4" t="s">
        <v>14</v>
      </c>
      <c r="I9" s="3" t="s">
        <v>15</v>
      </c>
      <c r="J9" s="4" t="s">
        <v>16</v>
      </c>
      <c r="K9" s="3" t="s">
        <v>17</v>
      </c>
      <c r="L9" s="3" t="s">
        <v>18</v>
      </c>
      <c r="M9" s="3" t="s">
        <v>19</v>
      </c>
      <c r="N9" s="3" t="s">
        <v>20</v>
      </c>
      <c r="O9" s="3" t="s">
        <v>21</v>
      </c>
      <c r="P9" s="3" t="s">
        <v>22</v>
      </c>
      <c r="Q9" s="3" t="s">
        <v>23</v>
      </c>
      <c r="R9" s="3" t="s">
        <v>24</v>
      </c>
    </row>
    <row r="11" spans="1:18" s="9" customFormat="1" x14ac:dyDescent="0.25">
      <c r="A11" s="7">
        <v>8003879954</v>
      </c>
      <c r="B11" s="7">
        <v>3</v>
      </c>
      <c r="C11" s="7">
        <v>31012018</v>
      </c>
      <c r="D11" s="7">
        <v>299</v>
      </c>
      <c r="E11" s="7" t="s">
        <v>30</v>
      </c>
      <c r="F11" s="7">
        <v>3471</v>
      </c>
      <c r="G11" s="12" t="s">
        <v>60</v>
      </c>
      <c r="H11" s="8">
        <v>2.16</v>
      </c>
      <c r="I11" s="7" t="s">
        <v>26</v>
      </c>
      <c r="J11" s="7">
        <v>1054379.28</v>
      </c>
      <c r="K11" s="7" t="s">
        <v>27</v>
      </c>
      <c r="L11" s="7">
        <v>53906</v>
      </c>
      <c r="M11" s="7" t="s">
        <v>32</v>
      </c>
      <c r="N11" s="7"/>
      <c r="O11" s="7">
        <v>1</v>
      </c>
      <c r="P11" s="7"/>
      <c r="Q11" s="7"/>
      <c r="R11" s="7"/>
    </row>
    <row r="12" spans="1:18" s="9" customFormat="1" x14ac:dyDescent="0.25">
      <c r="A12" s="7">
        <v>8003879954</v>
      </c>
      <c r="B12" s="7">
        <v>2</v>
      </c>
      <c r="C12" s="7">
        <v>31012018</v>
      </c>
      <c r="D12" s="7">
        <v>489</v>
      </c>
      <c r="E12" s="7" t="s">
        <v>56</v>
      </c>
      <c r="F12" s="7">
        <v>3471</v>
      </c>
      <c r="G12" s="12" t="s">
        <v>60</v>
      </c>
      <c r="H12" s="8">
        <v>36</v>
      </c>
      <c r="I12" s="7" t="s">
        <v>26</v>
      </c>
      <c r="J12" s="7">
        <v>1054381.44</v>
      </c>
      <c r="K12" s="7" t="s">
        <v>27</v>
      </c>
      <c r="L12" s="7">
        <v>53906</v>
      </c>
      <c r="M12" s="7" t="s">
        <v>32</v>
      </c>
      <c r="N12" s="7"/>
      <c r="O12" s="7">
        <v>1</v>
      </c>
      <c r="P12" s="7"/>
      <c r="Q12" s="7"/>
      <c r="R12" s="7"/>
    </row>
    <row r="13" spans="1:18" s="9" customFormat="1" x14ac:dyDescent="0.25">
      <c r="A13" s="7">
        <v>8003879954</v>
      </c>
      <c r="B13" s="7">
        <v>1</v>
      </c>
      <c r="C13" s="7">
        <v>31012018</v>
      </c>
      <c r="D13" s="7">
        <v>669</v>
      </c>
      <c r="E13" s="7" t="s">
        <v>33</v>
      </c>
      <c r="F13" s="7">
        <v>3471</v>
      </c>
      <c r="G13" s="12" t="s">
        <v>61</v>
      </c>
      <c r="H13" s="8">
        <v>82913.52</v>
      </c>
      <c r="I13" s="7" t="s">
        <v>26</v>
      </c>
      <c r="J13" s="7">
        <v>1054417.44</v>
      </c>
      <c r="K13" s="7" t="s">
        <v>27</v>
      </c>
      <c r="L13" s="7">
        <v>50749</v>
      </c>
      <c r="M13" s="7" t="s">
        <v>62</v>
      </c>
      <c r="N13" s="7"/>
      <c r="O13" s="7">
        <v>1</v>
      </c>
      <c r="P13" s="7" t="s">
        <v>63</v>
      </c>
      <c r="Q13" s="7"/>
      <c r="R13" s="7" t="s">
        <v>34</v>
      </c>
    </row>
    <row r="14" spans="1:18" s="9" customFormat="1" x14ac:dyDescent="0.25">
      <c r="A14" s="7">
        <v>8003879954</v>
      </c>
      <c r="B14" s="7">
        <v>3</v>
      </c>
      <c r="C14" s="7">
        <v>30012018</v>
      </c>
      <c r="D14" s="7">
        <v>123</v>
      </c>
      <c r="E14" s="7" t="s">
        <v>64</v>
      </c>
      <c r="F14" s="7">
        <v>2007</v>
      </c>
      <c r="G14" s="12" t="s">
        <v>65</v>
      </c>
      <c r="H14" s="8">
        <v>500</v>
      </c>
      <c r="I14" s="7" t="s">
        <v>27</v>
      </c>
      <c r="J14" s="7">
        <v>1137330.96</v>
      </c>
      <c r="K14" s="7" t="s">
        <v>27</v>
      </c>
      <c r="L14" s="7">
        <v>192627</v>
      </c>
      <c r="M14" s="7" t="s">
        <v>32</v>
      </c>
      <c r="N14" s="7"/>
      <c r="O14" s="7">
        <v>1</v>
      </c>
      <c r="P14" s="7"/>
      <c r="Q14" s="7"/>
      <c r="R14" s="7"/>
    </row>
    <row r="15" spans="1:18" s="9" customFormat="1" x14ac:dyDescent="0.25">
      <c r="A15" s="7">
        <v>8003879954</v>
      </c>
      <c r="B15" s="7">
        <v>2</v>
      </c>
      <c r="C15" s="7">
        <v>30012018</v>
      </c>
      <c r="D15" s="7">
        <v>123</v>
      </c>
      <c r="E15" s="7" t="s">
        <v>64</v>
      </c>
      <c r="F15" s="7">
        <v>2007</v>
      </c>
      <c r="G15" s="12" t="s">
        <v>66</v>
      </c>
      <c r="H15" s="8">
        <v>1000</v>
      </c>
      <c r="I15" s="7" t="s">
        <v>27</v>
      </c>
      <c r="J15" s="7">
        <v>1136830.96</v>
      </c>
      <c r="K15" s="7" t="s">
        <v>27</v>
      </c>
      <c r="L15" s="7">
        <v>192627</v>
      </c>
      <c r="M15" s="7" t="s">
        <v>32</v>
      </c>
      <c r="N15" s="7"/>
      <c r="O15" s="7">
        <v>1</v>
      </c>
      <c r="P15" s="7"/>
      <c r="Q15" s="7"/>
      <c r="R15" s="7"/>
    </row>
    <row r="16" spans="1:18" s="9" customFormat="1" x14ac:dyDescent="0.25">
      <c r="A16" s="7">
        <v>8003879954</v>
      </c>
      <c r="B16" s="7">
        <v>1</v>
      </c>
      <c r="C16" s="7">
        <v>30012018</v>
      </c>
      <c r="D16" s="7">
        <v>123</v>
      </c>
      <c r="E16" s="7" t="s">
        <v>64</v>
      </c>
      <c r="F16" s="7">
        <v>2007</v>
      </c>
      <c r="G16" s="12" t="s">
        <v>67</v>
      </c>
      <c r="H16" s="8">
        <v>2000</v>
      </c>
      <c r="I16" s="7" t="s">
        <v>27</v>
      </c>
      <c r="J16" s="7">
        <v>1135830.96</v>
      </c>
      <c r="K16" s="7" t="s">
        <v>27</v>
      </c>
      <c r="L16" s="7">
        <v>192627</v>
      </c>
      <c r="M16" s="7" t="s">
        <v>32</v>
      </c>
      <c r="N16" s="7"/>
      <c r="O16" s="7">
        <v>1</v>
      </c>
      <c r="P16" s="7"/>
      <c r="Q16" s="7"/>
      <c r="R16" s="7"/>
    </row>
    <row r="17" spans="1:18" s="9" customFormat="1" x14ac:dyDescent="0.25">
      <c r="A17" s="7">
        <v>8003879954</v>
      </c>
      <c r="B17" s="7">
        <v>2</v>
      </c>
      <c r="C17" s="7">
        <v>29012018</v>
      </c>
      <c r="D17" s="7">
        <v>299</v>
      </c>
      <c r="E17" s="7" t="s">
        <v>30</v>
      </c>
      <c r="F17" s="7">
        <v>1419</v>
      </c>
      <c r="G17" s="12" t="s">
        <v>68</v>
      </c>
      <c r="H17" s="8">
        <v>0.41</v>
      </c>
      <c r="I17" s="7" t="s">
        <v>26</v>
      </c>
      <c r="J17" s="7">
        <v>1133830.96</v>
      </c>
      <c r="K17" s="7" t="s">
        <v>27</v>
      </c>
      <c r="L17" s="7">
        <v>114037</v>
      </c>
      <c r="M17" s="7" t="s">
        <v>69</v>
      </c>
      <c r="N17" s="7"/>
      <c r="O17" s="7">
        <v>1</v>
      </c>
      <c r="P17" s="7"/>
      <c r="Q17" s="7"/>
      <c r="R17" s="7"/>
    </row>
    <row r="18" spans="1:18" s="9" customFormat="1" x14ac:dyDescent="0.25">
      <c r="A18" s="7">
        <v>8003879954</v>
      </c>
      <c r="B18" s="7">
        <v>1</v>
      </c>
      <c r="C18" s="7">
        <v>29012018</v>
      </c>
      <c r="D18" s="7">
        <v>415</v>
      </c>
      <c r="E18" s="7" t="s">
        <v>48</v>
      </c>
      <c r="F18" s="7">
        <v>1419</v>
      </c>
      <c r="G18" s="12" t="s">
        <v>68</v>
      </c>
      <c r="H18" s="8">
        <v>6.86</v>
      </c>
      <c r="I18" s="7" t="s">
        <v>26</v>
      </c>
      <c r="J18" s="7">
        <v>1133831.3700000001</v>
      </c>
      <c r="K18" s="7" t="s">
        <v>27</v>
      </c>
      <c r="L18" s="7">
        <v>114037</v>
      </c>
      <c r="M18" s="7" t="s">
        <v>69</v>
      </c>
      <c r="N18" s="7"/>
      <c r="O18" s="7">
        <v>1</v>
      </c>
      <c r="P18" s="7"/>
      <c r="Q18" s="7"/>
      <c r="R18" s="7"/>
    </row>
    <row r="19" spans="1:18" s="9" customFormat="1" x14ac:dyDescent="0.25">
      <c r="A19" s="7">
        <v>8003879954</v>
      </c>
      <c r="B19" s="7">
        <v>43</v>
      </c>
      <c r="C19" s="7">
        <v>25012018</v>
      </c>
      <c r="D19" s="7">
        <v>60</v>
      </c>
      <c r="E19" s="7" t="s">
        <v>37</v>
      </c>
      <c r="F19" s="7">
        <v>9938</v>
      </c>
      <c r="G19" s="12" t="s">
        <v>70</v>
      </c>
      <c r="H19" s="8">
        <v>5300</v>
      </c>
      <c r="I19" s="7" t="s">
        <v>26</v>
      </c>
      <c r="J19" s="7">
        <v>1133838.23</v>
      </c>
      <c r="K19" s="7" t="s">
        <v>27</v>
      </c>
      <c r="L19" s="7">
        <v>203915</v>
      </c>
      <c r="M19" s="7" t="s">
        <v>71</v>
      </c>
      <c r="N19" s="7"/>
      <c r="O19" s="7">
        <v>1</v>
      </c>
      <c r="P19" s="7" t="s">
        <v>72</v>
      </c>
      <c r="Q19" s="7" t="s">
        <v>73</v>
      </c>
      <c r="R19" s="7"/>
    </row>
    <row r="20" spans="1:18" s="9" customFormat="1" x14ac:dyDescent="0.25">
      <c r="A20" s="7">
        <v>8003879954</v>
      </c>
      <c r="B20" s="7">
        <v>42</v>
      </c>
      <c r="C20" s="7">
        <v>25012018</v>
      </c>
      <c r="D20" s="7">
        <v>341</v>
      </c>
      <c r="E20" s="7" t="s">
        <v>25</v>
      </c>
      <c r="F20" s="7">
        <v>9938</v>
      </c>
      <c r="G20" s="12" t="s">
        <v>74</v>
      </c>
      <c r="H20" s="8">
        <v>55.25</v>
      </c>
      <c r="I20" s="7" t="s">
        <v>26</v>
      </c>
      <c r="J20" s="7">
        <v>1139138.23</v>
      </c>
      <c r="K20" s="7" t="s">
        <v>27</v>
      </c>
      <c r="L20" s="7">
        <v>203916</v>
      </c>
      <c r="M20" s="7" t="s">
        <v>75</v>
      </c>
      <c r="N20" s="7"/>
      <c r="O20" s="7">
        <v>1</v>
      </c>
      <c r="P20" s="7" t="s">
        <v>76</v>
      </c>
      <c r="Q20" s="7" t="s">
        <v>77</v>
      </c>
    </row>
    <row r="21" spans="1:18" s="9" customFormat="1" x14ac:dyDescent="0.25">
      <c r="A21" s="7">
        <v>8003879954</v>
      </c>
      <c r="B21" s="7">
        <v>41</v>
      </c>
      <c r="C21" s="7">
        <v>25012018</v>
      </c>
      <c r="D21" s="7">
        <v>299</v>
      </c>
      <c r="E21" s="7" t="s">
        <v>30</v>
      </c>
      <c r="F21" s="7">
        <v>9938</v>
      </c>
      <c r="G21" s="12" t="s">
        <v>74</v>
      </c>
      <c r="H21" s="8">
        <v>0.01</v>
      </c>
      <c r="I21" s="7" t="s">
        <v>26</v>
      </c>
      <c r="J21" s="7">
        <v>1139193.48</v>
      </c>
      <c r="K21" s="7" t="s">
        <v>27</v>
      </c>
      <c r="L21" s="7">
        <v>203916</v>
      </c>
      <c r="M21" s="7" t="s">
        <v>78</v>
      </c>
      <c r="N21" s="7"/>
      <c r="O21" s="7">
        <v>1</v>
      </c>
      <c r="P21" s="7"/>
      <c r="Q21" s="7"/>
    </row>
    <row r="22" spans="1:18" s="9" customFormat="1" x14ac:dyDescent="0.25">
      <c r="A22" s="7">
        <v>8003879954</v>
      </c>
      <c r="B22" s="7">
        <v>40</v>
      </c>
      <c r="C22" s="7">
        <v>25012018</v>
      </c>
      <c r="D22" s="7">
        <v>489</v>
      </c>
      <c r="E22" s="7" t="s">
        <v>31</v>
      </c>
      <c r="F22" s="7">
        <v>9938</v>
      </c>
      <c r="G22" s="12" t="s">
        <v>74</v>
      </c>
      <c r="H22" s="8">
        <v>0.1</v>
      </c>
      <c r="I22" s="7" t="s">
        <v>26</v>
      </c>
      <c r="J22" s="7">
        <v>1139193.49</v>
      </c>
      <c r="K22" s="7" t="s">
        <v>27</v>
      </c>
      <c r="L22" s="7">
        <v>203916</v>
      </c>
      <c r="M22" s="7" t="s">
        <v>78</v>
      </c>
      <c r="N22" s="7"/>
      <c r="O22" s="7">
        <v>1</v>
      </c>
      <c r="P22" s="7"/>
      <c r="Q22" s="7"/>
    </row>
    <row r="23" spans="1:18" s="9" customFormat="1" x14ac:dyDescent="0.25">
      <c r="A23" s="7">
        <v>8003879954</v>
      </c>
      <c r="B23" s="7">
        <v>39</v>
      </c>
      <c r="C23" s="7">
        <v>25012018</v>
      </c>
      <c r="D23" s="7">
        <v>341</v>
      </c>
      <c r="E23" s="7" t="s">
        <v>25</v>
      </c>
      <c r="F23" s="7">
        <v>9938</v>
      </c>
      <c r="G23" s="12" t="s">
        <v>79</v>
      </c>
      <c r="H23" s="8">
        <v>452</v>
      </c>
      <c r="I23" s="7" t="s">
        <v>26</v>
      </c>
      <c r="J23" s="7">
        <v>1139193.5900000001</v>
      </c>
      <c r="K23" s="7" t="s">
        <v>27</v>
      </c>
      <c r="L23" s="7">
        <v>203916</v>
      </c>
      <c r="M23" s="7" t="s">
        <v>80</v>
      </c>
      <c r="N23" s="7"/>
      <c r="O23" s="7">
        <v>1</v>
      </c>
      <c r="P23" s="7" t="s">
        <v>81</v>
      </c>
      <c r="Q23" s="7" t="s">
        <v>82</v>
      </c>
    </row>
    <row r="24" spans="1:18" s="9" customFormat="1" x14ac:dyDescent="0.25">
      <c r="A24" s="7">
        <v>8003879954</v>
      </c>
      <c r="B24" s="7">
        <v>38</v>
      </c>
      <c r="C24" s="7">
        <v>25012018</v>
      </c>
      <c r="D24" s="7">
        <v>299</v>
      </c>
      <c r="E24" s="7" t="s">
        <v>30</v>
      </c>
      <c r="F24" s="7">
        <v>9938</v>
      </c>
      <c r="G24" s="12" t="s">
        <v>79</v>
      </c>
      <c r="H24" s="8">
        <v>0.01</v>
      </c>
      <c r="I24" s="7" t="s">
        <v>26</v>
      </c>
      <c r="J24" s="7">
        <v>1139645.5900000001</v>
      </c>
      <c r="K24" s="7" t="s">
        <v>27</v>
      </c>
      <c r="L24" s="7">
        <v>203916</v>
      </c>
      <c r="M24" s="7" t="s">
        <v>83</v>
      </c>
      <c r="N24" s="7"/>
      <c r="O24" s="7">
        <v>1</v>
      </c>
      <c r="P24" s="7"/>
      <c r="Q24" s="7"/>
    </row>
    <row r="25" spans="1:18" s="9" customFormat="1" x14ac:dyDescent="0.25">
      <c r="A25" s="7">
        <v>8003879954</v>
      </c>
      <c r="B25" s="7">
        <v>37</v>
      </c>
      <c r="C25" s="7">
        <v>25012018</v>
      </c>
      <c r="D25" s="7">
        <v>489</v>
      </c>
      <c r="E25" s="7" t="s">
        <v>31</v>
      </c>
      <c r="F25" s="7">
        <v>9938</v>
      </c>
      <c r="G25" s="12" t="s">
        <v>79</v>
      </c>
      <c r="H25" s="8">
        <v>0.1</v>
      </c>
      <c r="I25" s="7" t="s">
        <v>26</v>
      </c>
      <c r="J25" s="7">
        <v>1139645.6000000001</v>
      </c>
      <c r="K25" s="7" t="s">
        <v>27</v>
      </c>
      <c r="L25" s="7">
        <v>203916</v>
      </c>
      <c r="M25" s="7" t="s">
        <v>83</v>
      </c>
      <c r="N25" s="7"/>
      <c r="O25" s="7">
        <v>1</v>
      </c>
      <c r="P25" s="7"/>
      <c r="Q25" s="7"/>
    </row>
    <row r="26" spans="1:18" s="9" customFormat="1" x14ac:dyDescent="0.25">
      <c r="A26" s="7">
        <v>8003879954</v>
      </c>
      <c r="B26" s="7">
        <v>36</v>
      </c>
      <c r="C26" s="7">
        <v>25012018</v>
      </c>
      <c r="D26" s="7">
        <v>341</v>
      </c>
      <c r="E26" s="7" t="s">
        <v>25</v>
      </c>
      <c r="F26" s="7">
        <v>9938</v>
      </c>
      <c r="G26" s="12" t="s">
        <v>84</v>
      </c>
      <c r="H26" s="8">
        <v>240</v>
      </c>
      <c r="I26" s="7" t="s">
        <v>26</v>
      </c>
      <c r="J26" s="7">
        <v>1139645.7</v>
      </c>
      <c r="K26" s="7" t="s">
        <v>27</v>
      </c>
      <c r="L26" s="7">
        <v>203916</v>
      </c>
      <c r="M26" s="7" t="s">
        <v>85</v>
      </c>
      <c r="N26" s="7"/>
      <c r="O26" s="7">
        <v>1</v>
      </c>
      <c r="P26" s="7" t="s">
        <v>86</v>
      </c>
      <c r="Q26" s="7" t="s">
        <v>87</v>
      </c>
    </row>
    <row r="27" spans="1:18" s="9" customFormat="1" x14ac:dyDescent="0.25">
      <c r="A27" s="7">
        <v>8003879954</v>
      </c>
      <c r="B27" s="7">
        <v>35</v>
      </c>
      <c r="C27" s="7">
        <v>25012018</v>
      </c>
      <c r="D27" s="7">
        <v>299</v>
      </c>
      <c r="E27" s="7" t="s">
        <v>30</v>
      </c>
      <c r="F27" s="7">
        <v>9938</v>
      </c>
      <c r="G27" s="12" t="s">
        <v>84</v>
      </c>
      <c r="H27" s="8">
        <v>0.01</v>
      </c>
      <c r="I27" s="7" t="s">
        <v>26</v>
      </c>
      <c r="J27" s="7">
        <v>1139885.7</v>
      </c>
      <c r="K27" s="7" t="s">
        <v>27</v>
      </c>
      <c r="L27" s="7">
        <v>203916</v>
      </c>
      <c r="M27" s="7" t="s">
        <v>88</v>
      </c>
      <c r="N27" s="7"/>
      <c r="O27" s="7">
        <v>1</v>
      </c>
      <c r="P27" s="7"/>
      <c r="Q27" s="7"/>
    </row>
    <row r="28" spans="1:18" s="9" customFormat="1" x14ac:dyDescent="0.25">
      <c r="A28" s="7">
        <v>8003879954</v>
      </c>
      <c r="B28" s="7">
        <v>34</v>
      </c>
      <c r="C28" s="7">
        <v>25012018</v>
      </c>
      <c r="D28" s="7">
        <v>489</v>
      </c>
      <c r="E28" s="7" t="s">
        <v>31</v>
      </c>
      <c r="F28" s="7">
        <v>9938</v>
      </c>
      <c r="G28" s="12" t="s">
        <v>84</v>
      </c>
      <c r="H28" s="8">
        <v>0.1</v>
      </c>
      <c r="I28" s="7" t="s">
        <v>26</v>
      </c>
      <c r="J28" s="7">
        <v>1139885.71</v>
      </c>
      <c r="K28" s="7" t="s">
        <v>27</v>
      </c>
      <c r="L28" s="7">
        <v>203916</v>
      </c>
      <c r="M28" s="7" t="s">
        <v>88</v>
      </c>
      <c r="N28" s="7"/>
      <c r="O28" s="7">
        <v>1</v>
      </c>
      <c r="P28" s="7"/>
      <c r="Q28" s="7"/>
    </row>
    <row r="29" spans="1:18" s="9" customFormat="1" x14ac:dyDescent="0.25">
      <c r="A29" s="7">
        <v>8003879954</v>
      </c>
      <c r="B29" s="7">
        <v>33</v>
      </c>
      <c r="C29" s="7">
        <v>25012018</v>
      </c>
      <c r="D29" s="7">
        <v>341</v>
      </c>
      <c r="E29" s="7" t="s">
        <v>25</v>
      </c>
      <c r="F29" s="7">
        <v>9938</v>
      </c>
      <c r="G29" s="12" t="s">
        <v>89</v>
      </c>
      <c r="H29" s="8">
        <v>5989</v>
      </c>
      <c r="I29" s="7" t="s">
        <v>26</v>
      </c>
      <c r="J29" s="7">
        <v>1139885.81</v>
      </c>
      <c r="K29" s="7" t="s">
        <v>27</v>
      </c>
      <c r="L29" s="7">
        <v>203915</v>
      </c>
      <c r="M29" s="7" t="s">
        <v>41</v>
      </c>
      <c r="N29" s="7"/>
      <c r="O29" s="7">
        <v>1</v>
      </c>
      <c r="P29" s="7" t="s">
        <v>90</v>
      </c>
      <c r="Q29" s="7" t="s">
        <v>91</v>
      </c>
    </row>
    <row r="30" spans="1:18" s="9" customFormat="1" x14ac:dyDescent="0.25">
      <c r="A30" s="7">
        <v>8003879954</v>
      </c>
      <c r="B30" s="7">
        <v>32</v>
      </c>
      <c r="C30" s="7">
        <v>25012018</v>
      </c>
      <c r="D30" s="7">
        <v>299</v>
      </c>
      <c r="E30" s="7" t="s">
        <v>30</v>
      </c>
      <c r="F30" s="7">
        <v>9938</v>
      </c>
      <c r="G30" s="12" t="s">
        <v>89</v>
      </c>
      <c r="H30" s="8">
        <v>0.01</v>
      </c>
      <c r="I30" s="7" t="s">
        <v>26</v>
      </c>
      <c r="J30" s="7">
        <v>1145874.81</v>
      </c>
      <c r="K30" s="7" t="s">
        <v>27</v>
      </c>
      <c r="L30" s="7">
        <v>203915</v>
      </c>
      <c r="M30" s="7" t="s">
        <v>92</v>
      </c>
      <c r="N30" s="7"/>
      <c r="O30" s="7">
        <v>1</v>
      </c>
      <c r="P30" s="7"/>
      <c r="Q30" s="7"/>
    </row>
    <row r="31" spans="1:18" s="9" customFormat="1" x14ac:dyDescent="0.25">
      <c r="A31" s="7">
        <v>8003879954</v>
      </c>
      <c r="B31" s="7">
        <v>31</v>
      </c>
      <c r="C31" s="7">
        <v>25012018</v>
      </c>
      <c r="D31" s="7">
        <v>489</v>
      </c>
      <c r="E31" s="7" t="s">
        <v>31</v>
      </c>
      <c r="F31" s="7">
        <v>9938</v>
      </c>
      <c r="G31" s="12" t="s">
        <v>89</v>
      </c>
      <c r="H31" s="8">
        <v>0.1</v>
      </c>
      <c r="I31" s="7" t="s">
        <v>26</v>
      </c>
      <c r="J31" s="7">
        <v>1145874.82</v>
      </c>
      <c r="K31" s="7" t="s">
        <v>27</v>
      </c>
      <c r="L31" s="7">
        <v>203915</v>
      </c>
      <c r="M31" s="7" t="s">
        <v>92</v>
      </c>
      <c r="N31" s="7"/>
      <c r="O31" s="7">
        <v>1</v>
      </c>
      <c r="P31" s="7"/>
      <c r="Q31" s="7"/>
    </row>
    <row r="32" spans="1:18" s="9" customFormat="1" x14ac:dyDescent="0.25">
      <c r="A32" s="7">
        <v>8003879954</v>
      </c>
      <c r="B32" s="7">
        <v>30</v>
      </c>
      <c r="C32" s="7">
        <v>25012018</v>
      </c>
      <c r="D32" s="7">
        <v>341</v>
      </c>
      <c r="E32" s="7" t="s">
        <v>25</v>
      </c>
      <c r="F32" s="7">
        <v>9938</v>
      </c>
      <c r="G32" s="12" t="s">
        <v>93</v>
      </c>
      <c r="H32" s="8">
        <v>360</v>
      </c>
      <c r="I32" s="7" t="s">
        <v>26</v>
      </c>
      <c r="J32" s="7">
        <v>1145874.92</v>
      </c>
      <c r="K32" s="7" t="s">
        <v>27</v>
      </c>
      <c r="L32" s="7">
        <v>203915</v>
      </c>
      <c r="M32" s="7" t="s">
        <v>94</v>
      </c>
      <c r="N32" s="7"/>
      <c r="O32" s="7">
        <v>1</v>
      </c>
      <c r="P32" s="7" t="s">
        <v>95</v>
      </c>
      <c r="Q32" s="7" t="s">
        <v>96</v>
      </c>
    </row>
    <row r="33" spans="1:17" s="9" customFormat="1" x14ac:dyDescent="0.25">
      <c r="A33" s="7">
        <v>8003879954</v>
      </c>
      <c r="B33" s="7">
        <v>29</v>
      </c>
      <c r="C33" s="7">
        <v>25012018</v>
      </c>
      <c r="D33" s="7">
        <v>299</v>
      </c>
      <c r="E33" s="7" t="s">
        <v>30</v>
      </c>
      <c r="F33" s="7">
        <v>9938</v>
      </c>
      <c r="G33" s="12" t="s">
        <v>93</v>
      </c>
      <c r="H33" s="8">
        <v>0.01</v>
      </c>
      <c r="I33" s="7" t="s">
        <v>26</v>
      </c>
      <c r="J33" s="7">
        <v>1146234.92</v>
      </c>
      <c r="K33" s="7" t="s">
        <v>27</v>
      </c>
      <c r="L33" s="7">
        <v>203915</v>
      </c>
      <c r="M33" s="7" t="s">
        <v>97</v>
      </c>
      <c r="N33" s="7"/>
      <c r="O33" s="7">
        <v>1</v>
      </c>
      <c r="P33" s="7"/>
      <c r="Q33" s="7"/>
    </row>
    <row r="34" spans="1:17" s="9" customFormat="1" x14ac:dyDescent="0.25">
      <c r="A34" s="7">
        <v>8003879954</v>
      </c>
      <c r="B34" s="7">
        <v>28</v>
      </c>
      <c r="C34" s="7">
        <v>25012018</v>
      </c>
      <c r="D34" s="7">
        <v>489</v>
      </c>
      <c r="E34" s="7" t="s">
        <v>31</v>
      </c>
      <c r="F34" s="7">
        <v>9938</v>
      </c>
      <c r="G34" s="12" t="s">
        <v>93</v>
      </c>
      <c r="H34" s="8">
        <v>0.1</v>
      </c>
      <c r="I34" s="7" t="s">
        <v>26</v>
      </c>
      <c r="J34" s="7">
        <v>1146234.93</v>
      </c>
      <c r="K34" s="7" t="s">
        <v>27</v>
      </c>
      <c r="L34" s="7">
        <v>203915</v>
      </c>
      <c r="M34" s="7" t="s">
        <v>97</v>
      </c>
      <c r="N34" s="7"/>
      <c r="O34" s="7">
        <v>1</v>
      </c>
      <c r="P34" s="7"/>
      <c r="Q34" s="7"/>
    </row>
    <row r="35" spans="1:17" s="9" customFormat="1" x14ac:dyDescent="0.25">
      <c r="A35" s="7">
        <v>8003879954</v>
      </c>
      <c r="B35" s="7">
        <v>27</v>
      </c>
      <c r="C35" s="7">
        <v>25012018</v>
      </c>
      <c r="D35" s="7">
        <v>341</v>
      </c>
      <c r="E35" s="7" t="s">
        <v>25</v>
      </c>
      <c r="F35" s="7">
        <v>9938</v>
      </c>
      <c r="G35" s="12" t="s">
        <v>98</v>
      </c>
      <c r="H35" s="8">
        <v>165</v>
      </c>
      <c r="I35" s="7" t="s">
        <v>26</v>
      </c>
      <c r="J35" s="7">
        <v>1146235.03</v>
      </c>
      <c r="K35" s="7" t="s">
        <v>27</v>
      </c>
      <c r="L35" s="7">
        <v>203915</v>
      </c>
      <c r="M35" s="7" t="s">
        <v>99</v>
      </c>
      <c r="N35" s="7"/>
      <c r="O35" s="7">
        <v>1</v>
      </c>
      <c r="P35" s="7" t="s">
        <v>100</v>
      </c>
      <c r="Q35" s="7" t="s">
        <v>101</v>
      </c>
    </row>
    <row r="36" spans="1:17" s="9" customFormat="1" x14ac:dyDescent="0.25">
      <c r="A36" s="7">
        <v>8003879954</v>
      </c>
      <c r="B36" s="7">
        <v>26</v>
      </c>
      <c r="C36" s="7">
        <v>25012018</v>
      </c>
      <c r="D36" s="7">
        <v>299</v>
      </c>
      <c r="E36" s="7" t="s">
        <v>30</v>
      </c>
      <c r="F36" s="7">
        <v>9938</v>
      </c>
      <c r="G36" s="12" t="s">
        <v>98</v>
      </c>
      <c r="H36" s="8">
        <v>0.01</v>
      </c>
      <c r="I36" s="7" t="s">
        <v>26</v>
      </c>
      <c r="J36" s="7">
        <v>1146400.03</v>
      </c>
      <c r="K36" s="7" t="s">
        <v>27</v>
      </c>
      <c r="L36" s="7">
        <v>203915</v>
      </c>
      <c r="M36" s="7" t="s">
        <v>102</v>
      </c>
      <c r="N36" s="7"/>
      <c r="O36" s="7">
        <v>1</v>
      </c>
      <c r="P36" s="7"/>
      <c r="Q36" s="7"/>
    </row>
    <row r="37" spans="1:17" s="9" customFormat="1" x14ac:dyDescent="0.25">
      <c r="A37" s="7">
        <v>8003879954</v>
      </c>
      <c r="B37" s="7">
        <v>25</v>
      </c>
      <c r="C37" s="7">
        <v>25012018</v>
      </c>
      <c r="D37" s="7">
        <v>489</v>
      </c>
      <c r="E37" s="7" t="s">
        <v>31</v>
      </c>
      <c r="F37" s="7">
        <v>9938</v>
      </c>
      <c r="G37" s="12" t="s">
        <v>98</v>
      </c>
      <c r="H37" s="8">
        <v>0.1</v>
      </c>
      <c r="I37" s="7" t="s">
        <v>26</v>
      </c>
      <c r="J37" s="7">
        <v>1146400.04</v>
      </c>
      <c r="K37" s="7" t="s">
        <v>27</v>
      </c>
      <c r="L37" s="7">
        <v>203915</v>
      </c>
      <c r="M37" s="7" t="s">
        <v>102</v>
      </c>
      <c r="N37" s="7"/>
      <c r="O37" s="7">
        <v>1</v>
      </c>
      <c r="P37" s="7"/>
      <c r="Q37" s="7"/>
    </row>
    <row r="38" spans="1:17" s="9" customFormat="1" x14ac:dyDescent="0.25">
      <c r="A38" s="7">
        <v>8003879954</v>
      </c>
      <c r="B38" s="7">
        <v>24</v>
      </c>
      <c r="C38" s="7">
        <v>25012018</v>
      </c>
      <c r="D38" s="7">
        <v>60</v>
      </c>
      <c r="E38" s="7" t="s">
        <v>37</v>
      </c>
      <c r="F38" s="7">
        <v>9938</v>
      </c>
      <c r="G38" s="12" t="s">
        <v>103</v>
      </c>
      <c r="H38" s="8">
        <v>450</v>
      </c>
      <c r="I38" s="7" t="s">
        <v>26</v>
      </c>
      <c r="J38" s="7">
        <v>1146400.1399999999</v>
      </c>
      <c r="K38" s="7" t="s">
        <v>27</v>
      </c>
      <c r="L38" s="7">
        <v>203914</v>
      </c>
      <c r="M38" s="7" t="s">
        <v>104</v>
      </c>
      <c r="N38" s="7"/>
      <c r="O38" s="7">
        <v>1</v>
      </c>
      <c r="P38" s="7" t="s">
        <v>105</v>
      </c>
      <c r="Q38" s="7" t="s">
        <v>106</v>
      </c>
    </row>
    <row r="39" spans="1:17" s="9" customFormat="1" x14ac:dyDescent="0.25">
      <c r="A39" s="7">
        <v>8003879954</v>
      </c>
      <c r="B39" s="7">
        <v>23</v>
      </c>
      <c r="C39" s="7">
        <v>25012018</v>
      </c>
      <c r="D39" s="7">
        <v>345</v>
      </c>
      <c r="E39" s="7" t="s">
        <v>51</v>
      </c>
      <c r="F39" s="7">
        <v>9938</v>
      </c>
      <c r="G39" s="12" t="s">
        <v>107</v>
      </c>
      <c r="H39" s="8">
        <v>32.9</v>
      </c>
      <c r="I39" s="7" t="s">
        <v>26</v>
      </c>
      <c r="J39" s="7">
        <v>1146850.1399999999</v>
      </c>
      <c r="K39" s="7" t="s">
        <v>27</v>
      </c>
      <c r="L39" s="7">
        <v>203100</v>
      </c>
      <c r="M39" s="7" t="s">
        <v>108</v>
      </c>
      <c r="N39" s="7"/>
      <c r="O39" s="7">
        <v>1</v>
      </c>
      <c r="P39" s="7" t="s">
        <v>109</v>
      </c>
      <c r="Q39" s="7" t="s">
        <v>52</v>
      </c>
    </row>
    <row r="40" spans="1:17" s="9" customFormat="1" x14ac:dyDescent="0.25">
      <c r="A40" s="7">
        <v>8003879954</v>
      </c>
      <c r="B40" s="7">
        <v>22</v>
      </c>
      <c r="C40" s="7">
        <v>25012018</v>
      </c>
      <c r="D40" s="7">
        <v>341</v>
      </c>
      <c r="E40" s="7" t="s">
        <v>25</v>
      </c>
      <c r="F40" s="7">
        <v>9938</v>
      </c>
      <c r="G40" s="12" t="s">
        <v>110</v>
      </c>
      <c r="H40" s="8">
        <v>146.5</v>
      </c>
      <c r="I40" s="7" t="s">
        <v>26</v>
      </c>
      <c r="J40" s="7">
        <v>1146883.04</v>
      </c>
      <c r="K40" s="7" t="s">
        <v>27</v>
      </c>
      <c r="L40" s="7">
        <v>203056</v>
      </c>
      <c r="M40" s="7" t="s">
        <v>111</v>
      </c>
      <c r="N40" s="7"/>
      <c r="O40" s="7">
        <v>1</v>
      </c>
      <c r="P40" s="7" t="s">
        <v>112</v>
      </c>
      <c r="Q40" s="7" t="s">
        <v>113</v>
      </c>
    </row>
    <row r="41" spans="1:17" s="9" customFormat="1" x14ac:dyDescent="0.25">
      <c r="A41" s="7">
        <v>8003879954</v>
      </c>
      <c r="B41" s="7">
        <v>21</v>
      </c>
      <c r="C41" s="7">
        <v>25012018</v>
      </c>
      <c r="D41" s="7">
        <v>299</v>
      </c>
      <c r="E41" s="7" t="s">
        <v>30</v>
      </c>
      <c r="F41" s="7">
        <v>9938</v>
      </c>
      <c r="G41" s="12" t="s">
        <v>110</v>
      </c>
      <c r="H41" s="8">
        <v>0.01</v>
      </c>
      <c r="I41" s="7" t="s">
        <v>26</v>
      </c>
      <c r="J41" s="7">
        <v>1147029.54</v>
      </c>
      <c r="K41" s="7" t="s">
        <v>27</v>
      </c>
      <c r="L41" s="7">
        <v>203056</v>
      </c>
      <c r="M41" s="7" t="s">
        <v>114</v>
      </c>
      <c r="N41" s="7"/>
      <c r="O41" s="7">
        <v>1</v>
      </c>
      <c r="P41" s="7"/>
      <c r="Q41" s="7"/>
    </row>
    <row r="42" spans="1:17" s="9" customFormat="1" x14ac:dyDescent="0.25">
      <c r="A42" s="7">
        <v>8003879954</v>
      </c>
      <c r="B42" s="7">
        <v>20</v>
      </c>
      <c r="C42" s="7">
        <v>25012018</v>
      </c>
      <c r="D42" s="7">
        <v>489</v>
      </c>
      <c r="E42" s="7" t="s">
        <v>31</v>
      </c>
      <c r="F42" s="7">
        <v>9938</v>
      </c>
      <c r="G42" s="12" t="s">
        <v>110</v>
      </c>
      <c r="H42" s="8">
        <v>0.1</v>
      </c>
      <c r="I42" s="7" t="s">
        <v>26</v>
      </c>
      <c r="J42" s="7">
        <v>1147029.55</v>
      </c>
      <c r="K42" s="7" t="s">
        <v>27</v>
      </c>
      <c r="L42" s="7">
        <v>203056</v>
      </c>
      <c r="M42" s="7" t="s">
        <v>114</v>
      </c>
      <c r="N42" s="7"/>
      <c r="O42" s="7">
        <v>1</v>
      </c>
      <c r="P42" s="7"/>
      <c r="Q42" s="7"/>
    </row>
    <row r="43" spans="1:17" s="9" customFormat="1" x14ac:dyDescent="0.25">
      <c r="A43" s="7">
        <v>8003879954</v>
      </c>
      <c r="B43" s="7">
        <v>19</v>
      </c>
      <c r="C43" s="7">
        <v>25012018</v>
      </c>
      <c r="D43" s="7">
        <v>343</v>
      </c>
      <c r="E43" s="7" t="s">
        <v>115</v>
      </c>
      <c r="F43" s="7">
        <v>9938</v>
      </c>
      <c r="G43" s="12" t="s">
        <v>116</v>
      </c>
      <c r="H43" s="8">
        <v>471.7</v>
      </c>
      <c r="I43" s="7" t="s">
        <v>26</v>
      </c>
      <c r="J43" s="7">
        <v>1147029.6499999999</v>
      </c>
      <c r="K43" s="7" t="s">
        <v>27</v>
      </c>
      <c r="L43" s="7">
        <v>203059</v>
      </c>
      <c r="M43" s="7" t="s">
        <v>117</v>
      </c>
      <c r="N43" s="7"/>
      <c r="O43" s="7">
        <v>1</v>
      </c>
      <c r="P43" s="7"/>
      <c r="Q43" s="7"/>
    </row>
    <row r="44" spans="1:17" s="9" customFormat="1" x14ac:dyDescent="0.25">
      <c r="A44" s="7">
        <v>8003879954</v>
      </c>
      <c r="B44" s="7">
        <v>18</v>
      </c>
      <c r="C44" s="7">
        <v>25012018</v>
      </c>
      <c r="D44" s="7">
        <v>341</v>
      </c>
      <c r="E44" s="7" t="s">
        <v>25</v>
      </c>
      <c r="F44" s="7">
        <v>9938</v>
      </c>
      <c r="G44" s="12" t="s">
        <v>118</v>
      </c>
      <c r="H44" s="8">
        <v>99.2</v>
      </c>
      <c r="I44" s="7" t="s">
        <v>26</v>
      </c>
      <c r="J44" s="7">
        <v>1147501.3500000001</v>
      </c>
      <c r="K44" s="7" t="s">
        <v>27</v>
      </c>
      <c r="L44" s="7">
        <v>203058</v>
      </c>
      <c r="M44" s="7" t="s">
        <v>119</v>
      </c>
      <c r="N44" s="7"/>
      <c r="O44" s="7">
        <v>1</v>
      </c>
      <c r="P44" s="7" t="s">
        <v>120</v>
      </c>
      <c r="Q44" s="7" t="s">
        <v>121</v>
      </c>
    </row>
    <row r="45" spans="1:17" s="9" customFormat="1" x14ac:dyDescent="0.25">
      <c r="A45" s="7">
        <v>8003879954</v>
      </c>
      <c r="B45" s="7">
        <v>17</v>
      </c>
      <c r="C45" s="7">
        <v>25012018</v>
      </c>
      <c r="D45" s="7">
        <v>299</v>
      </c>
      <c r="E45" s="7" t="s">
        <v>30</v>
      </c>
      <c r="F45" s="7">
        <v>9938</v>
      </c>
      <c r="G45" s="12" t="s">
        <v>118</v>
      </c>
      <c r="H45" s="8">
        <v>0.01</v>
      </c>
      <c r="I45" s="7" t="s">
        <v>26</v>
      </c>
      <c r="J45" s="7">
        <v>1147600.55</v>
      </c>
      <c r="K45" s="7" t="s">
        <v>27</v>
      </c>
      <c r="L45" s="7">
        <v>203058</v>
      </c>
      <c r="M45" s="7" t="s">
        <v>122</v>
      </c>
      <c r="N45" s="7"/>
      <c r="O45" s="7">
        <v>1</v>
      </c>
      <c r="P45" s="7"/>
      <c r="Q45" s="7"/>
    </row>
    <row r="46" spans="1:17" s="9" customFormat="1" x14ac:dyDescent="0.25">
      <c r="A46" s="7">
        <v>8003879954</v>
      </c>
      <c r="B46" s="7">
        <v>16</v>
      </c>
      <c r="C46" s="7">
        <v>25012018</v>
      </c>
      <c r="D46" s="7">
        <v>489</v>
      </c>
      <c r="E46" s="7" t="s">
        <v>31</v>
      </c>
      <c r="F46" s="7">
        <v>9938</v>
      </c>
      <c r="G46" s="12" t="s">
        <v>118</v>
      </c>
      <c r="H46" s="8">
        <v>0.1</v>
      </c>
      <c r="I46" s="7" t="s">
        <v>26</v>
      </c>
      <c r="J46" s="7">
        <v>1147600.56</v>
      </c>
      <c r="K46" s="7" t="s">
        <v>27</v>
      </c>
      <c r="L46" s="7">
        <v>203058</v>
      </c>
      <c r="M46" s="7" t="s">
        <v>122</v>
      </c>
      <c r="N46" s="7"/>
      <c r="O46" s="7">
        <v>1</v>
      </c>
      <c r="P46" s="7"/>
      <c r="Q46" s="7"/>
    </row>
    <row r="47" spans="1:17" s="9" customFormat="1" x14ac:dyDescent="0.25">
      <c r="A47" s="7">
        <v>8003879954</v>
      </c>
      <c r="B47" s="7">
        <v>15</v>
      </c>
      <c r="C47" s="7">
        <v>25012018</v>
      </c>
      <c r="D47" s="7">
        <v>341</v>
      </c>
      <c r="E47" s="7" t="s">
        <v>25</v>
      </c>
      <c r="F47" s="7">
        <v>9938</v>
      </c>
      <c r="G47" s="12" t="s">
        <v>123</v>
      </c>
      <c r="H47" s="8">
        <v>720</v>
      </c>
      <c r="I47" s="7" t="s">
        <v>26</v>
      </c>
      <c r="J47" s="7">
        <v>1147600.6599999999</v>
      </c>
      <c r="K47" s="7" t="s">
        <v>27</v>
      </c>
      <c r="L47" s="7">
        <v>203056</v>
      </c>
      <c r="M47" s="7" t="s">
        <v>47</v>
      </c>
      <c r="N47" s="7"/>
      <c r="O47" s="7">
        <v>1</v>
      </c>
      <c r="P47" s="7" t="s">
        <v>124</v>
      </c>
      <c r="Q47" s="7" t="s">
        <v>125</v>
      </c>
    </row>
    <row r="48" spans="1:17" s="9" customFormat="1" x14ac:dyDescent="0.25">
      <c r="A48" s="7">
        <v>8003879954</v>
      </c>
      <c r="B48" s="7">
        <v>14</v>
      </c>
      <c r="C48" s="7">
        <v>25012018</v>
      </c>
      <c r="D48" s="7">
        <v>299</v>
      </c>
      <c r="E48" s="7" t="s">
        <v>30</v>
      </c>
      <c r="F48" s="7">
        <v>9938</v>
      </c>
      <c r="G48" s="12" t="s">
        <v>123</v>
      </c>
      <c r="H48" s="8">
        <v>0.01</v>
      </c>
      <c r="I48" s="7" t="s">
        <v>26</v>
      </c>
      <c r="J48" s="7">
        <v>1148320.6599999999</v>
      </c>
      <c r="K48" s="7" t="s">
        <v>27</v>
      </c>
      <c r="L48" s="7">
        <v>203056</v>
      </c>
      <c r="M48" s="7" t="s">
        <v>126</v>
      </c>
      <c r="N48" s="7"/>
      <c r="O48" s="7">
        <v>1</v>
      </c>
      <c r="P48" s="7"/>
      <c r="Q48" s="7"/>
    </row>
    <row r="49" spans="1:18" s="9" customFormat="1" x14ac:dyDescent="0.25">
      <c r="A49" s="7">
        <v>8003879954</v>
      </c>
      <c r="B49" s="7">
        <v>13</v>
      </c>
      <c r="C49" s="7">
        <v>25012018</v>
      </c>
      <c r="D49" s="7">
        <v>489</v>
      </c>
      <c r="E49" s="7" t="s">
        <v>31</v>
      </c>
      <c r="F49" s="7">
        <v>9938</v>
      </c>
      <c r="G49" s="12" t="s">
        <v>123</v>
      </c>
      <c r="H49" s="8">
        <v>0.1</v>
      </c>
      <c r="I49" s="7" t="s">
        <v>26</v>
      </c>
      <c r="J49" s="7">
        <v>1148320.67</v>
      </c>
      <c r="K49" s="7" t="s">
        <v>27</v>
      </c>
      <c r="L49" s="7">
        <v>203056</v>
      </c>
      <c r="M49" s="7" t="s">
        <v>126</v>
      </c>
      <c r="N49" s="7"/>
      <c r="O49" s="7">
        <v>1</v>
      </c>
      <c r="P49" s="7"/>
      <c r="Q49" s="7"/>
    </row>
    <row r="50" spans="1:18" s="9" customFormat="1" x14ac:dyDescent="0.25">
      <c r="A50" s="7">
        <v>8003879954</v>
      </c>
      <c r="B50" s="7">
        <v>12</v>
      </c>
      <c r="C50" s="7">
        <v>25012018</v>
      </c>
      <c r="D50" s="7">
        <v>341</v>
      </c>
      <c r="E50" s="7" t="s">
        <v>25</v>
      </c>
      <c r="F50" s="7">
        <v>9938</v>
      </c>
      <c r="G50" s="12" t="s">
        <v>127</v>
      </c>
      <c r="H50" s="8">
        <v>332.85</v>
      </c>
      <c r="I50" s="7" t="s">
        <v>26</v>
      </c>
      <c r="J50" s="7">
        <v>1148320.77</v>
      </c>
      <c r="K50" s="7" t="s">
        <v>27</v>
      </c>
      <c r="L50" s="7">
        <v>203056</v>
      </c>
      <c r="M50" s="7" t="s">
        <v>128</v>
      </c>
      <c r="N50" s="7"/>
      <c r="O50" s="7">
        <v>1</v>
      </c>
      <c r="P50" s="7" t="s">
        <v>129</v>
      </c>
      <c r="Q50" s="7" t="s">
        <v>130</v>
      </c>
    </row>
    <row r="51" spans="1:18" s="9" customFormat="1" x14ac:dyDescent="0.25">
      <c r="A51" s="7">
        <v>8003879954</v>
      </c>
      <c r="B51" s="7">
        <v>11</v>
      </c>
      <c r="C51" s="7">
        <v>25012018</v>
      </c>
      <c r="D51" s="7">
        <v>299</v>
      </c>
      <c r="E51" s="7" t="s">
        <v>30</v>
      </c>
      <c r="F51" s="7">
        <v>9938</v>
      </c>
      <c r="G51" s="12" t="s">
        <v>127</v>
      </c>
      <c r="H51" s="8">
        <v>0.01</v>
      </c>
      <c r="I51" s="7" t="s">
        <v>26</v>
      </c>
      <c r="J51" s="7">
        <v>1148653.6200000001</v>
      </c>
      <c r="K51" s="7" t="s">
        <v>27</v>
      </c>
      <c r="L51" s="7">
        <v>203056</v>
      </c>
      <c r="M51" s="7" t="s">
        <v>131</v>
      </c>
      <c r="N51" s="7"/>
      <c r="O51" s="7">
        <v>1</v>
      </c>
      <c r="P51" s="7"/>
      <c r="Q51" s="7"/>
    </row>
    <row r="52" spans="1:18" s="9" customFormat="1" x14ac:dyDescent="0.25">
      <c r="A52" s="7">
        <v>8003879954</v>
      </c>
      <c r="B52" s="7">
        <v>10</v>
      </c>
      <c r="C52" s="7">
        <v>25012018</v>
      </c>
      <c r="D52" s="7">
        <v>489</v>
      </c>
      <c r="E52" s="7" t="s">
        <v>31</v>
      </c>
      <c r="F52" s="7">
        <v>9938</v>
      </c>
      <c r="G52" s="12" t="s">
        <v>127</v>
      </c>
      <c r="H52" s="8">
        <v>0.1</v>
      </c>
      <c r="I52" s="7" t="s">
        <v>26</v>
      </c>
      <c r="J52" s="7">
        <v>1148653.6299999999</v>
      </c>
      <c r="K52" s="7" t="s">
        <v>27</v>
      </c>
      <c r="L52" s="7">
        <v>203056</v>
      </c>
      <c r="M52" s="7" t="s">
        <v>131</v>
      </c>
      <c r="N52" s="7"/>
      <c r="O52" s="7">
        <v>1</v>
      </c>
      <c r="P52" s="7"/>
      <c r="Q52" s="7"/>
    </row>
    <row r="53" spans="1:18" s="9" customFormat="1" x14ac:dyDescent="0.25">
      <c r="A53" s="7">
        <v>8003879954</v>
      </c>
      <c r="B53" s="7">
        <v>9</v>
      </c>
      <c r="C53" s="7">
        <v>25012018</v>
      </c>
      <c r="D53" s="7">
        <v>341</v>
      </c>
      <c r="E53" s="7" t="s">
        <v>25</v>
      </c>
      <c r="F53" s="7">
        <v>9938</v>
      </c>
      <c r="G53" s="12" t="s">
        <v>132</v>
      </c>
      <c r="H53" s="8">
        <v>16.8</v>
      </c>
      <c r="I53" s="7" t="s">
        <v>26</v>
      </c>
      <c r="J53" s="7">
        <v>1148653.73</v>
      </c>
      <c r="K53" s="7" t="s">
        <v>27</v>
      </c>
      <c r="L53" s="7">
        <v>203057</v>
      </c>
      <c r="M53" s="7" t="s">
        <v>133</v>
      </c>
      <c r="N53" s="7"/>
      <c r="O53" s="7">
        <v>1</v>
      </c>
      <c r="P53" s="7" t="s">
        <v>134</v>
      </c>
      <c r="Q53" s="7" t="s">
        <v>135</v>
      </c>
    </row>
    <row r="54" spans="1:18" s="9" customFormat="1" x14ac:dyDescent="0.25">
      <c r="A54" s="7">
        <v>8003879954</v>
      </c>
      <c r="B54" s="7">
        <v>8</v>
      </c>
      <c r="C54" s="7">
        <v>25012018</v>
      </c>
      <c r="D54" s="7">
        <v>299</v>
      </c>
      <c r="E54" s="7" t="s">
        <v>30</v>
      </c>
      <c r="F54" s="7">
        <v>9938</v>
      </c>
      <c r="G54" s="12" t="s">
        <v>132</v>
      </c>
      <c r="H54" s="8">
        <v>0.01</v>
      </c>
      <c r="I54" s="7" t="s">
        <v>26</v>
      </c>
      <c r="J54" s="7">
        <v>1148670.53</v>
      </c>
      <c r="K54" s="7" t="s">
        <v>27</v>
      </c>
      <c r="L54" s="7">
        <v>203057</v>
      </c>
      <c r="M54" s="7" t="s">
        <v>136</v>
      </c>
      <c r="N54" s="7"/>
      <c r="O54" s="7">
        <v>1</v>
      </c>
      <c r="P54" s="7"/>
      <c r="Q54" s="7"/>
    </row>
    <row r="55" spans="1:18" s="9" customFormat="1" x14ac:dyDescent="0.25">
      <c r="A55" s="7">
        <v>8003879954</v>
      </c>
      <c r="B55" s="7">
        <v>7</v>
      </c>
      <c r="C55" s="7">
        <v>25012018</v>
      </c>
      <c r="D55" s="7">
        <v>489</v>
      </c>
      <c r="E55" s="7" t="s">
        <v>31</v>
      </c>
      <c r="F55" s="7">
        <v>9938</v>
      </c>
      <c r="G55" s="12" t="s">
        <v>132</v>
      </c>
      <c r="H55" s="8">
        <v>0.1</v>
      </c>
      <c r="I55" s="7" t="s">
        <v>26</v>
      </c>
      <c r="J55" s="7">
        <v>1148670.54</v>
      </c>
      <c r="K55" s="7" t="s">
        <v>27</v>
      </c>
      <c r="L55" s="7">
        <v>203057</v>
      </c>
      <c r="M55" s="7" t="s">
        <v>136</v>
      </c>
      <c r="N55" s="7"/>
      <c r="O55" s="7">
        <v>1</v>
      </c>
      <c r="P55" s="7"/>
      <c r="Q55" s="7"/>
    </row>
    <row r="56" spans="1:18" s="9" customFormat="1" x14ac:dyDescent="0.25">
      <c r="A56" s="7">
        <v>8003879954</v>
      </c>
      <c r="B56" s="7">
        <v>6</v>
      </c>
      <c r="C56" s="7">
        <v>25012018</v>
      </c>
      <c r="D56" s="7">
        <v>346</v>
      </c>
      <c r="E56" s="7" t="s">
        <v>137</v>
      </c>
      <c r="F56" s="7">
        <v>9938</v>
      </c>
      <c r="G56" s="12" t="s">
        <v>138</v>
      </c>
      <c r="H56" s="8">
        <v>3690.65</v>
      </c>
      <c r="I56" s="7" t="s">
        <v>26</v>
      </c>
      <c r="J56" s="7">
        <v>1148670.6399999999</v>
      </c>
      <c r="K56" s="7" t="s">
        <v>27</v>
      </c>
      <c r="L56" s="7">
        <v>203057</v>
      </c>
      <c r="M56" s="7" t="s">
        <v>139</v>
      </c>
      <c r="N56" s="7"/>
      <c r="O56" s="7">
        <v>1</v>
      </c>
      <c r="P56" s="7" t="s">
        <v>140</v>
      </c>
      <c r="Q56" s="7" t="s">
        <v>141</v>
      </c>
    </row>
    <row r="57" spans="1:18" s="9" customFormat="1" x14ac:dyDescent="0.25">
      <c r="A57" s="7">
        <v>8003879954</v>
      </c>
      <c r="B57" s="7">
        <v>5</v>
      </c>
      <c r="C57" s="7">
        <v>25012018</v>
      </c>
      <c r="D57" s="7">
        <v>341</v>
      </c>
      <c r="E57" s="7" t="s">
        <v>25</v>
      </c>
      <c r="F57" s="7">
        <v>9938</v>
      </c>
      <c r="G57" s="12" t="s">
        <v>142</v>
      </c>
      <c r="H57" s="8">
        <v>339.2</v>
      </c>
      <c r="I57" s="7" t="s">
        <v>26</v>
      </c>
      <c r="J57" s="7">
        <v>1152361.29</v>
      </c>
      <c r="K57" s="7" t="s">
        <v>27</v>
      </c>
      <c r="L57" s="7">
        <v>203056</v>
      </c>
      <c r="M57" s="7" t="s">
        <v>45</v>
      </c>
      <c r="N57" s="7"/>
      <c r="O57" s="7">
        <v>1</v>
      </c>
      <c r="P57" s="7" t="s">
        <v>143</v>
      </c>
      <c r="Q57" s="7" t="s">
        <v>144</v>
      </c>
    </row>
    <row r="58" spans="1:18" s="9" customFormat="1" x14ac:dyDescent="0.25">
      <c r="A58" s="7">
        <v>8003879954</v>
      </c>
      <c r="B58" s="7">
        <v>4</v>
      </c>
      <c r="C58" s="7">
        <v>25012018</v>
      </c>
      <c r="D58" s="7">
        <v>299</v>
      </c>
      <c r="E58" s="7" t="s">
        <v>30</v>
      </c>
      <c r="F58" s="7">
        <v>9938</v>
      </c>
      <c r="G58" s="12" t="s">
        <v>142</v>
      </c>
      <c r="H58" s="8">
        <v>0.01</v>
      </c>
      <c r="I58" s="7" t="s">
        <v>26</v>
      </c>
      <c r="J58" s="7">
        <v>1152700.49</v>
      </c>
      <c r="K58" s="7" t="s">
        <v>27</v>
      </c>
      <c r="L58" s="7">
        <v>203056</v>
      </c>
      <c r="M58" s="7" t="s">
        <v>145</v>
      </c>
      <c r="N58" s="7"/>
      <c r="O58" s="7">
        <v>1</v>
      </c>
      <c r="P58" s="7"/>
      <c r="Q58" s="7"/>
    </row>
    <row r="59" spans="1:18" s="9" customFormat="1" x14ac:dyDescent="0.25">
      <c r="A59" s="7">
        <v>8003879954</v>
      </c>
      <c r="B59" s="7">
        <v>3</v>
      </c>
      <c r="C59" s="7">
        <v>25012018</v>
      </c>
      <c r="D59" s="7">
        <v>489</v>
      </c>
      <c r="E59" s="7" t="s">
        <v>31</v>
      </c>
      <c r="F59" s="7">
        <v>9938</v>
      </c>
      <c r="G59" s="12" t="s">
        <v>142</v>
      </c>
      <c r="H59" s="8">
        <v>0.1</v>
      </c>
      <c r="I59" s="7" t="s">
        <v>26</v>
      </c>
      <c r="J59" s="7">
        <v>1152700.5</v>
      </c>
      <c r="K59" s="7" t="s">
        <v>27</v>
      </c>
      <c r="L59" s="7">
        <v>203056</v>
      </c>
      <c r="M59" s="7" t="s">
        <v>145</v>
      </c>
      <c r="N59" s="7"/>
      <c r="O59" s="7">
        <v>1</v>
      </c>
      <c r="P59" s="7"/>
      <c r="Q59" s="7"/>
    </row>
    <row r="60" spans="1:18" s="9" customFormat="1" x14ac:dyDescent="0.25">
      <c r="A60" s="7">
        <v>8003879954</v>
      </c>
      <c r="B60" s="7">
        <v>2</v>
      </c>
      <c r="C60" s="7">
        <v>25012018</v>
      </c>
      <c r="D60" s="7">
        <v>60</v>
      </c>
      <c r="E60" s="7" t="s">
        <v>37</v>
      </c>
      <c r="F60" s="7">
        <v>9938</v>
      </c>
      <c r="G60" s="12" t="s">
        <v>146</v>
      </c>
      <c r="H60" s="8">
        <v>360.4</v>
      </c>
      <c r="I60" s="7" t="s">
        <v>26</v>
      </c>
      <c r="J60" s="7">
        <v>1152700.6000000001</v>
      </c>
      <c r="K60" s="7" t="s">
        <v>27</v>
      </c>
      <c r="L60" s="7">
        <v>203056</v>
      </c>
      <c r="M60" s="7" t="s">
        <v>147</v>
      </c>
      <c r="N60" s="7"/>
      <c r="O60" s="7">
        <v>1</v>
      </c>
      <c r="P60" s="7" t="s">
        <v>148</v>
      </c>
      <c r="Q60" s="7" t="s">
        <v>149</v>
      </c>
    </row>
    <row r="61" spans="1:18" s="9" customFormat="1" x14ac:dyDescent="0.25">
      <c r="A61" s="7">
        <v>8003879954</v>
      </c>
      <c r="B61" s="7">
        <v>1</v>
      </c>
      <c r="C61" s="7">
        <v>25012018</v>
      </c>
      <c r="D61" s="7">
        <v>121</v>
      </c>
      <c r="E61" s="7" t="s">
        <v>150</v>
      </c>
      <c r="F61" s="7">
        <v>2007</v>
      </c>
      <c r="G61" s="12" t="s">
        <v>151</v>
      </c>
      <c r="H61" s="8">
        <v>750</v>
      </c>
      <c r="I61" s="7" t="s">
        <v>27</v>
      </c>
      <c r="J61" s="7">
        <v>1153061</v>
      </c>
      <c r="K61" s="7" t="s">
        <v>27</v>
      </c>
      <c r="L61" s="7">
        <v>190557</v>
      </c>
      <c r="M61" s="7" t="s">
        <v>32</v>
      </c>
      <c r="N61" s="7"/>
      <c r="O61" s="7">
        <v>1</v>
      </c>
      <c r="P61" s="7"/>
      <c r="Q61" s="7"/>
    </row>
    <row r="62" spans="1:18" s="9" customFormat="1" x14ac:dyDescent="0.25">
      <c r="A62" s="7">
        <v>8003879954</v>
      </c>
      <c r="B62" s="7">
        <v>1</v>
      </c>
      <c r="C62" s="7">
        <v>24012018</v>
      </c>
      <c r="D62" s="7">
        <v>618</v>
      </c>
      <c r="E62" s="7" t="s">
        <v>152</v>
      </c>
      <c r="F62" s="7">
        <v>3471</v>
      </c>
      <c r="G62" s="12" t="s">
        <v>153</v>
      </c>
      <c r="H62" s="8">
        <v>1000000</v>
      </c>
      <c r="I62" s="7" t="s">
        <v>27</v>
      </c>
      <c r="J62" s="7">
        <v>1152311</v>
      </c>
      <c r="K62" s="7" t="s">
        <v>27</v>
      </c>
      <c r="L62" s="7">
        <v>124236</v>
      </c>
      <c r="M62" s="7" t="s">
        <v>154</v>
      </c>
      <c r="N62" s="7"/>
      <c r="O62" s="7">
        <v>1</v>
      </c>
      <c r="P62" s="7" t="s">
        <v>155</v>
      </c>
      <c r="Q62" s="7" t="s">
        <v>156</v>
      </c>
      <c r="R62" s="9" t="s">
        <v>157</v>
      </c>
    </row>
    <row r="63" spans="1:18" s="9" customFormat="1" x14ac:dyDescent="0.25">
      <c r="A63" s="7">
        <v>8003879954</v>
      </c>
      <c r="B63" s="7">
        <v>5</v>
      </c>
      <c r="C63" s="7">
        <v>22012018</v>
      </c>
      <c r="D63" s="7">
        <v>299</v>
      </c>
      <c r="E63" s="7" t="s">
        <v>30</v>
      </c>
      <c r="F63" s="7"/>
      <c r="G63" s="12"/>
      <c r="H63" s="8">
        <v>0.03</v>
      </c>
      <c r="I63" s="7" t="s">
        <v>26</v>
      </c>
      <c r="J63" s="7">
        <v>152311</v>
      </c>
      <c r="K63" s="7" t="s">
        <v>27</v>
      </c>
      <c r="L63" s="7">
        <v>5454</v>
      </c>
      <c r="M63" s="7" t="s">
        <v>32</v>
      </c>
      <c r="N63" s="7"/>
      <c r="O63" s="7">
        <v>1</v>
      </c>
      <c r="P63" s="7"/>
      <c r="Q63" s="7"/>
    </row>
    <row r="64" spans="1:18" s="9" customFormat="1" x14ac:dyDescent="0.25">
      <c r="A64" s="7">
        <v>8003879954</v>
      </c>
      <c r="B64" s="7">
        <v>4</v>
      </c>
      <c r="C64" s="7">
        <v>22012018</v>
      </c>
      <c r="D64" s="7">
        <v>819</v>
      </c>
      <c r="E64" s="7" t="s">
        <v>35</v>
      </c>
      <c r="F64" s="7"/>
      <c r="G64" s="12"/>
      <c r="H64" s="8">
        <v>0.5</v>
      </c>
      <c r="I64" s="7" t="s">
        <v>26</v>
      </c>
      <c r="J64" s="7">
        <v>152311.03</v>
      </c>
      <c r="K64" s="7" t="s">
        <v>27</v>
      </c>
      <c r="L64" s="7">
        <v>5454</v>
      </c>
      <c r="M64" s="7" t="s">
        <v>32</v>
      </c>
      <c r="N64" s="7"/>
      <c r="O64" s="7">
        <v>1</v>
      </c>
      <c r="P64" s="7"/>
      <c r="Q64" s="7"/>
    </row>
    <row r="65" spans="1:18" s="9" customFormat="1" x14ac:dyDescent="0.25">
      <c r="A65" s="7">
        <v>8003879954</v>
      </c>
      <c r="B65" s="7">
        <v>3</v>
      </c>
      <c r="C65" s="7">
        <v>22012018</v>
      </c>
      <c r="D65" s="7">
        <v>321</v>
      </c>
      <c r="E65" s="7" t="s">
        <v>36</v>
      </c>
      <c r="F65" s="7">
        <v>0</v>
      </c>
      <c r="G65" s="12" t="s">
        <v>158</v>
      </c>
      <c r="H65" s="8">
        <v>39856</v>
      </c>
      <c r="I65" s="7" t="s">
        <v>26</v>
      </c>
      <c r="J65" s="7">
        <v>152311.53</v>
      </c>
      <c r="K65" s="7" t="s">
        <v>27</v>
      </c>
      <c r="L65" s="7">
        <v>5328</v>
      </c>
      <c r="M65" s="7" t="s">
        <v>32</v>
      </c>
      <c r="N65" s="7"/>
      <c r="O65" s="7">
        <v>1</v>
      </c>
      <c r="P65" s="7"/>
      <c r="Q65" s="7"/>
    </row>
    <row r="66" spans="1:18" s="9" customFormat="1" x14ac:dyDescent="0.25">
      <c r="A66" s="7">
        <v>8003879954</v>
      </c>
      <c r="B66" s="7">
        <v>2</v>
      </c>
      <c r="C66" s="7">
        <v>22012018</v>
      </c>
      <c r="D66" s="7">
        <v>174</v>
      </c>
      <c r="E66" s="7" t="s">
        <v>159</v>
      </c>
      <c r="F66" s="7">
        <v>2001</v>
      </c>
      <c r="G66" s="12" t="s">
        <v>160</v>
      </c>
      <c r="H66" s="8">
        <v>750</v>
      </c>
      <c r="I66" s="7" t="s">
        <v>27</v>
      </c>
      <c r="J66" s="7">
        <v>192167.53</v>
      </c>
      <c r="K66" s="7" t="s">
        <v>27</v>
      </c>
      <c r="L66" s="7">
        <v>211447</v>
      </c>
      <c r="M66" s="7" t="s">
        <v>161</v>
      </c>
      <c r="N66" s="7"/>
      <c r="O66" s="7">
        <v>1</v>
      </c>
      <c r="P66" s="7" t="s">
        <v>161</v>
      </c>
      <c r="Q66" s="7"/>
      <c r="R66" s="9" t="s">
        <v>162</v>
      </c>
    </row>
    <row r="67" spans="1:18" s="9" customFormat="1" x14ac:dyDescent="0.25">
      <c r="A67" s="7">
        <v>8003879954</v>
      </c>
      <c r="B67" s="7">
        <v>1</v>
      </c>
      <c r="C67" s="7">
        <v>22012018</v>
      </c>
      <c r="D67" s="7">
        <v>618</v>
      </c>
      <c r="E67" s="7" t="s">
        <v>152</v>
      </c>
      <c r="F67" s="7">
        <v>1801</v>
      </c>
      <c r="G67" s="12" t="s">
        <v>163</v>
      </c>
      <c r="H67" s="8">
        <v>750</v>
      </c>
      <c r="I67" s="7" t="s">
        <v>27</v>
      </c>
      <c r="J67" s="7">
        <v>191417.53</v>
      </c>
      <c r="K67" s="7" t="s">
        <v>27</v>
      </c>
      <c r="L67" s="7">
        <v>171106</v>
      </c>
      <c r="M67" s="7" t="s">
        <v>164</v>
      </c>
      <c r="N67" s="7"/>
      <c r="O67" s="7">
        <v>1</v>
      </c>
      <c r="P67" s="7" t="s">
        <v>164</v>
      </c>
      <c r="Q67" s="7"/>
      <c r="R67" s="9" t="s">
        <v>165</v>
      </c>
    </row>
    <row r="68" spans="1:18" s="9" customFormat="1" x14ac:dyDescent="0.25">
      <c r="A68" s="7">
        <v>8003879954</v>
      </c>
      <c r="B68" s="7">
        <v>1</v>
      </c>
      <c r="C68" s="7">
        <v>19012018</v>
      </c>
      <c r="D68" s="7">
        <v>121</v>
      </c>
      <c r="E68" s="7" t="s">
        <v>150</v>
      </c>
      <c r="F68" s="7">
        <v>2007</v>
      </c>
      <c r="G68" s="12" t="s">
        <v>166</v>
      </c>
      <c r="H68" s="8">
        <v>75000</v>
      </c>
      <c r="I68" s="7" t="s">
        <v>27</v>
      </c>
      <c r="J68" s="7">
        <v>190667.53</v>
      </c>
      <c r="K68" s="7" t="s">
        <v>27</v>
      </c>
      <c r="L68" s="7">
        <v>191033</v>
      </c>
      <c r="M68" s="7" t="s">
        <v>32</v>
      </c>
      <c r="N68" s="7"/>
      <c r="O68" s="7">
        <v>1</v>
      </c>
      <c r="P68" s="7"/>
      <c r="Q68" s="7"/>
    </row>
    <row r="69" spans="1:18" s="9" customFormat="1" x14ac:dyDescent="0.25">
      <c r="A69" s="7">
        <v>8003879954</v>
      </c>
      <c r="B69" s="7">
        <v>13</v>
      </c>
      <c r="C69" s="7">
        <v>18012018</v>
      </c>
      <c r="D69" s="7">
        <v>299</v>
      </c>
      <c r="E69" s="7" t="s">
        <v>30</v>
      </c>
      <c r="F69" s="7"/>
      <c r="G69" s="12"/>
      <c r="H69" s="8">
        <v>0.06</v>
      </c>
      <c r="I69" s="7" t="s">
        <v>26</v>
      </c>
      <c r="J69" s="7">
        <v>115667.53</v>
      </c>
      <c r="K69" s="7" t="s">
        <v>27</v>
      </c>
      <c r="L69" s="7">
        <v>5505</v>
      </c>
      <c r="M69" s="7" t="s">
        <v>32</v>
      </c>
      <c r="N69" s="7"/>
      <c r="O69" s="7">
        <v>1</v>
      </c>
      <c r="P69" s="7"/>
      <c r="Q69" s="7"/>
    </row>
    <row r="70" spans="1:18" s="9" customFormat="1" x14ac:dyDescent="0.25">
      <c r="A70" s="7">
        <v>8003879954</v>
      </c>
      <c r="B70" s="7">
        <v>12</v>
      </c>
      <c r="C70" s="7">
        <v>18012018</v>
      </c>
      <c r="D70" s="7">
        <v>819</v>
      </c>
      <c r="E70" s="7" t="s">
        <v>35</v>
      </c>
      <c r="F70" s="7"/>
      <c r="G70" s="12"/>
      <c r="H70" s="8">
        <v>1</v>
      </c>
      <c r="I70" s="7" t="s">
        <v>26</v>
      </c>
      <c r="J70" s="7">
        <v>115667.59</v>
      </c>
      <c r="K70" s="7" t="s">
        <v>27</v>
      </c>
      <c r="L70" s="7">
        <v>5505</v>
      </c>
      <c r="M70" s="7" t="s">
        <v>32</v>
      </c>
      <c r="N70" s="7"/>
      <c r="O70" s="7">
        <v>1</v>
      </c>
      <c r="P70" s="7"/>
      <c r="Q70" s="7"/>
    </row>
    <row r="71" spans="1:18" s="9" customFormat="1" x14ac:dyDescent="0.25">
      <c r="A71" s="7">
        <v>8003879954</v>
      </c>
      <c r="B71" s="7">
        <v>11</v>
      </c>
      <c r="C71" s="7">
        <v>18012018</v>
      </c>
      <c r="D71" s="7">
        <v>323</v>
      </c>
      <c r="E71" s="7" t="s">
        <v>50</v>
      </c>
      <c r="F71" s="7">
        <v>0</v>
      </c>
      <c r="G71" s="12" t="s">
        <v>167</v>
      </c>
      <c r="H71" s="8">
        <v>150000</v>
      </c>
      <c r="I71" s="7" t="s">
        <v>26</v>
      </c>
      <c r="J71" s="7">
        <v>115668.59</v>
      </c>
      <c r="K71" s="7" t="s">
        <v>27</v>
      </c>
      <c r="L71" s="7">
        <v>5404</v>
      </c>
      <c r="M71" s="7" t="s">
        <v>32</v>
      </c>
      <c r="N71" s="7"/>
      <c r="O71" s="7">
        <v>1</v>
      </c>
      <c r="P71" s="7"/>
      <c r="Q71" s="7"/>
    </row>
    <row r="72" spans="1:18" s="9" customFormat="1" x14ac:dyDescent="0.25">
      <c r="A72" s="7">
        <v>8003879954</v>
      </c>
      <c r="B72" s="7">
        <v>10</v>
      </c>
      <c r="C72" s="7">
        <v>18012018</v>
      </c>
      <c r="D72" s="7">
        <v>323</v>
      </c>
      <c r="E72" s="7" t="s">
        <v>50</v>
      </c>
      <c r="F72" s="7">
        <v>0</v>
      </c>
      <c r="G72" s="12" t="s">
        <v>168</v>
      </c>
      <c r="H72" s="8">
        <v>385077.6</v>
      </c>
      <c r="I72" s="7" t="s">
        <v>26</v>
      </c>
      <c r="J72" s="7">
        <v>265668.59000000003</v>
      </c>
      <c r="K72" s="7" t="s">
        <v>27</v>
      </c>
      <c r="L72" s="7">
        <v>5404</v>
      </c>
      <c r="M72" s="7" t="s">
        <v>32</v>
      </c>
      <c r="N72" s="7"/>
      <c r="O72" s="7">
        <v>1</v>
      </c>
      <c r="P72" s="7"/>
      <c r="Q72" s="7"/>
    </row>
    <row r="73" spans="1:18" s="9" customFormat="1" x14ac:dyDescent="0.25">
      <c r="A73" s="7">
        <v>8003879954</v>
      </c>
      <c r="B73" s="7">
        <v>9</v>
      </c>
      <c r="C73" s="7">
        <v>18012018</v>
      </c>
      <c r="D73" s="7">
        <v>299</v>
      </c>
      <c r="E73" s="7" t="s">
        <v>30</v>
      </c>
      <c r="F73" s="7">
        <v>72</v>
      </c>
      <c r="G73" s="12" t="s">
        <v>169</v>
      </c>
      <c r="H73" s="8">
        <v>0.6</v>
      </c>
      <c r="I73" s="7" t="s">
        <v>26</v>
      </c>
      <c r="J73" s="7">
        <v>650746.18999999994</v>
      </c>
      <c r="K73" s="7" t="s">
        <v>27</v>
      </c>
      <c r="L73" s="7">
        <v>142622</v>
      </c>
      <c r="M73" s="7" t="s">
        <v>170</v>
      </c>
      <c r="N73" s="7"/>
      <c r="O73" s="7">
        <v>1</v>
      </c>
      <c r="P73" s="7"/>
      <c r="Q73" s="7"/>
    </row>
    <row r="74" spans="1:18" s="9" customFormat="1" x14ac:dyDescent="0.25">
      <c r="A74" s="7">
        <v>8003879954</v>
      </c>
      <c r="B74" s="7">
        <v>8</v>
      </c>
      <c r="C74" s="7">
        <v>18012018</v>
      </c>
      <c r="D74" s="7">
        <v>415</v>
      </c>
      <c r="E74" s="7" t="s">
        <v>48</v>
      </c>
      <c r="F74" s="7">
        <v>72</v>
      </c>
      <c r="G74" s="12" t="s">
        <v>169</v>
      </c>
      <c r="H74" s="8">
        <v>10</v>
      </c>
      <c r="I74" s="7" t="s">
        <v>26</v>
      </c>
      <c r="J74" s="7">
        <v>650746.79</v>
      </c>
      <c r="K74" s="7" t="s">
        <v>27</v>
      </c>
      <c r="L74" s="7">
        <v>142622</v>
      </c>
      <c r="M74" s="7" t="s">
        <v>170</v>
      </c>
      <c r="N74" s="7"/>
      <c r="O74" s="7">
        <v>1</v>
      </c>
      <c r="P74" s="7"/>
      <c r="Q74" s="7"/>
    </row>
    <row r="75" spans="1:18" s="9" customFormat="1" x14ac:dyDescent="0.25">
      <c r="A75" s="7">
        <v>8003879954</v>
      </c>
      <c r="B75" s="7">
        <v>7</v>
      </c>
      <c r="C75" s="7">
        <v>18012018</v>
      </c>
      <c r="D75" s="7">
        <v>349</v>
      </c>
      <c r="E75" s="7" t="s">
        <v>49</v>
      </c>
      <c r="F75" s="7">
        <v>72</v>
      </c>
      <c r="G75" s="12" t="s">
        <v>169</v>
      </c>
      <c r="H75" s="8">
        <v>12250.85</v>
      </c>
      <c r="I75" s="7" t="s">
        <v>26</v>
      </c>
      <c r="J75" s="7">
        <v>650756.79</v>
      </c>
      <c r="K75" s="7" t="s">
        <v>27</v>
      </c>
      <c r="L75" s="7">
        <v>142622</v>
      </c>
      <c r="M75" s="7" t="s">
        <v>170</v>
      </c>
      <c r="N75" s="7"/>
      <c r="O75" s="7">
        <v>1</v>
      </c>
      <c r="P75" s="7"/>
      <c r="Q75" s="7"/>
    </row>
    <row r="76" spans="1:18" s="9" customFormat="1" x14ac:dyDescent="0.25">
      <c r="A76" s="9">
        <v>8003879954</v>
      </c>
      <c r="B76" s="9">
        <v>6</v>
      </c>
      <c r="C76" s="9">
        <v>18012018</v>
      </c>
      <c r="D76" s="9">
        <v>299</v>
      </c>
      <c r="E76" s="9" t="s">
        <v>30</v>
      </c>
      <c r="F76" s="9">
        <v>72</v>
      </c>
      <c r="G76" s="13" t="s">
        <v>169</v>
      </c>
      <c r="H76" s="10">
        <v>0.6</v>
      </c>
      <c r="I76" s="9" t="s">
        <v>26</v>
      </c>
      <c r="J76" s="10">
        <v>663007.64</v>
      </c>
      <c r="K76" s="9" t="s">
        <v>27</v>
      </c>
      <c r="L76" s="9">
        <v>142241</v>
      </c>
      <c r="M76" s="9" t="s">
        <v>171</v>
      </c>
      <c r="O76" s="9">
        <v>1</v>
      </c>
    </row>
    <row r="77" spans="1:18" s="9" customFormat="1" x14ac:dyDescent="0.25">
      <c r="A77" s="9">
        <v>8003879954</v>
      </c>
      <c r="B77" s="9">
        <v>5</v>
      </c>
      <c r="C77" s="9">
        <v>18012018</v>
      </c>
      <c r="D77" s="9">
        <v>415</v>
      </c>
      <c r="E77" s="9" t="s">
        <v>48</v>
      </c>
      <c r="F77" s="9">
        <v>72</v>
      </c>
      <c r="G77" s="13" t="s">
        <v>169</v>
      </c>
      <c r="H77" s="10">
        <v>10</v>
      </c>
      <c r="I77" s="9" t="s">
        <v>26</v>
      </c>
      <c r="J77" s="10">
        <v>663008.24</v>
      </c>
      <c r="K77" s="9" t="s">
        <v>27</v>
      </c>
      <c r="L77" s="9">
        <v>142241</v>
      </c>
      <c r="M77" s="9" t="s">
        <v>171</v>
      </c>
      <c r="O77" s="9">
        <v>1</v>
      </c>
    </row>
    <row r="78" spans="1:18" s="9" customFormat="1" x14ac:dyDescent="0.25">
      <c r="A78" s="9">
        <v>8003879954</v>
      </c>
      <c r="B78" s="9">
        <v>4</v>
      </c>
      <c r="C78" s="9">
        <v>18012018</v>
      </c>
      <c r="D78" s="9">
        <v>349</v>
      </c>
      <c r="E78" s="9" t="s">
        <v>49</v>
      </c>
      <c r="F78" s="9">
        <v>72</v>
      </c>
      <c r="G78" s="13" t="s">
        <v>169</v>
      </c>
      <c r="H78" s="10">
        <v>68759.33</v>
      </c>
      <c r="I78" s="9" t="s">
        <v>26</v>
      </c>
      <c r="J78" s="10">
        <v>663018.23999999999</v>
      </c>
      <c r="K78" s="9" t="s">
        <v>27</v>
      </c>
      <c r="L78" s="9">
        <v>142241</v>
      </c>
      <c r="M78" s="9" t="s">
        <v>171</v>
      </c>
      <c r="O78" s="9">
        <v>1</v>
      </c>
    </row>
    <row r="79" spans="1:18" s="9" customFormat="1" x14ac:dyDescent="0.25">
      <c r="A79" s="9">
        <v>8003879954</v>
      </c>
      <c r="B79" s="9">
        <v>3</v>
      </c>
      <c r="C79" s="9">
        <v>18012018</v>
      </c>
      <c r="D79" s="9">
        <v>299</v>
      </c>
      <c r="E79" s="9" t="s">
        <v>30</v>
      </c>
      <c r="F79" s="9">
        <v>72</v>
      </c>
      <c r="G79" s="13" t="s">
        <v>172</v>
      </c>
      <c r="H79" s="10">
        <v>1.8</v>
      </c>
      <c r="I79" s="9" t="s">
        <v>26</v>
      </c>
      <c r="J79" s="10">
        <v>731777.57</v>
      </c>
      <c r="K79" s="9" t="s">
        <v>27</v>
      </c>
      <c r="L79" s="9">
        <v>131831</v>
      </c>
      <c r="M79" s="9" t="s">
        <v>173</v>
      </c>
      <c r="O79" s="9">
        <v>1</v>
      </c>
    </row>
    <row r="80" spans="1:18" s="9" customFormat="1" x14ac:dyDescent="0.25">
      <c r="A80" s="9">
        <v>8003879954</v>
      </c>
      <c r="B80" s="9">
        <v>2</v>
      </c>
      <c r="C80" s="9">
        <v>18012018</v>
      </c>
      <c r="D80" s="9">
        <v>415</v>
      </c>
      <c r="E80" s="9" t="s">
        <v>48</v>
      </c>
      <c r="F80" s="9">
        <v>72</v>
      </c>
      <c r="G80" s="13" t="s">
        <v>172</v>
      </c>
      <c r="H80" s="10">
        <v>30</v>
      </c>
      <c r="I80" s="9" t="s">
        <v>26</v>
      </c>
      <c r="J80" s="10">
        <v>731779.37</v>
      </c>
      <c r="K80" s="9" t="s">
        <v>27</v>
      </c>
      <c r="L80" s="9">
        <v>131831</v>
      </c>
      <c r="M80" s="9" t="s">
        <v>173</v>
      </c>
      <c r="O80" s="9">
        <v>1</v>
      </c>
    </row>
    <row r="81" spans="1:18" s="9" customFormat="1" x14ac:dyDescent="0.25">
      <c r="A81" s="9">
        <v>8003879954</v>
      </c>
      <c r="B81" s="9">
        <v>1</v>
      </c>
      <c r="C81" s="9">
        <v>18012018</v>
      </c>
      <c r="D81" s="9">
        <v>349</v>
      </c>
      <c r="E81" s="9" t="s">
        <v>49</v>
      </c>
      <c r="F81" s="9">
        <v>72</v>
      </c>
      <c r="G81" s="13" t="s">
        <v>172</v>
      </c>
      <c r="H81" s="10">
        <v>28037.1</v>
      </c>
      <c r="I81" s="9" t="s">
        <v>26</v>
      </c>
      <c r="J81" s="10">
        <v>731809.37</v>
      </c>
      <c r="K81" s="9" t="s">
        <v>27</v>
      </c>
      <c r="L81" s="9">
        <v>131831</v>
      </c>
      <c r="M81" s="9" t="s">
        <v>173</v>
      </c>
      <c r="O81" s="9">
        <v>1</v>
      </c>
    </row>
    <row r="82" spans="1:18" s="9" customFormat="1" x14ac:dyDescent="0.25">
      <c r="A82" s="9">
        <v>8003879954</v>
      </c>
      <c r="B82" s="9">
        <v>5</v>
      </c>
      <c r="C82" s="9">
        <v>17012018</v>
      </c>
      <c r="D82" s="9">
        <v>299</v>
      </c>
      <c r="E82" s="9" t="s">
        <v>30</v>
      </c>
      <c r="G82" s="13"/>
      <c r="H82" s="10">
        <v>0.03</v>
      </c>
      <c r="I82" s="9" t="s">
        <v>26</v>
      </c>
      <c r="J82" s="10">
        <v>759846.47</v>
      </c>
      <c r="K82" s="9" t="s">
        <v>27</v>
      </c>
      <c r="L82" s="9">
        <v>5752</v>
      </c>
      <c r="M82" s="9" t="s">
        <v>32</v>
      </c>
      <c r="O82" s="9">
        <v>1</v>
      </c>
    </row>
    <row r="83" spans="1:18" s="9" customFormat="1" x14ac:dyDescent="0.25">
      <c r="A83" s="9">
        <v>8003879954</v>
      </c>
      <c r="B83" s="9">
        <v>4</v>
      </c>
      <c r="C83" s="9">
        <v>17012018</v>
      </c>
      <c r="D83" s="9">
        <v>819</v>
      </c>
      <c r="E83" s="9" t="s">
        <v>35</v>
      </c>
      <c r="G83" s="13"/>
      <c r="H83" s="10">
        <v>0.5</v>
      </c>
      <c r="I83" s="9" t="s">
        <v>26</v>
      </c>
      <c r="J83" s="10">
        <v>759846.5</v>
      </c>
      <c r="K83" s="9" t="s">
        <v>27</v>
      </c>
      <c r="L83" s="9">
        <v>5752</v>
      </c>
      <c r="M83" s="9" t="s">
        <v>32</v>
      </c>
      <c r="O83" s="9">
        <v>1</v>
      </c>
    </row>
    <row r="84" spans="1:18" s="9" customFormat="1" x14ac:dyDescent="0.25">
      <c r="A84" s="9">
        <v>8003879954</v>
      </c>
      <c r="B84" s="9">
        <v>3</v>
      </c>
      <c r="C84" s="9">
        <v>17012018</v>
      </c>
      <c r="D84" s="9">
        <v>323</v>
      </c>
      <c r="E84" s="9" t="s">
        <v>50</v>
      </c>
      <c r="F84" s="9">
        <v>0</v>
      </c>
      <c r="G84" s="13" t="s">
        <v>174</v>
      </c>
      <c r="H84" s="10">
        <v>1569.9</v>
      </c>
      <c r="I84" s="9" t="s">
        <v>26</v>
      </c>
      <c r="J84" s="10">
        <v>759847</v>
      </c>
      <c r="K84" s="9" t="s">
        <v>27</v>
      </c>
      <c r="L84" s="9">
        <v>5714</v>
      </c>
      <c r="M84" s="9" t="s">
        <v>32</v>
      </c>
      <c r="O84" s="9">
        <v>1</v>
      </c>
    </row>
    <row r="85" spans="1:18" s="9" customFormat="1" x14ac:dyDescent="0.25">
      <c r="A85" s="9">
        <v>8003879954</v>
      </c>
      <c r="B85" s="9">
        <v>2</v>
      </c>
      <c r="C85" s="9">
        <v>17012018</v>
      </c>
      <c r="D85" s="9">
        <v>174</v>
      </c>
      <c r="E85" s="9" t="s">
        <v>159</v>
      </c>
      <c r="F85" s="9">
        <v>2001</v>
      </c>
      <c r="G85" s="13" t="s">
        <v>175</v>
      </c>
      <c r="H85" s="10">
        <v>650000</v>
      </c>
      <c r="I85" s="9" t="s">
        <v>27</v>
      </c>
      <c r="J85" s="10">
        <v>761416.9</v>
      </c>
      <c r="K85" s="9" t="s">
        <v>27</v>
      </c>
      <c r="L85" s="9">
        <v>151811</v>
      </c>
      <c r="M85" s="9" t="s">
        <v>176</v>
      </c>
      <c r="O85" s="9">
        <v>1</v>
      </c>
      <c r="P85" s="9" t="s">
        <v>176</v>
      </c>
      <c r="R85" s="9" t="s">
        <v>55</v>
      </c>
    </row>
    <row r="86" spans="1:18" s="9" customFormat="1" x14ac:dyDescent="0.25">
      <c r="A86" s="9">
        <v>8003879954</v>
      </c>
      <c r="B86" s="9">
        <v>1</v>
      </c>
      <c r="C86" s="9">
        <v>17012018</v>
      </c>
      <c r="D86" s="9">
        <v>212</v>
      </c>
      <c r="E86" s="9" t="s">
        <v>177</v>
      </c>
      <c r="F86" s="9">
        <v>6881</v>
      </c>
      <c r="G86" s="13" t="s">
        <v>178</v>
      </c>
      <c r="H86" s="10">
        <v>39856</v>
      </c>
      <c r="I86" s="9" t="s">
        <v>27</v>
      </c>
      <c r="J86" s="10">
        <v>111416.9</v>
      </c>
      <c r="K86" s="9" t="s">
        <v>27</v>
      </c>
      <c r="L86" s="9">
        <v>94535</v>
      </c>
      <c r="M86" s="9" t="s">
        <v>32</v>
      </c>
      <c r="O86" s="9">
        <v>1</v>
      </c>
    </row>
    <row r="87" spans="1:18" s="9" customFormat="1" x14ac:dyDescent="0.25">
      <c r="A87" s="9">
        <v>8003879954</v>
      </c>
      <c r="B87" s="9">
        <v>13</v>
      </c>
      <c r="C87" s="9">
        <v>16012018</v>
      </c>
      <c r="D87" s="9">
        <v>299</v>
      </c>
      <c r="E87" s="9" t="s">
        <v>30</v>
      </c>
      <c r="G87" s="13"/>
      <c r="H87" s="10">
        <v>0.09</v>
      </c>
      <c r="I87" s="9" t="s">
        <v>26</v>
      </c>
      <c r="J87" s="10">
        <v>71560.899999999994</v>
      </c>
      <c r="K87" s="9" t="s">
        <v>27</v>
      </c>
      <c r="L87" s="9">
        <v>5539</v>
      </c>
      <c r="M87" s="9" t="s">
        <v>32</v>
      </c>
      <c r="O87" s="9">
        <v>1</v>
      </c>
    </row>
    <row r="88" spans="1:18" s="9" customFormat="1" x14ac:dyDescent="0.25">
      <c r="A88" s="9">
        <v>8003879954</v>
      </c>
      <c r="B88" s="9">
        <v>12</v>
      </c>
      <c r="C88" s="9">
        <v>16012018</v>
      </c>
      <c r="D88" s="9">
        <v>819</v>
      </c>
      <c r="E88" s="9" t="s">
        <v>35</v>
      </c>
      <c r="G88" s="13"/>
      <c r="H88" s="10">
        <v>1.5</v>
      </c>
      <c r="I88" s="9" t="s">
        <v>26</v>
      </c>
      <c r="J88" s="10">
        <v>71560.990000000005</v>
      </c>
      <c r="K88" s="9" t="s">
        <v>27</v>
      </c>
      <c r="L88" s="9">
        <v>5539</v>
      </c>
      <c r="M88" s="9" t="s">
        <v>32</v>
      </c>
      <c r="O88" s="9">
        <v>1</v>
      </c>
    </row>
    <row r="89" spans="1:18" s="9" customFormat="1" x14ac:dyDescent="0.25">
      <c r="A89" s="9">
        <v>8003879954</v>
      </c>
      <c r="B89" s="9">
        <v>11</v>
      </c>
      <c r="C89" s="9">
        <v>16012018</v>
      </c>
      <c r="D89" s="9">
        <v>299</v>
      </c>
      <c r="E89" s="9" t="s">
        <v>30</v>
      </c>
      <c r="G89" s="13"/>
      <c r="H89" s="10">
        <v>0.12</v>
      </c>
      <c r="I89" s="9" t="s">
        <v>26</v>
      </c>
      <c r="J89" s="10">
        <v>71562.490000000005</v>
      </c>
      <c r="K89" s="9" t="s">
        <v>27</v>
      </c>
      <c r="L89" s="9">
        <v>5539</v>
      </c>
      <c r="M89" s="9" t="s">
        <v>32</v>
      </c>
      <c r="O89" s="9">
        <v>1</v>
      </c>
    </row>
    <row r="90" spans="1:18" s="9" customFormat="1" x14ac:dyDescent="0.25">
      <c r="A90" s="9">
        <v>8003879954</v>
      </c>
      <c r="B90" s="9">
        <v>10</v>
      </c>
      <c r="C90" s="9">
        <v>16012018</v>
      </c>
      <c r="D90" s="9">
        <v>819</v>
      </c>
      <c r="E90" s="9" t="s">
        <v>35</v>
      </c>
      <c r="G90" s="13"/>
      <c r="H90" s="10">
        <v>2</v>
      </c>
      <c r="I90" s="9" t="s">
        <v>26</v>
      </c>
      <c r="J90" s="10">
        <v>71562.61</v>
      </c>
      <c r="K90" s="9" t="s">
        <v>27</v>
      </c>
      <c r="L90" s="9">
        <v>5539</v>
      </c>
      <c r="M90" s="9" t="s">
        <v>32</v>
      </c>
      <c r="O90" s="9">
        <v>1</v>
      </c>
    </row>
    <row r="91" spans="1:18" s="9" customFormat="1" x14ac:dyDescent="0.25">
      <c r="A91" s="9">
        <v>8003879954</v>
      </c>
      <c r="B91" s="9">
        <v>9</v>
      </c>
      <c r="C91" s="9">
        <v>16012018</v>
      </c>
      <c r="D91" s="9">
        <v>323</v>
      </c>
      <c r="E91" s="9" t="s">
        <v>50</v>
      </c>
      <c r="F91" s="9">
        <v>0</v>
      </c>
      <c r="G91" s="13" t="s">
        <v>179</v>
      </c>
      <c r="H91" s="10">
        <v>28620</v>
      </c>
      <c r="I91" s="9" t="s">
        <v>26</v>
      </c>
      <c r="J91" s="10">
        <v>71564.61</v>
      </c>
      <c r="K91" s="9" t="s">
        <v>27</v>
      </c>
      <c r="L91" s="9">
        <v>5427</v>
      </c>
      <c r="M91" s="9" t="s">
        <v>32</v>
      </c>
      <c r="O91" s="9">
        <v>1</v>
      </c>
    </row>
    <row r="92" spans="1:18" s="9" customFormat="1" x14ac:dyDescent="0.25">
      <c r="A92" s="9">
        <v>8003879954</v>
      </c>
      <c r="B92" s="9">
        <v>8</v>
      </c>
      <c r="C92" s="9">
        <v>16012018</v>
      </c>
      <c r="D92" s="9">
        <v>321</v>
      </c>
      <c r="E92" s="9" t="s">
        <v>36</v>
      </c>
      <c r="F92" s="9">
        <v>0</v>
      </c>
      <c r="G92" s="13" t="s">
        <v>180</v>
      </c>
      <c r="H92" s="10">
        <v>39856</v>
      </c>
      <c r="I92" s="9" t="s">
        <v>26</v>
      </c>
      <c r="J92" s="10">
        <v>100184.61</v>
      </c>
      <c r="K92" s="9" t="s">
        <v>27</v>
      </c>
      <c r="L92" s="9">
        <v>5427</v>
      </c>
      <c r="M92" s="9" t="s">
        <v>32</v>
      </c>
      <c r="O92" s="9">
        <v>1</v>
      </c>
    </row>
    <row r="93" spans="1:18" s="9" customFormat="1" x14ac:dyDescent="0.25">
      <c r="A93" s="9">
        <v>8003879954</v>
      </c>
      <c r="B93" s="9">
        <v>7</v>
      </c>
      <c r="C93" s="9">
        <v>16012018</v>
      </c>
      <c r="D93" s="9">
        <v>323</v>
      </c>
      <c r="E93" s="9" t="s">
        <v>50</v>
      </c>
      <c r="F93" s="9">
        <v>0</v>
      </c>
      <c r="G93" s="13" t="s">
        <v>181</v>
      </c>
      <c r="H93" s="10">
        <v>22544</v>
      </c>
      <c r="I93" s="9" t="s">
        <v>26</v>
      </c>
      <c r="J93" s="10">
        <v>140040.60999999999</v>
      </c>
      <c r="K93" s="9" t="s">
        <v>27</v>
      </c>
      <c r="L93" s="9">
        <v>5427</v>
      </c>
      <c r="M93" s="9" t="s">
        <v>32</v>
      </c>
      <c r="O93" s="9">
        <v>1</v>
      </c>
    </row>
    <row r="94" spans="1:18" s="9" customFormat="1" x14ac:dyDescent="0.25">
      <c r="A94" s="9">
        <v>8003879954</v>
      </c>
      <c r="B94" s="9">
        <v>6</v>
      </c>
      <c r="C94" s="9">
        <v>16012018</v>
      </c>
      <c r="D94" s="9">
        <v>323</v>
      </c>
      <c r="E94" s="9" t="s">
        <v>50</v>
      </c>
      <c r="F94" s="9">
        <v>0</v>
      </c>
      <c r="G94" s="13" t="s">
        <v>182</v>
      </c>
      <c r="H94" s="10">
        <v>22987.16</v>
      </c>
      <c r="I94" s="9" t="s">
        <v>26</v>
      </c>
      <c r="J94" s="10">
        <v>162584.60999999999</v>
      </c>
      <c r="K94" s="9" t="s">
        <v>27</v>
      </c>
      <c r="L94" s="9">
        <v>5427</v>
      </c>
      <c r="M94" s="9" t="s">
        <v>32</v>
      </c>
      <c r="O94" s="9">
        <v>1</v>
      </c>
    </row>
    <row r="95" spans="1:18" s="9" customFormat="1" x14ac:dyDescent="0.25">
      <c r="A95" s="9">
        <v>8003879954</v>
      </c>
      <c r="B95" s="9">
        <v>5</v>
      </c>
      <c r="C95" s="9">
        <v>16012018</v>
      </c>
      <c r="D95" s="9">
        <v>321</v>
      </c>
      <c r="E95" s="9" t="s">
        <v>36</v>
      </c>
      <c r="F95" s="9">
        <v>0</v>
      </c>
      <c r="G95" s="13" t="s">
        <v>183</v>
      </c>
      <c r="H95" s="10">
        <v>15900</v>
      </c>
      <c r="I95" s="9" t="s">
        <v>26</v>
      </c>
      <c r="J95" s="10">
        <v>185571.77</v>
      </c>
      <c r="K95" s="9" t="s">
        <v>27</v>
      </c>
      <c r="L95" s="9">
        <v>5427</v>
      </c>
      <c r="M95" s="9" t="s">
        <v>32</v>
      </c>
      <c r="O95" s="9">
        <v>1</v>
      </c>
    </row>
    <row r="96" spans="1:18" s="9" customFormat="1" x14ac:dyDescent="0.25">
      <c r="A96" s="9">
        <v>8003879954</v>
      </c>
      <c r="B96" s="9">
        <v>4</v>
      </c>
      <c r="C96" s="9">
        <v>16012018</v>
      </c>
      <c r="D96" s="9">
        <v>321</v>
      </c>
      <c r="E96" s="9" t="s">
        <v>36</v>
      </c>
      <c r="F96" s="9">
        <v>0</v>
      </c>
      <c r="G96" s="13" t="s">
        <v>184</v>
      </c>
      <c r="H96" s="10">
        <v>24400</v>
      </c>
      <c r="I96" s="9" t="s">
        <v>26</v>
      </c>
      <c r="J96" s="10">
        <v>201471.77</v>
      </c>
      <c r="K96" s="9" t="s">
        <v>27</v>
      </c>
      <c r="L96" s="9">
        <v>5427</v>
      </c>
      <c r="M96" s="9" t="s">
        <v>32</v>
      </c>
      <c r="O96" s="9">
        <v>1</v>
      </c>
    </row>
    <row r="97" spans="1:18" s="9" customFormat="1" x14ac:dyDescent="0.25">
      <c r="A97" s="9">
        <v>8003879954</v>
      </c>
      <c r="B97" s="9">
        <v>3</v>
      </c>
      <c r="C97" s="9">
        <v>16012018</v>
      </c>
      <c r="D97" s="9">
        <v>323</v>
      </c>
      <c r="E97" s="9" t="s">
        <v>50</v>
      </c>
      <c r="F97" s="9">
        <v>0</v>
      </c>
      <c r="G97" s="13" t="s">
        <v>185</v>
      </c>
      <c r="H97" s="10">
        <v>73073.36</v>
      </c>
      <c r="I97" s="9" t="s">
        <v>26</v>
      </c>
      <c r="J97" s="10">
        <v>225871.77</v>
      </c>
      <c r="K97" s="9" t="s">
        <v>27</v>
      </c>
      <c r="L97" s="9">
        <v>5427</v>
      </c>
      <c r="M97" s="9" t="s">
        <v>32</v>
      </c>
      <c r="O97" s="9">
        <v>1</v>
      </c>
    </row>
    <row r="98" spans="1:18" s="9" customFormat="1" x14ac:dyDescent="0.25">
      <c r="A98" s="9">
        <v>8003879954</v>
      </c>
      <c r="B98" s="9">
        <v>2</v>
      </c>
      <c r="C98" s="9">
        <v>16012018</v>
      </c>
      <c r="D98" s="9">
        <v>102</v>
      </c>
      <c r="E98" s="9" t="s">
        <v>186</v>
      </c>
      <c r="F98" s="9">
        <v>9815</v>
      </c>
      <c r="G98" s="13" t="s">
        <v>187</v>
      </c>
      <c r="H98" s="10">
        <v>1000</v>
      </c>
      <c r="I98" s="9" t="s">
        <v>27</v>
      </c>
      <c r="J98" s="10">
        <v>298945.13</v>
      </c>
      <c r="K98" s="9" t="s">
        <v>27</v>
      </c>
      <c r="L98" s="9">
        <v>154315</v>
      </c>
      <c r="M98" s="9" t="s">
        <v>32</v>
      </c>
      <c r="O98" s="9">
        <v>1</v>
      </c>
    </row>
    <row r="99" spans="1:18" s="9" customFormat="1" x14ac:dyDescent="0.25">
      <c r="A99" s="9">
        <v>8003879954</v>
      </c>
      <c r="B99" s="9">
        <v>1</v>
      </c>
      <c r="C99" s="9">
        <v>16012018</v>
      </c>
      <c r="D99" s="9">
        <v>141</v>
      </c>
      <c r="E99" s="9" t="s">
        <v>53</v>
      </c>
      <c r="F99" s="9">
        <v>6169</v>
      </c>
      <c r="G99" s="13" t="s">
        <v>188</v>
      </c>
      <c r="H99" s="10">
        <v>59.75</v>
      </c>
      <c r="I99" s="9" t="s">
        <v>27</v>
      </c>
      <c r="J99" s="10">
        <v>297945.13</v>
      </c>
      <c r="K99" s="9" t="s">
        <v>27</v>
      </c>
      <c r="L99" s="9">
        <v>103505</v>
      </c>
      <c r="M99" s="9" t="s">
        <v>32</v>
      </c>
      <c r="O99" s="9">
        <v>1</v>
      </c>
      <c r="P99" s="9" t="s">
        <v>189</v>
      </c>
      <c r="R99" s="9" t="s">
        <v>190</v>
      </c>
    </row>
    <row r="100" spans="1:18" s="9" customFormat="1" x14ac:dyDescent="0.25">
      <c r="A100" s="9">
        <v>8003879954</v>
      </c>
      <c r="B100" s="9">
        <v>4</v>
      </c>
      <c r="C100" s="9">
        <v>15012018</v>
      </c>
      <c r="D100" s="9">
        <v>299</v>
      </c>
      <c r="E100" s="9" t="s">
        <v>30</v>
      </c>
      <c r="G100" s="13"/>
      <c r="H100" s="10">
        <v>0.03</v>
      </c>
      <c r="I100" s="9" t="s">
        <v>26</v>
      </c>
      <c r="J100" s="10">
        <v>297885.38</v>
      </c>
      <c r="K100" s="9" t="s">
        <v>27</v>
      </c>
      <c r="L100" s="9">
        <v>11125</v>
      </c>
      <c r="M100" s="9" t="s">
        <v>32</v>
      </c>
      <c r="O100" s="9">
        <v>1</v>
      </c>
    </row>
    <row r="101" spans="1:18" s="9" customFormat="1" x14ac:dyDescent="0.25">
      <c r="A101" s="9">
        <v>8003879954</v>
      </c>
      <c r="B101" s="9">
        <v>3</v>
      </c>
      <c r="C101" s="9">
        <v>15012018</v>
      </c>
      <c r="D101" s="9">
        <v>819</v>
      </c>
      <c r="E101" s="9" t="s">
        <v>35</v>
      </c>
      <c r="G101" s="13"/>
      <c r="H101" s="10">
        <v>0.5</v>
      </c>
      <c r="I101" s="9" t="s">
        <v>26</v>
      </c>
      <c r="J101" s="10">
        <v>297885.40999999997</v>
      </c>
      <c r="K101" s="9" t="s">
        <v>27</v>
      </c>
      <c r="L101" s="9">
        <v>11125</v>
      </c>
      <c r="M101" s="9" t="s">
        <v>32</v>
      </c>
      <c r="O101" s="9">
        <v>1</v>
      </c>
    </row>
    <row r="102" spans="1:18" s="9" customFormat="1" x14ac:dyDescent="0.25">
      <c r="A102" s="9">
        <v>8003879954</v>
      </c>
      <c r="B102" s="9">
        <v>2</v>
      </c>
      <c r="C102" s="9">
        <v>15012018</v>
      </c>
      <c r="D102" s="9">
        <v>323</v>
      </c>
      <c r="E102" s="9" t="s">
        <v>50</v>
      </c>
      <c r="F102" s="9">
        <v>0</v>
      </c>
      <c r="G102" s="13" t="s">
        <v>191</v>
      </c>
      <c r="H102" s="10">
        <v>22237</v>
      </c>
      <c r="I102" s="9" t="s">
        <v>26</v>
      </c>
      <c r="J102" s="10">
        <v>297885.90999999997</v>
      </c>
      <c r="K102" s="9" t="s">
        <v>27</v>
      </c>
      <c r="L102" s="9">
        <v>10931</v>
      </c>
      <c r="M102" s="9" t="s">
        <v>32</v>
      </c>
      <c r="O102" s="9">
        <v>1</v>
      </c>
    </row>
    <row r="103" spans="1:18" s="9" customFormat="1" x14ac:dyDescent="0.25">
      <c r="A103" s="9">
        <v>8003879954</v>
      </c>
      <c r="B103" s="9">
        <v>1</v>
      </c>
      <c r="C103" s="9">
        <v>15012018</v>
      </c>
      <c r="D103" s="9">
        <v>174</v>
      </c>
      <c r="E103" s="9" t="s">
        <v>159</v>
      </c>
      <c r="F103" s="9">
        <v>2001</v>
      </c>
      <c r="G103" s="13" t="s">
        <v>192</v>
      </c>
      <c r="H103" s="10">
        <v>132</v>
      </c>
      <c r="I103" s="9" t="s">
        <v>27</v>
      </c>
      <c r="J103" s="10">
        <v>320122.90999999997</v>
      </c>
      <c r="K103" s="9" t="s">
        <v>27</v>
      </c>
      <c r="L103" s="9">
        <v>91540</v>
      </c>
      <c r="M103" s="9" t="s">
        <v>193</v>
      </c>
      <c r="O103" s="9">
        <v>1</v>
      </c>
      <c r="P103" s="9" t="s">
        <v>193</v>
      </c>
      <c r="Q103" s="9" t="s">
        <v>194</v>
      </c>
      <c r="R103" s="9" t="s">
        <v>195</v>
      </c>
    </row>
    <row r="104" spans="1:18" s="9" customFormat="1" x14ac:dyDescent="0.25">
      <c r="A104" s="9">
        <v>8003879954</v>
      </c>
      <c r="B104" s="9">
        <v>6</v>
      </c>
      <c r="C104" s="9">
        <v>12012018</v>
      </c>
      <c r="D104" s="9">
        <v>299</v>
      </c>
      <c r="E104" s="9" t="s">
        <v>30</v>
      </c>
      <c r="G104" s="13"/>
      <c r="H104" s="10">
        <v>0.03</v>
      </c>
      <c r="I104" s="9" t="s">
        <v>26</v>
      </c>
      <c r="J104" s="10">
        <v>319990.90999999997</v>
      </c>
      <c r="K104" s="9" t="s">
        <v>27</v>
      </c>
      <c r="L104" s="9">
        <v>5517</v>
      </c>
      <c r="M104" s="9" t="s">
        <v>32</v>
      </c>
      <c r="O104" s="9">
        <v>1</v>
      </c>
    </row>
    <row r="105" spans="1:18" s="9" customFormat="1" x14ac:dyDescent="0.25">
      <c r="A105" s="9">
        <v>8003879954</v>
      </c>
      <c r="B105" s="9">
        <v>5</v>
      </c>
      <c r="C105" s="9">
        <v>12012018</v>
      </c>
      <c r="D105" s="9">
        <v>819</v>
      </c>
      <c r="E105" s="9" t="s">
        <v>35</v>
      </c>
      <c r="G105" s="13"/>
      <c r="H105" s="10">
        <v>0.5</v>
      </c>
      <c r="I105" s="9" t="s">
        <v>26</v>
      </c>
      <c r="J105" s="10">
        <v>319990.94</v>
      </c>
      <c r="K105" s="9" t="s">
        <v>27</v>
      </c>
      <c r="L105" s="9">
        <v>5517</v>
      </c>
      <c r="M105" s="9" t="s">
        <v>32</v>
      </c>
      <c r="O105" s="9">
        <v>1</v>
      </c>
    </row>
    <row r="106" spans="1:18" s="9" customFormat="1" x14ac:dyDescent="0.25">
      <c r="A106" s="9">
        <v>8003879954</v>
      </c>
      <c r="B106" s="9">
        <v>4</v>
      </c>
      <c r="C106" s="9">
        <v>12012018</v>
      </c>
      <c r="D106" s="9">
        <v>299</v>
      </c>
      <c r="E106" s="9" t="s">
        <v>30</v>
      </c>
      <c r="G106" s="13"/>
      <c r="H106" s="10">
        <v>0.03</v>
      </c>
      <c r="I106" s="9" t="s">
        <v>26</v>
      </c>
      <c r="J106" s="10">
        <v>319991.44</v>
      </c>
      <c r="K106" s="9" t="s">
        <v>27</v>
      </c>
      <c r="L106" s="9">
        <v>5516</v>
      </c>
      <c r="M106" s="9" t="s">
        <v>32</v>
      </c>
      <c r="O106" s="9">
        <v>1</v>
      </c>
    </row>
    <row r="107" spans="1:18" s="9" customFormat="1" x14ac:dyDescent="0.25">
      <c r="A107" s="9">
        <v>8003879954</v>
      </c>
      <c r="B107" s="9">
        <v>3</v>
      </c>
      <c r="C107" s="9">
        <v>12012018</v>
      </c>
      <c r="D107" s="9">
        <v>819</v>
      </c>
      <c r="E107" s="9" t="s">
        <v>35</v>
      </c>
      <c r="G107" s="13"/>
      <c r="H107" s="10">
        <v>0.5</v>
      </c>
      <c r="I107" s="9" t="s">
        <v>26</v>
      </c>
      <c r="J107" s="10">
        <v>319991.46999999997</v>
      </c>
      <c r="K107" s="9" t="s">
        <v>27</v>
      </c>
      <c r="L107" s="9">
        <v>5516</v>
      </c>
      <c r="M107" s="9" t="s">
        <v>32</v>
      </c>
      <c r="O107" s="9">
        <v>1</v>
      </c>
    </row>
    <row r="108" spans="1:18" s="9" customFormat="1" x14ac:dyDescent="0.25">
      <c r="A108" s="9">
        <v>8003879954</v>
      </c>
      <c r="B108" s="9">
        <v>2</v>
      </c>
      <c r="C108" s="9">
        <v>12012018</v>
      </c>
      <c r="D108" s="9">
        <v>323</v>
      </c>
      <c r="E108" s="9" t="s">
        <v>50</v>
      </c>
      <c r="F108" s="9">
        <v>0</v>
      </c>
      <c r="G108" s="13" t="s">
        <v>196</v>
      </c>
      <c r="H108" s="10">
        <v>330</v>
      </c>
      <c r="I108" s="9" t="s">
        <v>26</v>
      </c>
      <c r="J108" s="10">
        <v>319991.96999999997</v>
      </c>
      <c r="K108" s="9" t="s">
        <v>27</v>
      </c>
      <c r="L108" s="9">
        <v>5409</v>
      </c>
      <c r="M108" s="9" t="s">
        <v>32</v>
      </c>
      <c r="O108" s="9">
        <v>1</v>
      </c>
    </row>
    <row r="109" spans="1:18" s="9" customFormat="1" x14ac:dyDescent="0.25">
      <c r="A109" s="9">
        <v>8003879954</v>
      </c>
      <c r="B109" s="9">
        <v>1</v>
      </c>
      <c r="C109" s="9">
        <v>12012018</v>
      </c>
      <c r="D109" s="9">
        <v>321</v>
      </c>
      <c r="E109" s="9" t="s">
        <v>36</v>
      </c>
      <c r="F109" s="9">
        <v>0</v>
      </c>
      <c r="G109" s="13" t="s">
        <v>197</v>
      </c>
      <c r="H109" s="10">
        <v>4729</v>
      </c>
      <c r="I109" s="9" t="s">
        <v>26</v>
      </c>
      <c r="J109" s="10">
        <v>320321.96999999997</v>
      </c>
      <c r="K109" s="9" t="s">
        <v>27</v>
      </c>
      <c r="L109" s="9">
        <v>5409</v>
      </c>
      <c r="M109" s="9" t="s">
        <v>32</v>
      </c>
      <c r="O109" s="9">
        <v>1</v>
      </c>
    </row>
    <row r="110" spans="1:18" s="9" customFormat="1" x14ac:dyDescent="0.25">
      <c r="A110" s="9">
        <v>8003879954</v>
      </c>
      <c r="B110" s="9">
        <v>84</v>
      </c>
      <c r="C110" s="9">
        <v>11012018</v>
      </c>
      <c r="D110" s="9">
        <v>174</v>
      </c>
      <c r="E110" s="9" t="s">
        <v>159</v>
      </c>
      <c r="F110" s="9">
        <v>2001</v>
      </c>
      <c r="G110" s="13" t="s">
        <v>198</v>
      </c>
      <c r="H110" s="10">
        <v>750</v>
      </c>
      <c r="I110" s="9" t="s">
        <v>27</v>
      </c>
      <c r="J110" s="10">
        <v>325050.96999999997</v>
      </c>
      <c r="K110" s="9" t="s">
        <v>27</v>
      </c>
      <c r="L110" s="9">
        <v>211603</v>
      </c>
      <c r="M110" s="9" t="s">
        <v>199</v>
      </c>
      <c r="O110" s="9">
        <v>1</v>
      </c>
      <c r="P110" s="9" t="s">
        <v>199</v>
      </c>
      <c r="Q110" s="9" t="s">
        <v>200</v>
      </c>
      <c r="R110" s="9" t="s">
        <v>201</v>
      </c>
    </row>
    <row r="111" spans="1:18" s="9" customFormat="1" x14ac:dyDescent="0.25">
      <c r="A111" s="9">
        <v>8003879954</v>
      </c>
      <c r="B111" s="9">
        <v>83</v>
      </c>
      <c r="C111" s="9">
        <v>11012018</v>
      </c>
      <c r="D111" s="9">
        <v>341</v>
      </c>
      <c r="E111" s="9" t="s">
        <v>25</v>
      </c>
      <c r="F111" s="9">
        <v>9938</v>
      </c>
      <c r="G111" s="13" t="s">
        <v>202</v>
      </c>
      <c r="H111" s="10">
        <v>22.75</v>
      </c>
      <c r="I111" s="9" t="s">
        <v>26</v>
      </c>
      <c r="J111" s="10">
        <v>324300.96999999997</v>
      </c>
      <c r="K111" s="9" t="s">
        <v>27</v>
      </c>
      <c r="L111" s="9">
        <v>161605</v>
      </c>
      <c r="M111" s="9" t="s">
        <v>133</v>
      </c>
      <c r="O111" s="9">
        <v>1</v>
      </c>
      <c r="P111" s="9" t="s">
        <v>203</v>
      </c>
      <c r="Q111" s="9" t="s">
        <v>204</v>
      </c>
    </row>
    <row r="112" spans="1:18" s="9" customFormat="1" x14ac:dyDescent="0.25">
      <c r="A112" s="9">
        <v>8003879954</v>
      </c>
      <c r="B112" s="9">
        <v>82</v>
      </c>
      <c r="C112" s="9">
        <v>11012018</v>
      </c>
      <c r="D112" s="9">
        <v>299</v>
      </c>
      <c r="E112" s="9" t="s">
        <v>30</v>
      </c>
      <c r="F112" s="9">
        <v>9938</v>
      </c>
      <c r="G112" s="13" t="s">
        <v>202</v>
      </c>
      <c r="H112" s="10">
        <v>0.01</v>
      </c>
      <c r="I112" s="9" t="s">
        <v>26</v>
      </c>
      <c r="J112" s="10">
        <v>324323.71999999997</v>
      </c>
      <c r="K112" s="9" t="s">
        <v>27</v>
      </c>
      <c r="L112" s="9">
        <v>161605</v>
      </c>
      <c r="M112" s="9" t="s">
        <v>205</v>
      </c>
      <c r="O112" s="9">
        <v>1</v>
      </c>
    </row>
    <row r="113" spans="1:17" s="9" customFormat="1" x14ac:dyDescent="0.25">
      <c r="A113" s="9">
        <v>8003879954</v>
      </c>
      <c r="B113" s="9">
        <v>81</v>
      </c>
      <c r="C113" s="9">
        <v>11012018</v>
      </c>
      <c r="D113" s="9">
        <v>489</v>
      </c>
      <c r="E113" s="9" t="s">
        <v>31</v>
      </c>
      <c r="F113" s="9">
        <v>9938</v>
      </c>
      <c r="G113" s="13" t="s">
        <v>202</v>
      </c>
      <c r="H113" s="10">
        <v>0.1</v>
      </c>
      <c r="I113" s="9" t="s">
        <v>26</v>
      </c>
      <c r="J113" s="10">
        <v>324323.73</v>
      </c>
      <c r="K113" s="9" t="s">
        <v>27</v>
      </c>
      <c r="L113" s="9">
        <v>161605</v>
      </c>
      <c r="M113" s="9" t="s">
        <v>205</v>
      </c>
      <c r="O113" s="9">
        <v>1</v>
      </c>
    </row>
    <row r="114" spans="1:17" s="9" customFormat="1" x14ac:dyDescent="0.25">
      <c r="A114" s="9">
        <v>8003879954</v>
      </c>
      <c r="B114" s="9">
        <v>80</v>
      </c>
      <c r="C114" s="9">
        <v>11012018</v>
      </c>
      <c r="D114" s="9">
        <v>341</v>
      </c>
      <c r="E114" s="9" t="s">
        <v>25</v>
      </c>
      <c r="F114" s="9">
        <v>9938</v>
      </c>
      <c r="G114" s="13" t="s">
        <v>206</v>
      </c>
      <c r="H114" s="10">
        <v>198.22</v>
      </c>
      <c r="I114" s="9" t="s">
        <v>26</v>
      </c>
      <c r="J114" s="10">
        <v>324323.83</v>
      </c>
      <c r="K114" s="9" t="s">
        <v>27</v>
      </c>
      <c r="L114" s="9">
        <v>161517</v>
      </c>
      <c r="M114" s="9" t="s">
        <v>207</v>
      </c>
      <c r="O114" s="9">
        <v>1</v>
      </c>
      <c r="P114" s="9" t="s">
        <v>208</v>
      </c>
      <c r="Q114" s="9" t="s">
        <v>209</v>
      </c>
    </row>
    <row r="115" spans="1:17" s="9" customFormat="1" x14ac:dyDescent="0.25">
      <c r="A115" s="9">
        <v>8003879954</v>
      </c>
      <c r="B115" s="9">
        <v>79</v>
      </c>
      <c r="C115" s="9">
        <v>11012018</v>
      </c>
      <c r="D115" s="9">
        <v>299</v>
      </c>
      <c r="E115" s="9" t="s">
        <v>30</v>
      </c>
      <c r="F115" s="9">
        <v>9938</v>
      </c>
      <c r="G115" s="13" t="s">
        <v>206</v>
      </c>
      <c r="H115" s="10">
        <v>0.01</v>
      </c>
      <c r="I115" s="9" t="s">
        <v>26</v>
      </c>
      <c r="J115" s="10">
        <v>324522.05</v>
      </c>
      <c r="K115" s="9" t="s">
        <v>27</v>
      </c>
      <c r="L115" s="9">
        <v>161517</v>
      </c>
      <c r="M115" s="9" t="s">
        <v>210</v>
      </c>
      <c r="O115" s="9">
        <v>1</v>
      </c>
    </row>
    <row r="116" spans="1:17" s="9" customFormat="1" x14ac:dyDescent="0.25">
      <c r="A116" s="9">
        <v>8003879954</v>
      </c>
      <c r="B116" s="9">
        <v>78</v>
      </c>
      <c r="C116" s="9">
        <v>11012018</v>
      </c>
      <c r="D116" s="9">
        <v>489</v>
      </c>
      <c r="E116" s="9" t="s">
        <v>31</v>
      </c>
      <c r="F116" s="9">
        <v>9938</v>
      </c>
      <c r="G116" s="13" t="s">
        <v>206</v>
      </c>
      <c r="H116" s="10">
        <v>0.1</v>
      </c>
      <c r="I116" s="9" t="s">
        <v>26</v>
      </c>
      <c r="J116" s="10">
        <v>324522.06</v>
      </c>
      <c r="K116" s="9" t="s">
        <v>27</v>
      </c>
      <c r="L116" s="9">
        <v>161517</v>
      </c>
      <c r="M116" s="9" t="s">
        <v>210</v>
      </c>
      <c r="O116" s="9">
        <v>1</v>
      </c>
    </row>
    <row r="117" spans="1:17" s="9" customFormat="1" x14ac:dyDescent="0.25">
      <c r="A117" s="9">
        <v>8003879954</v>
      </c>
      <c r="B117" s="9">
        <v>77</v>
      </c>
      <c r="C117" s="9">
        <v>11012018</v>
      </c>
      <c r="D117" s="9">
        <v>341</v>
      </c>
      <c r="E117" s="9" t="s">
        <v>25</v>
      </c>
      <c r="F117" s="9">
        <v>9938</v>
      </c>
      <c r="G117" s="13" t="s">
        <v>211</v>
      </c>
      <c r="H117" s="10">
        <v>200</v>
      </c>
      <c r="I117" s="9" t="s">
        <v>26</v>
      </c>
      <c r="J117" s="10">
        <v>324522.15999999997</v>
      </c>
      <c r="K117" s="9" t="s">
        <v>27</v>
      </c>
      <c r="L117" s="9">
        <v>161516</v>
      </c>
      <c r="M117" s="9" t="s">
        <v>212</v>
      </c>
      <c r="O117" s="9">
        <v>1</v>
      </c>
      <c r="P117" s="9" t="s">
        <v>213</v>
      </c>
      <c r="Q117" s="9" t="s">
        <v>214</v>
      </c>
    </row>
    <row r="118" spans="1:17" s="9" customFormat="1" x14ac:dyDescent="0.25">
      <c r="A118" s="9">
        <v>8003879954</v>
      </c>
      <c r="B118" s="9">
        <v>76</v>
      </c>
      <c r="C118" s="9">
        <v>11012018</v>
      </c>
      <c r="D118" s="9">
        <v>299</v>
      </c>
      <c r="E118" s="9" t="s">
        <v>30</v>
      </c>
      <c r="F118" s="9">
        <v>9938</v>
      </c>
      <c r="G118" s="13" t="s">
        <v>211</v>
      </c>
      <c r="H118" s="10">
        <v>0.01</v>
      </c>
      <c r="I118" s="9" t="s">
        <v>26</v>
      </c>
      <c r="J118" s="10">
        <v>324722.15999999997</v>
      </c>
      <c r="K118" s="9" t="s">
        <v>27</v>
      </c>
      <c r="L118" s="9">
        <v>161516</v>
      </c>
      <c r="M118" s="9" t="s">
        <v>215</v>
      </c>
      <c r="O118" s="9">
        <v>1</v>
      </c>
    </row>
    <row r="119" spans="1:17" s="9" customFormat="1" x14ac:dyDescent="0.25">
      <c r="A119" s="9">
        <v>8003879954</v>
      </c>
      <c r="B119" s="9">
        <v>75</v>
      </c>
      <c r="C119" s="9">
        <v>11012018</v>
      </c>
      <c r="D119" s="9">
        <v>489</v>
      </c>
      <c r="E119" s="9" t="s">
        <v>31</v>
      </c>
      <c r="F119" s="9">
        <v>9938</v>
      </c>
      <c r="G119" s="13" t="s">
        <v>211</v>
      </c>
      <c r="H119" s="10">
        <v>0.1</v>
      </c>
      <c r="I119" s="9" t="s">
        <v>26</v>
      </c>
      <c r="J119" s="10">
        <v>324722.17</v>
      </c>
      <c r="K119" s="9" t="s">
        <v>27</v>
      </c>
      <c r="L119" s="9">
        <v>161516</v>
      </c>
      <c r="M119" s="9" t="s">
        <v>215</v>
      </c>
      <c r="O119" s="9">
        <v>1</v>
      </c>
    </row>
    <row r="120" spans="1:17" s="9" customFormat="1" x14ac:dyDescent="0.25">
      <c r="A120" s="9">
        <v>8003879954</v>
      </c>
      <c r="B120" s="9">
        <v>74</v>
      </c>
      <c r="C120" s="9">
        <v>11012018</v>
      </c>
      <c r="D120" s="9">
        <v>341</v>
      </c>
      <c r="E120" s="9" t="s">
        <v>25</v>
      </c>
      <c r="F120" s="9">
        <v>9938</v>
      </c>
      <c r="G120" s="13" t="s">
        <v>216</v>
      </c>
      <c r="H120" s="10">
        <v>240</v>
      </c>
      <c r="I120" s="9" t="s">
        <v>26</v>
      </c>
      <c r="J120" s="10">
        <v>324722.27</v>
      </c>
      <c r="K120" s="9" t="s">
        <v>27</v>
      </c>
      <c r="L120" s="9">
        <v>160745</v>
      </c>
      <c r="M120" s="9" t="s">
        <v>217</v>
      </c>
      <c r="O120" s="9">
        <v>1</v>
      </c>
      <c r="P120" s="9" t="s">
        <v>218</v>
      </c>
      <c r="Q120" s="9" t="s">
        <v>44</v>
      </c>
    </row>
    <row r="121" spans="1:17" s="9" customFormat="1" x14ac:dyDescent="0.25">
      <c r="A121" s="9">
        <v>8003879954</v>
      </c>
      <c r="B121" s="9">
        <v>73</v>
      </c>
      <c r="C121" s="9">
        <v>11012018</v>
      </c>
      <c r="D121" s="9">
        <v>299</v>
      </c>
      <c r="E121" s="9" t="s">
        <v>30</v>
      </c>
      <c r="F121" s="9">
        <v>9938</v>
      </c>
      <c r="G121" s="13" t="s">
        <v>216</v>
      </c>
      <c r="H121" s="10">
        <v>0.01</v>
      </c>
      <c r="I121" s="9" t="s">
        <v>26</v>
      </c>
      <c r="J121" s="10">
        <v>324962.27</v>
      </c>
      <c r="K121" s="9" t="s">
        <v>27</v>
      </c>
      <c r="L121" s="9">
        <v>160745</v>
      </c>
      <c r="M121" s="9" t="s">
        <v>219</v>
      </c>
      <c r="O121" s="9">
        <v>1</v>
      </c>
    </row>
    <row r="122" spans="1:17" s="9" customFormat="1" x14ac:dyDescent="0.25">
      <c r="A122" s="9">
        <v>8003879954</v>
      </c>
      <c r="B122" s="9">
        <v>72</v>
      </c>
      <c r="C122" s="9">
        <v>11012018</v>
      </c>
      <c r="D122" s="9">
        <v>489</v>
      </c>
      <c r="E122" s="9" t="s">
        <v>31</v>
      </c>
      <c r="F122" s="9">
        <v>9938</v>
      </c>
      <c r="G122" s="13" t="s">
        <v>216</v>
      </c>
      <c r="H122" s="10">
        <v>0.1</v>
      </c>
      <c r="I122" s="9" t="s">
        <v>26</v>
      </c>
      <c r="J122" s="10">
        <v>324962.28000000003</v>
      </c>
      <c r="K122" s="9" t="s">
        <v>27</v>
      </c>
      <c r="L122" s="9">
        <v>160745</v>
      </c>
      <c r="M122" s="9" t="s">
        <v>219</v>
      </c>
      <c r="O122" s="9">
        <v>1</v>
      </c>
    </row>
    <row r="123" spans="1:17" s="9" customFormat="1" x14ac:dyDescent="0.25">
      <c r="A123" s="9">
        <v>8003879954</v>
      </c>
      <c r="B123" s="9">
        <v>71</v>
      </c>
      <c r="C123" s="9">
        <v>11012018</v>
      </c>
      <c r="D123" s="9">
        <v>341</v>
      </c>
      <c r="E123" s="9" t="s">
        <v>25</v>
      </c>
      <c r="F123" s="9">
        <v>9938</v>
      </c>
      <c r="G123" s="13" t="s">
        <v>220</v>
      </c>
      <c r="H123" s="10">
        <v>318</v>
      </c>
      <c r="I123" s="9" t="s">
        <v>26</v>
      </c>
      <c r="J123" s="10">
        <v>324962.38</v>
      </c>
      <c r="K123" s="9" t="s">
        <v>27</v>
      </c>
      <c r="L123" s="9">
        <v>160725</v>
      </c>
      <c r="M123" s="9" t="s">
        <v>221</v>
      </c>
      <c r="O123" s="9">
        <v>1</v>
      </c>
      <c r="P123" s="9" t="s">
        <v>222</v>
      </c>
      <c r="Q123" s="9" t="s">
        <v>223</v>
      </c>
    </row>
    <row r="124" spans="1:17" s="9" customFormat="1" x14ac:dyDescent="0.25">
      <c r="A124" s="9">
        <v>8003879954</v>
      </c>
      <c r="B124" s="9">
        <v>70</v>
      </c>
      <c r="C124" s="9">
        <v>11012018</v>
      </c>
      <c r="D124" s="9">
        <v>299</v>
      </c>
      <c r="E124" s="9" t="s">
        <v>30</v>
      </c>
      <c r="F124" s="9">
        <v>9938</v>
      </c>
      <c r="G124" s="13" t="s">
        <v>220</v>
      </c>
      <c r="H124" s="10">
        <v>0.01</v>
      </c>
      <c r="I124" s="9" t="s">
        <v>26</v>
      </c>
      <c r="J124" s="10">
        <v>325280.38</v>
      </c>
      <c r="K124" s="9" t="s">
        <v>27</v>
      </c>
      <c r="L124" s="9">
        <v>160725</v>
      </c>
      <c r="M124" s="9" t="s">
        <v>224</v>
      </c>
      <c r="O124" s="9">
        <v>1</v>
      </c>
    </row>
    <row r="125" spans="1:17" s="9" customFormat="1" x14ac:dyDescent="0.25">
      <c r="A125" s="9">
        <v>8003879954</v>
      </c>
      <c r="B125" s="9">
        <v>69</v>
      </c>
      <c r="C125" s="9">
        <v>11012018</v>
      </c>
      <c r="D125" s="9">
        <v>489</v>
      </c>
      <c r="E125" s="9" t="s">
        <v>31</v>
      </c>
      <c r="F125" s="9">
        <v>9938</v>
      </c>
      <c r="G125" s="13" t="s">
        <v>220</v>
      </c>
      <c r="H125" s="10">
        <v>0.1</v>
      </c>
      <c r="I125" s="9" t="s">
        <v>26</v>
      </c>
      <c r="J125" s="10">
        <v>325280.39</v>
      </c>
      <c r="K125" s="9" t="s">
        <v>27</v>
      </c>
      <c r="L125" s="9">
        <v>160725</v>
      </c>
      <c r="M125" s="9" t="s">
        <v>224</v>
      </c>
      <c r="O125" s="9">
        <v>1</v>
      </c>
    </row>
    <row r="126" spans="1:17" s="9" customFormat="1" x14ac:dyDescent="0.25">
      <c r="A126" s="9">
        <v>8003879954</v>
      </c>
      <c r="B126" s="9">
        <v>68</v>
      </c>
      <c r="C126" s="9">
        <v>11012018</v>
      </c>
      <c r="D126" s="9">
        <v>341</v>
      </c>
      <c r="E126" s="9" t="s">
        <v>25</v>
      </c>
      <c r="F126" s="9">
        <v>9938</v>
      </c>
      <c r="G126" s="13" t="s">
        <v>225</v>
      </c>
      <c r="H126" s="10">
        <v>466.7</v>
      </c>
      <c r="I126" s="9" t="s">
        <v>26</v>
      </c>
      <c r="J126" s="10">
        <v>325280.49</v>
      </c>
      <c r="K126" s="9" t="s">
        <v>27</v>
      </c>
      <c r="L126" s="9">
        <v>160707</v>
      </c>
      <c r="M126" s="9" t="s">
        <v>226</v>
      </c>
      <c r="O126" s="9">
        <v>1</v>
      </c>
      <c r="P126" s="9" t="s">
        <v>227</v>
      </c>
      <c r="Q126" s="9" t="s">
        <v>52</v>
      </c>
    </row>
    <row r="127" spans="1:17" s="9" customFormat="1" x14ac:dyDescent="0.25">
      <c r="A127" s="9">
        <v>8003879954</v>
      </c>
      <c r="B127" s="9">
        <v>67</v>
      </c>
      <c r="C127" s="9">
        <v>11012018</v>
      </c>
      <c r="D127" s="9">
        <v>299</v>
      </c>
      <c r="E127" s="9" t="s">
        <v>30</v>
      </c>
      <c r="F127" s="9">
        <v>9938</v>
      </c>
      <c r="G127" s="13" t="s">
        <v>225</v>
      </c>
      <c r="H127" s="10">
        <v>0.01</v>
      </c>
      <c r="I127" s="9" t="s">
        <v>26</v>
      </c>
      <c r="J127" s="10">
        <v>325747.19</v>
      </c>
      <c r="K127" s="9" t="s">
        <v>27</v>
      </c>
      <c r="L127" s="9">
        <v>160707</v>
      </c>
      <c r="M127" s="9" t="s">
        <v>228</v>
      </c>
      <c r="O127" s="9">
        <v>1</v>
      </c>
    </row>
    <row r="128" spans="1:17" s="9" customFormat="1" x14ac:dyDescent="0.25">
      <c r="A128" s="9">
        <v>8003879954</v>
      </c>
      <c r="B128" s="9">
        <v>66</v>
      </c>
      <c r="C128" s="9">
        <v>11012018</v>
      </c>
      <c r="D128" s="9">
        <v>489</v>
      </c>
      <c r="E128" s="9" t="s">
        <v>31</v>
      </c>
      <c r="F128" s="9">
        <v>9938</v>
      </c>
      <c r="G128" s="13" t="s">
        <v>225</v>
      </c>
      <c r="H128" s="10">
        <v>0.1</v>
      </c>
      <c r="I128" s="9" t="s">
        <v>26</v>
      </c>
      <c r="J128" s="10">
        <v>325747.20000000001</v>
      </c>
      <c r="K128" s="9" t="s">
        <v>27</v>
      </c>
      <c r="L128" s="9">
        <v>160707</v>
      </c>
      <c r="M128" s="9" t="s">
        <v>228</v>
      </c>
      <c r="O128" s="9">
        <v>1</v>
      </c>
    </row>
    <row r="129" spans="1:17" s="9" customFormat="1" x14ac:dyDescent="0.25">
      <c r="A129" s="9">
        <v>8003879954</v>
      </c>
      <c r="B129" s="9">
        <v>65</v>
      </c>
      <c r="C129" s="9">
        <v>11012018</v>
      </c>
      <c r="D129" s="9">
        <v>341</v>
      </c>
      <c r="E129" s="9" t="s">
        <v>25</v>
      </c>
      <c r="F129" s="9">
        <v>9938</v>
      </c>
      <c r="G129" s="13" t="s">
        <v>229</v>
      </c>
      <c r="H129" s="10">
        <v>500</v>
      </c>
      <c r="I129" s="9" t="s">
        <v>26</v>
      </c>
      <c r="J129" s="10">
        <v>325747.3</v>
      </c>
      <c r="K129" s="9" t="s">
        <v>27</v>
      </c>
      <c r="L129" s="9">
        <v>160701</v>
      </c>
      <c r="M129" s="9" t="s">
        <v>230</v>
      </c>
      <c r="O129" s="9">
        <v>1</v>
      </c>
      <c r="P129" s="9" t="s">
        <v>231</v>
      </c>
      <c r="Q129" s="9" t="s">
        <v>232</v>
      </c>
    </row>
    <row r="130" spans="1:17" s="9" customFormat="1" x14ac:dyDescent="0.25">
      <c r="A130" s="9">
        <v>8003879954</v>
      </c>
      <c r="B130" s="9">
        <v>64</v>
      </c>
      <c r="C130" s="9">
        <v>11012018</v>
      </c>
      <c r="D130" s="9">
        <v>299</v>
      </c>
      <c r="E130" s="9" t="s">
        <v>30</v>
      </c>
      <c r="F130" s="9">
        <v>9938</v>
      </c>
      <c r="G130" s="13" t="s">
        <v>229</v>
      </c>
      <c r="H130" s="10">
        <v>0.01</v>
      </c>
      <c r="I130" s="9" t="s">
        <v>26</v>
      </c>
      <c r="J130" s="10">
        <v>326247.3</v>
      </c>
      <c r="K130" s="9" t="s">
        <v>27</v>
      </c>
      <c r="L130" s="9">
        <v>160701</v>
      </c>
      <c r="M130" s="9" t="s">
        <v>233</v>
      </c>
      <c r="O130" s="9">
        <v>1</v>
      </c>
    </row>
    <row r="131" spans="1:17" s="9" customFormat="1" x14ac:dyDescent="0.25">
      <c r="A131" s="9">
        <v>8003879954</v>
      </c>
      <c r="B131" s="9">
        <v>63</v>
      </c>
      <c r="C131" s="9">
        <v>11012018</v>
      </c>
      <c r="D131" s="9">
        <v>489</v>
      </c>
      <c r="E131" s="9" t="s">
        <v>31</v>
      </c>
      <c r="F131" s="9">
        <v>9938</v>
      </c>
      <c r="G131" s="13" t="s">
        <v>229</v>
      </c>
      <c r="H131" s="10">
        <v>0.1</v>
      </c>
      <c r="I131" s="9" t="s">
        <v>26</v>
      </c>
      <c r="J131" s="10">
        <v>326247.31</v>
      </c>
      <c r="K131" s="9" t="s">
        <v>27</v>
      </c>
      <c r="L131" s="9">
        <v>160701</v>
      </c>
      <c r="M131" s="9" t="s">
        <v>233</v>
      </c>
      <c r="O131" s="9">
        <v>1</v>
      </c>
    </row>
    <row r="132" spans="1:17" s="9" customFormat="1" x14ac:dyDescent="0.25">
      <c r="A132" s="9">
        <v>8003879954</v>
      </c>
      <c r="B132" s="9">
        <v>62</v>
      </c>
      <c r="C132" s="9">
        <v>11012018</v>
      </c>
      <c r="D132" s="9">
        <v>341</v>
      </c>
      <c r="E132" s="9" t="s">
        <v>25</v>
      </c>
      <c r="F132" s="9">
        <v>9938</v>
      </c>
      <c r="G132" s="13" t="s">
        <v>234</v>
      </c>
      <c r="H132" s="10">
        <v>508.8</v>
      </c>
      <c r="I132" s="9" t="s">
        <v>26</v>
      </c>
      <c r="J132" s="10">
        <v>326247.40999999997</v>
      </c>
      <c r="K132" s="9" t="s">
        <v>27</v>
      </c>
      <c r="L132" s="9">
        <v>160700</v>
      </c>
      <c r="M132" s="9" t="s">
        <v>235</v>
      </c>
      <c r="O132" s="9">
        <v>1</v>
      </c>
      <c r="P132" s="9" t="s">
        <v>236</v>
      </c>
      <c r="Q132" s="9" t="s">
        <v>237</v>
      </c>
    </row>
    <row r="133" spans="1:17" s="9" customFormat="1" x14ac:dyDescent="0.25">
      <c r="A133" s="9">
        <v>8003879954</v>
      </c>
      <c r="B133" s="9">
        <v>61</v>
      </c>
      <c r="C133" s="9">
        <v>11012018</v>
      </c>
      <c r="D133" s="9">
        <v>299</v>
      </c>
      <c r="E133" s="9" t="s">
        <v>30</v>
      </c>
      <c r="F133" s="9">
        <v>9938</v>
      </c>
      <c r="G133" s="13" t="s">
        <v>234</v>
      </c>
      <c r="H133" s="10">
        <v>0.01</v>
      </c>
      <c r="I133" s="9" t="s">
        <v>26</v>
      </c>
      <c r="J133" s="10">
        <v>326756.21000000002</v>
      </c>
      <c r="K133" s="9" t="s">
        <v>27</v>
      </c>
      <c r="L133" s="9">
        <v>160700</v>
      </c>
      <c r="M133" s="9" t="s">
        <v>238</v>
      </c>
      <c r="O133" s="9">
        <v>1</v>
      </c>
    </row>
    <row r="134" spans="1:17" s="9" customFormat="1" x14ac:dyDescent="0.25">
      <c r="A134" s="9">
        <v>8003879954</v>
      </c>
      <c r="B134" s="9">
        <v>60</v>
      </c>
      <c r="C134" s="9">
        <v>11012018</v>
      </c>
      <c r="D134" s="9">
        <v>489</v>
      </c>
      <c r="E134" s="9" t="s">
        <v>31</v>
      </c>
      <c r="F134" s="9">
        <v>9938</v>
      </c>
      <c r="G134" s="13" t="s">
        <v>234</v>
      </c>
      <c r="H134" s="10">
        <v>0.1</v>
      </c>
      <c r="I134" s="9" t="s">
        <v>26</v>
      </c>
      <c r="J134" s="10">
        <v>326756.21999999997</v>
      </c>
      <c r="K134" s="9" t="s">
        <v>27</v>
      </c>
      <c r="L134" s="9">
        <v>160700</v>
      </c>
      <c r="M134" s="9" t="s">
        <v>238</v>
      </c>
      <c r="O134" s="9">
        <v>1</v>
      </c>
    </row>
    <row r="135" spans="1:17" s="9" customFormat="1" x14ac:dyDescent="0.25">
      <c r="A135" s="9">
        <v>8003879954</v>
      </c>
      <c r="B135" s="9">
        <v>59</v>
      </c>
      <c r="C135" s="9">
        <v>11012018</v>
      </c>
      <c r="D135" s="9">
        <v>341</v>
      </c>
      <c r="E135" s="9" t="s">
        <v>25</v>
      </c>
      <c r="F135" s="9">
        <v>9938</v>
      </c>
      <c r="G135" s="13" t="s">
        <v>239</v>
      </c>
      <c r="H135" s="10">
        <v>1060</v>
      </c>
      <c r="I135" s="9" t="s">
        <v>26</v>
      </c>
      <c r="J135" s="10">
        <v>326756.32</v>
      </c>
      <c r="K135" s="9" t="s">
        <v>27</v>
      </c>
      <c r="L135" s="9">
        <v>160607</v>
      </c>
      <c r="M135" s="9" t="s">
        <v>240</v>
      </c>
      <c r="O135" s="9">
        <v>1</v>
      </c>
      <c r="P135" s="9" t="s">
        <v>241</v>
      </c>
      <c r="Q135" s="9" t="s">
        <v>242</v>
      </c>
    </row>
    <row r="136" spans="1:17" s="9" customFormat="1" x14ac:dyDescent="0.25">
      <c r="A136" s="9">
        <v>8003879954</v>
      </c>
      <c r="B136" s="9">
        <v>58</v>
      </c>
      <c r="C136" s="9">
        <v>11012018</v>
      </c>
      <c r="D136" s="9">
        <v>299</v>
      </c>
      <c r="E136" s="9" t="s">
        <v>30</v>
      </c>
      <c r="F136" s="9">
        <v>9938</v>
      </c>
      <c r="G136" s="13" t="s">
        <v>239</v>
      </c>
      <c r="H136" s="10">
        <v>0.01</v>
      </c>
      <c r="I136" s="9" t="s">
        <v>26</v>
      </c>
      <c r="J136" s="10">
        <v>327816.32000000001</v>
      </c>
      <c r="K136" s="9" t="s">
        <v>27</v>
      </c>
      <c r="L136" s="9">
        <v>160607</v>
      </c>
      <c r="M136" s="9" t="s">
        <v>243</v>
      </c>
      <c r="O136" s="9">
        <v>1</v>
      </c>
    </row>
    <row r="137" spans="1:17" s="9" customFormat="1" x14ac:dyDescent="0.25">
      <c r="A137" s="9">
        <v>8003879954</v>
      </c>
      <c r="B137" s="9">
        <v>57</v>
      </c>
      <c r="C137" s="9">
        <v>11012018</v>
      </c>
      <c r="D137" s="9">
        <v>489</v>
      </c>
      <c r="E137" s="9" t="s">
        <v>31</v>
      </c>
      <c r="F137" s="9">
        <v>9938</v>
      </c>
      <c r="G137" s="13" t="s">
        <v>239</v>
      </c>
      <c r="H137" s="10">
        <v>0.1</v>
      </c>
      <c r="I137" s="9" t="s">
        <v>26</v>
      </c>
      <c r="J137" s="10">
        <v>327816.33</v>
      </c>
      <c r="K137" s="9" t="s">
        <v>27</v>
      </c>
      <c r="L137" s="9">
        <v>160607</v>
      </c>
      <c r="M137" s="9" t="s">
        <v>243</v>
      </c>
      <c r="O137" s="9">
        <v>1</v>
      </c>
    </row>
    <row r="138" spans="1:17" s="9" customFormat="1" x14ac:dyDescent="0.25">
      <c r="A138" s="9">
        <v>8003879954</v>
      </c>
      <c r="B138" s="9">
        <v>56</v>
      </c>
      <c r="C138" s="9">
        <v>11012018</v>
      </c>
      <c r="D138" s="9">
        <v>341</v>
      </c>
      <c r="E138" s="9" t="s">
        <v>25</v>
      </c>
      <c r="F138" s="9">
        <v>9938</v>
      </c>
      <c r="G138" s="13" t="s">
        <v>244</v>
      </c>
      <c r="H138" s="10">
        <v>1140</v>
      </c>
      <c r="I138" s="9" t="s">
        <v>26</v>
      </c>
      <c r="J138" s="10">
        <v>327816.43</v>
      </c>
      <c r="K138" s="9" t="s">
        <v>27</v>
      </c>
      <c r="L138" s="9">
        <v>160559</v>
      </c>
      <c r="M138" s="9" t="s">
        <v>245</v>
      </c>
      <c r="O138" s="9">
        <v>1</v>
      </c>
      <c r="P138" s="9" t="s">
        <v>246</v>
      </c>
      <c r="Q138" s="9" t="s">
        <v>44</v>
      </c>
    </row>
    <row r="139" spans="1:17" s="9" customFormat="1" x14ac:dyDescent="0.25">
      <c r="A139" s="9">
        <v>8003879954</v>
      </c>
      <c r="B139" s="9">
        <v>55</v>
      </c>
      <c r="C139" s="9">
        <v>11012018</v>
      </c>
      <c r="D139" s="9">
        <v>299</v>
      </c>
      <c r="E139" s="9" t="s">
        <v>30</v>
      </c>
      <c r="F139" s="9">
        <v>9938</v>
      </c>
      <c r="G139" s="13" t="s">
        <v>244</v>
      </c>
      <c r="H139" s="10">
        <v>0.01</v>
      </c>
      <c r="I139" s="9" t="s">
        <v>26</v>
      </c>
      <c r="J139" s="10">
        <v>328956.43</v>
      </c>
      <c r="K139" s="9" t="s">
        <v>27</v>
      </c>
      <c r="L139" s="9">
        <v>160559</v>
      </c>
      <c r="M139" s="9" t="s">
        <v>247</v>
      </c>
      <c r="O139" s="9">
        <v>1</v>
      </c>
    </row>
    <row r="140" spans="1:17" s="9" customFormat="1" x14ac:dyDescent="0.25">
      <c r="A140" s="9">
        <v>8003879954</v>
      </c>
      <c r="B140" s="9">
        <v>54</v>
      </c>
      <c r="C140" s="9">
        <v>11012018</v>
      </c>
      <c r="D140" s="9">
        <v>489</v>
      </c>
      <c r="E140" s="9" t="s">
        <v>31</v>
      </c>
      <c r="F140" s="9">
        <v>9938</v>
      </c>
      <c r="G140" s="13" t="s">
        <v>244</v>
      </c>
      <c r="H140" s="10">
        <v>0.1</v>
      </c>
      <c r="I140" s="9" t="s">
        <v>26</v>
      </c>
      <c r="J140" s="10">
        <v>328956.44</v>
      </c>
      <c r="K140" s="9" t="s">
        <v>27</v>
      </c>
      <c r="L140" s="9">
        <v>160559</v>
      </c>
      <c r="M140" s="9" t="s">
        <v>247</v>
      </c>
      <c r="O140" s="9">
        <v>1</v>
      </c>
    </row>
    <row r="141" spans="1:17" s="9" customFormat="1" x14ac:dyDescent="0.25">
      <c r="A141" s="9">
        <v>8003879954</v>
      </c>
      <c r="B141" s="9">
        <v>53</v>
      </c>
      <c r="C141" s="9">
        <v>11012018</v>
      </c>
      <c r="D141" s="9">
        <v>341</v>
      </c>
      <c r="E141" s="9" t="s">
        <v>25</v>
      </c>
      <c r="F141" s="9">
        <v>9938</v>
      </c>
      <c r="G141" s="13" t="s">
        <v>248</v>
      </c>
      <c r="H141" s="10">
        <v>1250</v>
      </c>
      <c r="I141" s="9" t="s">
        <v>26</v>
      </c>
      <c r="J141" s="10">
        <v>328956.53999999998</v>
      </c>
      <c r="K141" s="9" t="s">
        <v>27</v>
      </c>
      <c r="L141" s="9">
        <v>160547</v>
      </c>
      <c r="M141" s="9" t="s">
        <v>249</v>
      </c>
      <c r="O141" s="9">
        <v>1</v>
      </c>
      <c r="P141" s="9" t="s">
        <v>250</v>
      </c>
      <c r="Q141" s="9" t="s">
        <v>251</v>
      </c>
    </row>
    <row r="142" spans="1:17" s="9" customFormat="1" x14ac:dyDescent="0.25">
      <c r="A142" s="9">
        <v>8003879954</v>
      </c>
      <c r="B142" s="9">
        <v>52</v>
      </c>
      <c r="C142" s="9">
        <v>11012018</v>
      </c>
      <c r="D142" s="9">
        <v>299</v>
      </c>
      <c r="E142" s="9" t="s">
        <v>30</v>
      </c>
      <c r="F142" s="9">
        <v>9938</v>
      </c>
      <c r="G142" s="13" t="s">
        <v>248</v>
      </c>
      <c r="H142" s="10">
        <v>0.01</v>
      </c>
      <c r="I142" s="9" t="s">
        <v>26</v>
      </c>
      <c r="J142" s="10">
        <v>330206.53999999998</v>
      </c>
      <c r="K142" s="9" t="s">
        <v>27</v>
      </c>
      <c r="L142" s="9">
        <v>160547</v>
      </c>
      <c r="M142" s="9" t="s">
        <v>252</v>
      </c>
      <c r="O142" s="9">
        <v>1</v>
      </c>
    </row>
    <row r="143" spans="1:17" s="9" customFormat="1" x14ac:dyDescent="0.25">
      <c r="A143" s="9">
        <v>8003879954</v>
      </c>
      <c r="B143" s="9">
        <v>51</v>
      </c>
      <c r="C143" s="9">
        <v>11012018</v>
      </c>
      <c r="D143" s="9">
        <v>489</v>
      </c>
      <c r="E143" s="9" t="s">
        <v>31</v>
      </c>
      <c r="F143" s="9">
        <v>9938</v>
      </c>
      <c r="G143" s="13" t="s">
        <v>248</v>
      </c>
      <c r="H143" s="10">
        <v>0.1</v>
      </c>
      <c r="I143" s="9" t="s">
        <v>26</v>
      </c>
      <c r="J143" s="10">
        <v>330206.55</v>
      </c>
      <c r="K143" s="9" t="s">
        <v>27</v>
      </c>
      <c r="L143" s="9">
        <v>160547</v>
      </c>
      <c r="M143" s="9" t="s">
        <v>252</v>
      </c>
      <c r="O143" s="9">
        <v>1</v>
      </c>
    </row>
    <row r="144" spans="1:17" s="9" customFormat="1" x14ac:dyDescent="0.25">
      <c r="A144" s="9">
        <v>8003879954</v>
      </c>
      <c r="B144" s="9">
        <v>50</v>
      </c>
      <c r="C144" s="9">
        <v>11012018</v>
      </c>
      <c r="D144" s="9">
        <v>341</v>
      </c>
      <c r="E144" s="9" t="s">
        <v>25</v>
      </c>
      <c r="F144" s="9">
        <v>9938</v>
      </c>
      <c r="G144" s="13" t="s">
        <v>253</v>
      </c>
      <c r="H144" s="10">
        <v>1270.94</v>
      </c>
      <c r="I144" s="9" t="s">
        <v>26</v>
      </c>
      <c r="J144" s="10">
        <v>330206.65000000002</v>
      </c>
      <c r="K144" s="9" t="s">
        <v>27</v>
      </c>
      <c r="L144" s="9">
        <v>160547</v>
      </c>
      <c r="M144" s="9" t="s">
        <v>38</v>
      </c>
      <c r="O144" s="9">
        <v>1</v>
      </c>
      <c r="P144" s="9" t="s">
        <v>254</v>
      </c>
      <c r="Q144" s="9" t="s">
        <v>255</v>
      </c>
    </row>
    <row r="145" spans="1:17" s="9" customFormat="1" x14ac:dyDescent="0.25">
      <c r="A145" s="9">
        <v>8003879954</v>
      </c>
      <c r="B145" s="9">
        <v>49</v>
      </c>
      <c r="C145" s="9">
        <v>11012018</v>
      </c>
      <c r="D145" s="9">
        <v>299</v>
      </c>
      <c r="E145" s="9" t="s">
        <v>30</v>
      </c>
      <c r="F145" s="9">
        <v>9938</v>
      </c>
      <c r="G145" s="13" t="s">
        <v>253</v>
      </c>
      <c r="H145" s="10">
        <v>0.01</v>
      </c>
      <c r="I145" s="9" t="s">
        <v>26</v>
      </c>
      <c r="J145" s="10">
        <v>331477.59000000003</v>
      </c>
      <c r="K145" s="9" t="s">
        <v>27</v>
      </c>
      <c r="L145" s="9">
        <v>160547</v>
      </c>
      <c r="M145" s="9" t="s">
        <v>256</v>
      </c>
      <c r="O145" s="9">
        <v>1</v>
      </c>
    </row>
    <row r="146" spans="1:17" s="9" customFormat="1" x14ac:dyDescent="0.25">
      <c r="A146" s="9">
        <v>8003879954</v>
      </c>
      <c r="B146" s="9">
        <v>48</v>
      </c>
      <c r="C146" s="9">
        <v>11012018</v>
      </c>
      <c r="D146" s="9">
        <v>489</v>
      </c>
      <c r="E146" s="9" t="s">
        <v>31</v>
      </c>
      <c r="F146" s="9">
        <v>9938</v>
      </c>
      <c r="G146" s="13" t="s">
        <v>253</v>
      </c>
      <c r="H146" s="10">
        <v>0.1</v>
      </c>
      <c r="I146" s="9" t="s">
        <v>26</v>
      </c>
      <c r="J146" s="10">
        <v>331477.59999999998</v>
      </c>
      <c r="K146" s="9" t="s">
        <v>27</v>
      </c>
      <c r="L146" s="9">
        <v>160547</v>
      </c>
      <c r="M146" s="9" t="s">
        <v>256</v>
      </c>
      <c r="O146" s="9">
        <v>1</v>
      </c>
    </row>
    <row r="147" spans="1:17" s="9" customFormat="1" x14ac:dyDescent="0.25">
      <c r="A147" s="9">
        <v>8003879954</v>
      </c>
      <c r="B147" s="9">
        <v>47</v>
      </c>
      <c r="C147" s="9">
        <v>11012018</v>
      </c>
      <c r="D147" s="9">
        <v>341</v>
      </c>
      <c r="E147" s="9" t="s">
        <v>25</v>
      </c>
      <c r="F147" s="9">
        <v>9938</v>
      </c>
      <c r="G147" s="13" t="s">
        <v>257</v>
      </c>
      <c r="H147" s="10">
        <v>3500</v>
      </c>
      <c r="I147" s="9" t="s">
        <v>26</v>
      </c>
      <c r="J147" s="10">
        <v>331477.7</v>
      </c>
      <c r="K147" s="9" t="s">
        <v>27</v>
      </c>
      <c r="L147" s="9">
        <v>160419</v>
      </c>
      <c r="M147" s="9" t="s">
        <v>258</v>
      </c>
      <c r="O147" s="9">
        <v>1</v>
      </c>
      <c r="P147" s="9" t="s">
        <v>259</v>
      </c>
      <c r="Q147" s="9" t="s">
        <v>260</v>
      </c>
    </row>
    <row r="148" spans="1:17" s="9" customFormat="1" x14ac:dyDescent="0.25">
      <c r="A148" s="9">
        <v>8003879954</v>
      </c>
      <c r="B148" s="9">
        <v>46</v>
      </c>
      <c r="C148" s="9">
        <v>11012018</v>
      </c>
      <c r="D148" s="9">
        <v>299</v>
      </c>
      <c r="E148" s="9" t="s">
        <v>30</v>
      </c>
      <c r="F148" s="9">
        <v>9938</v>
      </c>
      <c r="G148" s="13" t="s">
        <v>257</v>
      </c>
      <c r="H148" s="10">
        <v>0.01</v>
      </c>
      <c r="I148" s="9" t="s">
        <v>26</v>
      </c>
      <c r="J148" s="10">
        <v>334977.7</v>
      </c>
      <c r="K148" s="9" t="s">
        <v>27</v>
      </c>
      <c r="L148" s="9">
        <v>160419</v>
      </c>
      <c r="M148" s="9" t="s">
        <v>261</v>
      </c>
      <c r="O148" s="9">
        <v>1</v>
      </c>
    </row>
    <row r="149" spans="1:17" s="9" customFormat="1" x14ac:dyDescent="0.25">
      <c r="A149" s="9">
        <v>8003879954</v>
      </c>
      <c r="B149" s="9">
        <v>45</v>
      </c>
      <c r="C149" s="9">
        <v>11012018</v>
      </c>
      <c r="D149" s="9">
        <v>489</v>
      </c>
      <c r="E149" s="9" t="s">
        <v>31</v>
      </c>
      <c r="F149" s="9">
        <v>9938</v>
      </c>
      <c r="G149" s="13" t="s">
        <v>257</v>
      </c>
      <c r="H149" s="10">
        <v>0.1</v>
      </c>
      <c r="I149" s="9" t="s">
        <v>26</v>
      </c>
      <c r="J149" s="10">
        <v>334977.71000000002</v>
      </c>
      <c r="K149" s="9" t="s">
        <v>27</v>
      </c>
      <c r="L149" s="9">
        <v>160419</v>
      </c>
      <c r="M149" s="9" t="s">
        <v>261</v>
      </c>
      <c r="O149" s="9">
        <v>1</v>
      </c>
    </row>
    <row r="150" spans="1:17" s="9" customFormat="1" x14ac:dyDescent="0.25">
      <c r="A150" s="9">
        <v>8003879954</v>
      </c>
      <c r="B150" s="9">
        <v>44</v>
      </c>
      <c r="C150" s="9">
        <v>11012018</v>
      </c>
      <c r="D150" s="9">
        <v>341</v>
      </c>
      <c r="E150" s="9" t="s">
        <v>25</v>
      </c>
      <c r="F150" s="9">
        <v>9938</v>
      </c>
      <c r="G150" s="13" t="s">
        <v>262</v>
      </c>
      <c r="H150" s="10">
        <v>3580</v>
      </c>
      <c r="I150" s="9" t="s">
        <v>26</v>
      </c>
      <c r="J150" s="10">
        <v>334977.81</v>
      </c>
      <c r="K150" s="9" t="s">
        <v>27</v>
      </c>
      <c r="L150" s="9">
        <v>160418</v>
      </c>
      <c r="M150" s="9" t="s">
        <v>263</v>
      </c>
      <c r="O150" s="9">
        <v>1</v>
      </c>
      <c r="P150" s="9" t="s">
        <v>264</v>
      </c>
      <c r="Q150" s="9" t="s">
        <v>265</v>
      </c>
    </row>
    <row r="151" spans="1:17" s="9" customFormat="1" x14ac:dyDescent="0.25">
      <c r="A151" s="9">
        <v>8003879954</v>
      </c>
      <c r="B151" s="9">
        <v>43</v>
      </c>
      <c r="C151" s="9">
        <v>11012018</v>
      </c>
      <c r="D151" s="9">
        <v>299</v>
      </c>
      <c r="E151" s="9" t="s">
        <v>30</v>
      </c>
      <c r="F151" s="9">
        <v>9938</v>
      </c>
      <c r="G151" s="13" t="s">
        <v>262</v>
      </c>
      <c r="H151" s="10">
        <v>0.01</v>
      </c>
      <c r="I151" s="9" t="s">
        <v>26</v>
      </c>
      <c r="J151" s="10">
        <v>338557.81</v>
      </c>
      <c r="K151" s="9" t="s">
        <v>27</v>
      </c>
      <c r="L151" s="9">
        <v>160418</v>
      </c>
      <c r="M151" s="9" t="s">
        <v>266</v>
      </c>
      <c r="O151" s="9">
        <v>1</v>
      </c>
    </row>
    <row r="152" spans="1:17" s="9" customFormat="1" x14ac:dyDescent="0.25">
      <c r="A152" s="9">
        <v>8003879954</v>
      </c>
      <c r="B152" s="9">
        <v>42</v>
      </c>
      <c r="C152" s="9">
        <v>11012018</v>
      </c>
      <c r="D152" s="9">
        <v>489</v>
      </c>
      <c r="E152" s="9" t="s">
        <v>31</v>
      </c>
      <c r="F152" s="9">
        <v>9938</v>
      </c>
      <c r="G152" s="13" t="s">
        <v>262</v>
      </c>
      <c r="H152" s="10">
        <v>0.1</v>
      </c>
      <c r="I152" s="9" t="s">
        <v>26</v>
      </c>
      <c r="J152" s="10">
        <v>338557.82</v>
      </c>
      <c r="K152" s="9" t="s">
        <v>27</v>
      </c>
      <c r="L152" s="9">
        <v>160418</v>
      </c>
      <c r="M152" s="9" t="s">
        <v>266</v>
      </c>
      <c r="O152" s="9">
        <v>1</v>
      </c>
    </row>
    <row r="153" spans="1:17" s="9" customFormat="1" x14ac:dyDescent="0.25">
      <c r="A153" s="9">
        <v>8003879954</v>
      </c>
      <c r="B153" s="9">
        <v>41</v>
      </c>
      <c r="C153" s="9">
        <v>11012018</v>
      </c>
      <c r="D153" s="9">
        <v>341</v>
      </c>
      <c r="E153" s="9" t="s">
        <v>25</v>
      </c>
      <c r="F153" s="9">
        <v>9938</v>
      </c>
      <c r="G153" s="13" t="s">
        <v>267</v>
      </c>
      <c r="H153" s="10">
        <v>3710</v>
      </c>
      <c r="I153" s="9" t="s">
        <v>26</v>
      </c>
      <c r="J153" s="10">
        <v>338557.92</v>
      </c>
      <c r="K153" s="9" t="s">
        <v>27</v>
      </c>
      <c r="L153" s="9">
        <v>160416</v>
      </c>
      <c r="M153" s="9" t="s">
        <v>268</v>
      </c>
      <c r="O153" s="9">
        <v>1</v>
      </c>
      <c r="P153" s="9" t="s">
        <v>269</v>
      </c>
      <c r="Q153" s="9" t="s">
        <v>270</v>
      </c>
    </row>
    <row r="154" spans="1:17" s="9" customFormat="1" x14ac:dyDescent="0.25">
      <c r="A154" s="9">
        <v>8003879954</v>
      </c>
      <c r="B154" s="9">
        <v>40</v>
      </c>
      <c r="C154" s="9">
        <v>11012018</v>
      </c>
      <c r="D154" s="9">
        <v>299</v>
      </c>
      <c r="E154" s="9" t="s">
        <v>30</v>
      </c>
      <c r="F154" s="9">
        <v>9938</v>
      </c>
      <c r="G154" s="13" t="s">
        <v>267</v>
      </c>
      <c r="H154" s="10">
        <v>0.01</v>
      </c>
      <c r="I154" s="9" t="s">
        <v>26</v>
      </c>
      <c r="J154" s="10">
        <v>342267.92</v>
      </c>
      <c r="K154" s="9" t="s">
        <v>27</v>
      </c>
      <c r="L154" s="9">
        <v>160416</v>
      </c>
      <c r="M154" s="9" t="s">
        <v>271</v>
      </c>
      <c r="O154" s="9">
        <v>1</v>
      </c>
    </row>
    <row r="155" spans="1:17" s="9" customFormat="1" x14ac:dyDescent="0.25">
      <c r="A155" s="9">
        <v>8003879954</v>
      </c>
      <c r="B155" s="9">
        <v>39</v>
      </c>
      <c r="C155" s="9">
        <v>11012018</v>
      </c>
      <c r="D155" s="9">
        <v>489</v>
      </c>
      <c r="E155" s="9" t="s">
        <v>31</v>
      </c>
      <c r="F155" s="9">
        <v>9938</v>
      </c>
      <c r="G155" s="13" t="s">
        <v>267</v>
      </c>
      <c r="H155" s="10">
        <v>0.1</v>
      </c>
      <c r="I155" s="9" t="s">
        <v>26</v>
      </c>
      <c r="J155" s="10">
        <v>342267.93</v>
      </c>
      <c r="K155" s="9" t="s">
        <v>27</v>
      </c>
      <c r="L155" s="9">
        <v>160416</v>
      </c>
      <c r="M155" s="9" t="s">
        <v>271</v>
      </c>
      <c r="O155" s="9">
        <v>1</v>
      </c>
    </row>
    <row r="156" spans="1:17" s="9" customFormat="1" x14ac:dyDescent="0.25">
      <c r="A156" s="9">
        <v>8003879954</v>
      </c>
      <c r="B156" s="9">
        <v>38</v>
      </c>
      <c r="C156" s="9">
        <v>11012018</v>
      </c>
      <c r="D156" s="9">
        <v>341</v>
      </c>
      <c r="E156" s="9" t="s">
        <v>25</v>
      </c>
      <c r="F156" s="9">
        <v>9938</v>
      </c>
      <c r="G156" s="13" t="s">
        <v>272</v>
      </c>
      <c r="H156" s="10">
        <v>3784.2</v>
      </c>
      <c r="I156" s="9" t="s">
        <v>26</v>
      </c>
      <c r="J156" s="10">
        <v>342268.03</v>
      </c>
      <c r="K156" s="9" t="s">
        <v>27</v>
      </c>
      <c r="L156" s="9">
        <v>160413</v>
      </c>
      <c r="M156" s="9" t="s">
        <v>273</v>
      </c>
      <c r="O156" s="9">
        <v>1</v>
      </c>
      <c r="P156" s="9" t="s">
        <v>274</v>
      </c>
      <c r="Q156" s="9" t="s">
        <v>275</v>
      </c>
    </row>
    <row r="157" spans="1:17" s="9" customFormat="1" x14ac:dyDescent="0.25">
      <c r="A157" s="9">
        <v>8003879954</v>
      </c>
      <c r="B157" s="9">
        <v>37</v>
      </c>
      <c r="C157" s="9">
        <v>11012018</v>
      </c>
      <c r="D157" s="9">
        <v>299</v>
      </c>
      <c r="E157" s="9" t="s">
        <v>30</v>
      </c>
      <c r="F157" s="9">
        <v>9938</v>
      </c>
      <c r="G157" s="13" t="s">
        <v>272</v>
      </c>
      <c r="H157" s="10">
        <v>0.01</v>
      </c>
      <c r="I157" s="9" t="s">
        <v>26</v>
      </c>
      <c r="J157" s="10">
        <v>346052.23</v>
      </c>
      <c r="K157" s="9" t="s">
        <v>27</v>
      </c>
      <c r="L157" s="9">
        <v>160413</v>
      </c>
      <c r="M157" s="9" t="s">
        <v>276</v>
      </c>
      <c r="O157" s="9">
        <v>1</v>
      </c>
    </row>
    <row r="158" spans="1:17" s="9" customFormat="1" x14ac:dyDescent="0.25">
      <c r="A158" s="9">
        <v>8003879954</v>
      </c>
      <c r="B158" s="9">
        <v>36</v>
      </c>
      <c r="C158" s="9">
        <v>11012018</v>
      </c>
      <c r="D158" s="9">
        <v>489</v>
      </c>
      <c r="E158" s="9" t="s">
        <v>31</v>
      </c>
      <c r="F158" s="9">
        <v>9938</v>
      </c>
      <c r="G158" s="13" t="s">
        <v>272</v>
      </c>
      <c r="H158" s="10">
        <v>0.1</v>
      </c>
      <c r="I158" s="9" t="s">
        <v>26</v>
      </c>
      <c r="J158" s="10">
        <v>346052.24</v>
      </c>
      <c r="K158" s="9" t="s">
        <v>27</v>
      </c>
      <c r="L158" s="9">
        <v>160413</v>
      </c>
      <c r="M158" s="9" t="s">
        <v>276</v>
      </c>
      <c r="O158" s="9">
        <v>1</v>
      </c>
    </row>
    <row r="159" spans="1:17" s="9" customFormat="1" x14ac:dyDescent="0.25">
      <c r="A159" s="9">
        <v>8003879954</v>
      </c>
      <c r="B159" s="9">
        <v>35</v>
      </c>
      <c r="C159" s="9">
        <v>11012018</v>
      </c>
      <c r="D159" s="9">
        <v>341</v>
      </c>
      <c r="E159" s="9" t="s">
        <v>25</v>
      </c>
      <c r="F159" s="9">
        <v>9938</v>
      </c>
      <c r="G159" s="13" t="s">
        <v>277</v>
      </c>
      <c r="H159" s="10">
        <v>4367.2</v>
      </c>
      <c r="I159" s="9" t="s">
        <v>26</v>
      </c>
      <c r="J159" s="10">
        <v>346052.34</v>
      </c>
      <c r="K159" s="9" t="s">
        <v>27</v>
      </c>
      <c r="L159" s="9">
        <v>160357</v>
      </c>
      <c r="M159" s="9" t="s">
        <v>278</v>
      </c>
      <c r="O159" s="9">
        <v>1</v>
      </c>
      <c r="P159" s="9" t="s">
        <v>279</v>
      </c>
      <c r="Q159" s="9" t="s">
        <v>280</v>
      </c>
    </row>
    <row r="160" spans="1:17" s="9" customFormat="1" x14ac:dyDescent="0.25">
      <c r="A160" s="9">
        <v>8003879954</v>
      </c>
      <c r="B160" s="9">
        <v>34</v>
      </c>
      <c r="C160" s="9">
        <v>11012018</v>
      </c>
      <c r="D160" s="9">
        <v>299</v>
      </c>
      <c r="E160" s="9" t="s">
        <v>30</v>
      </c>
      <c r="F160" s="9">
        <v>9938</v>
      </c>
      <c r="G160" s="13" t="s">
        <v>277</v>
      </c>
      <c r="H160" s="10">
        <v>0.01</v>
      </c>
      <c r="I160" s="9" t="s">
        <v>26</v>
      </c>
      <c r="J160" s="10">
        <v>350419.54</v>
      </c>
      <c r="K160" s="9" t="s">
        <v>27</v>
      </c>
      <c r="L160" s="9">
        <v>160357</v>
      </c>
      <c r="M160" s="9" t="s">
        <v>281</v>
      </c>
      <c r="O160" s="9">
        <v>1</v>
      </c>
    </row>
    <row r="161" spans="1:17" s="9" customFormat="1" x14ac:dyDescent="0.25">
      <c r="A161" s="9">
        <v>8003879954</v>
      </c>
      <c r="B161" s="9">
        <v>33</v>
      </c>
      <c r="C161" s="9">
        <v>11012018</v>
      </c>
      <c r="D161" s="9">
        <v>489</v>
      </c>
      <c r="E161" s="9" t="s">
        <v>31</v>
      </c>
      <c r="F161" s="9">
        <v>9938</v>
      </c>
      <c r="G161" s="13" t="s">
        <v>277</v>
      </c>
      <c r="H161" s="10">
        <v>0.1</v>
      </c>
      <c r="I161" s="9" t="s">
        <v>26</v>
      </c>
      <c r="J161" s="10">
        <v>350419.55</v>
      </c>
      <c r="K161" s="9" t="s">
        <v>27</v>
      </c>
      <c r="L161" s="9">
        <v>160357</v>
      </c>
      <c r="M161" s="9" t="s">
        <v>281</v>
      </c>
      <c r="O161" s="9">
        <v>1</v>
      </c>
    </row>
    <row r="162" spans="1:17" s="9" customFormat="1" x14ac:dyDescent="0.25">
      <c r="A162" s="9">
        <v>8003879954</v>
      </c>
      <c r="B162" s="9">
        <v>32</v>
      </c>
      <c r="C162" s="9">
        <v>11012018</v>
      </c>
      <c r="D162" s="9">
        <v>341</v>
      </c>
      <c r="E162" s="9" t="s">
        <v>25</v>
      </c>
      <c r="F162" s="9">
        <v>9938</v>
      </c>
      <c r="G162" s="13" t="s">
        <v>282</v>
      </c>
      <c r="H162" s="10">
        <v>4770</v>
      </c>
      <c r="I162" s="9" t="s">
        <v>26</v>
      </c>
      <c r="J162" s="10">
        <v>350419.65</v>
      </c>
      <c r="K162" s="9" t="s">
        <v>27</v>
      </c>
      <c r="L162" s="9">
        <v>160349</v>
      </c>
      <c r="M162" s="9" t="s">
        <v>46</v>
      </c>
      <c r="O162" s="9">
        <v>1</v>
      </c>
      <c r="P162" s="9" t="s">
        <v>283</v>
      </c>
      <c r="Q162" s="9" t="s">
        <v>284</v>
      </c>
    </row>
    <row r="163" spans="1:17" s="9" customFormat="1" x14ac:dyDescent="0.25">
      <c r="A163" s="9">
        <v>8003879954</v>
      </c>
      <c r="B163" s="9">
        <v>31</v>
      </c>
      <c r="C163" s="9">
        <v>11012018</v>
      </c>
      <c r="D163" s="9">
        <v>299</v>
      </c>
      <c r="E163" s="9" t="s">
        <v>30</v>
      </c>
      <c r="F163" s="9">
        <v>9938</v>
      </c>
      <c r="G163" s="13" t="s">
        <v>282</v>
      </c>
      <c r="H163" s="10">
        <v>0.01</v>
      </c>
      <c r="I163" s="9" t="s">
        <v>26</v>
      </c>
      <c r="J163" s="10">
        <v>355189.65</v>
      </c>
      <c r="K163" s="9" t="s">
        <v>27</v>
      </c>
      <c r="L163" s="9">
        <v>160349</v>
      </c>
      <c r="M163" s="9" t="s">
        <v>285</v>
      </c>
      <c r="O163" s="9">
        <v>1</v>
      </c>
    </row>
    <row r="164" spans="1:17" s="9" customFormat="1" x14ac:dyDescent="0.25">
      <c r="A164" s="9">
        <v>8003879954</v>
      </c>
      <c r="B164" s="9">
        <v>30</v>
      </c>
      <c r="C164" s="9">
        <v>11012018</v>
      </c>
      <c r="D164" s="9">
        <v>489</v>
      </c>
      <c r="E164" s="9" t="s">
        <v>31</v>
      </c>
      <c r="F164" s="9">
        <v>9938</v>
      </c>
      <c r="G164" s="13" t="s">
        <v>282</v>
      </c>
      <c r="H164" s="10">
        <v>0.1</v>
      </c>
      <c r="I164" s="9" t="s">
        <v>26</v>
      </c>
      <c r="J164" s="10">
        <v>355189.66</v>
      </c>
      <c r="K164" s="9" t="s">
        <v>27</v>
      </c>
      <c r="L164" s="9">
        <v>160349</v>
      </c>
      <c r="M164" s="9" t="s">
        <v>285</v>
      </c>
      <c r="O164" s="9">
        <v>1</v>
      </c>
    </row>
    <row r="165" spans="1:17" s="9" customFormat="1" x14ac:dyDescent="0.25">
      <c r="A165" s="9">
        <v>8003879954</v>
      </c>
      <c r="B165" s="9">
        <v>29</v>
      </c>
      <c r="C165" s="9">
        <v>11012018</v>
      </c>
      <c r="D165" s="9">
        <v>60</v>
      </c>
      <c r="E165" s="9" t="s">
        <v>37</v>
      </c>
      <c r="F165" s="9">
        <v>9938</v>
      </c>
      <c r="G165" s="13" t="s">
        <v>286</v>
      </c>
      <c r="H165" s="10">
        <v>390</v>
      </c>
      <c r="I165" s="9" t="s">
        <v>26</v>
      </c>
      <c r="J165" s="10">
        <v>355189.76000000001</v>
      </c>
      <c r="K165" s="9" t="s">
        <v>27</v>
      </c>
      <c r="L165" s="9">
        <v>160347</v>
      </c>
      <c r="M165" s="9" t="s">
        <v>42</v>
      </c>
      <c r="O165" s="9">
        <v>1</v>
      </c>
      <c r="P165" s="9" t="s">
        <v>287</v>
      </c>
      <c r="Q165" s="9" t="s">
        <v>288</v>
      </c>
    </row>
    <row r="166" spans="1:17" s="9" customFormat="1" x14ac:dyDescent="0.25">
      <c r="A166" s="9">
        <v>8003879954</v>
      </c>
      <c r="B166" s="9">
        <v>28</v>
      </c>
      <c r="C166" s="9">
        <v>11012018</v>
      </c>
      <c r="D166" s="9">
        <v>341</v>
      </c>
      <c r="E166" s="9" t="s">
        <v>25</v>
      </c>
      <c r="F166" s="9">
        <v>9938</v>
      </c>
      <c r="G166" s="13" t="s">
        <v>289</v>
      </c>
      <c r="H166" s="10">
        <v>5005.32</v>
      </c>
      <c r="I166" s="9" t="s">
        <v>26</v>
      </c>
      <c r="J166" s="10">
        <v>355579.76</v>
      </c>
      <c r="K166" s="9" t="s">
        <v>27</v>
      </c>
      <c r="L166" s="9">
        <v>160344</v>
      </c>
      <c r="M166" s="9" t="s">
        <v>39</v>
      </c>
      <c r="O166" s="9">
        <v>1</v>
      </c>
      <c r="P166" s="9" t="s">
        <v>290</v>
      </c>
      <c r="Q166" s="9" t="s">
        <v>291</v>
      </c>
    </row>
    <row r="167" spans="1:17" s="9" customFormat="1" x14ac:dyDescent="0.25">
      <c r="A167" s="9">
        <v>8003879954</v>
      </c>
      <c r="B167" s="9">
        <v>27</v>
      </c>
      <c r="C167" s="9">
        <v>11012018</v>
      </c>
      <c r="D167" s="9">
        <v>299</v>
      </c>
      <c r="E167" s="9" t="s">
        <v>30</v>
      </c>
      <c r="F167" s="9">
        <v>9938</v>
      </c>
      <c r="G167" s="13" t="s">
        <v>289</v>
      </c>
      <c r="H167" s="10">
        <v>0.01</v>
      </c>
      <c r="I167" s="9" t="s">
        <v>26</v>
      </c>
      <c r="J167" s="10">
        <v>360585.08</v>
      </c>
      <c r="K167" s="9" t="s">
        <v>27</v>
      </c>
      <c r="L167" s="9">
        <v>160344</v>
      </c>
      <c r="M167" s="9" t="s">
        <v>292</v>
      </c>
      <c r="O167" s="9">
        <v>1</v>
      </c>
    </row>
    <row r="168" spans="1:17" s="9" customFormat="1" x14ac:dyDescent="0.25">
      <c r="A168" s="9">
        <v>8003879954</v>
      </c>
      <c r="B168" s="9">
        <v>26</v>
      </c>
      <c r="C168" s="9">
        <v>11012018</v>
      </c>
      <c r="D168" s="9">
        <v>489</v>
      </c>
      <c r="E168" s="9" t="s">
        <v>31</v>
      </c>
      <c r="F168" s="9">
        <v>9938</v>
      </c>
      <c r="G168" s="13" t="s">
        <v>289</v>
      </c>
      <c r="H168" s="10">
        <v>0.1</v>
      </c>
      <c r="I168" s="9" t="s">
        <v>26</v>
      </c>
      <c r="J168" s="10">
        <v>360585.09</v>
      </c>
      <c r="K168" s="9" t="s">
        <v>27</v>
      </c>
      <c r="L168" s="9">
        <v>160344</v>
      </c>
      <c r="M168" s="9" t="s">
        <v>292</v>
      </c>
      <c r="O168" s="9">
        <v>1</v>
      </c>
    </row>
    <row r="169" spans="1:17" s="9" customFormat="1" x14ac:dyDescent="0.25">
      <c r="A169" s="9">
        <v>8003879954</v>
      </c>
      <c r="B169" s="9">
        <v>25</v>
      </c>
      <c r="C169" s="9">
        <v>11012018</v>
      </c>
      <c r="D169" s="9">
        <v>60</v>
      </c>
      <c r="E169" s="9" t="s">
        <v>37</v>
      </c>
      <c r="F169" s="9">
        <v>9938</v>
      </c>
      <c r="G169" s="13" t="s">
        <v>293</v>
      </c>
      <c r="H169" s="10">
        <v>621</v>
      </c>
      <c r="I169" s="9" t="s">
        <v>26</v>
      </c>
      <c r="J169" s="10">
        <v>360585.19</v>
      </c>
      <c r="K169" s="9" t="s">
        <v>27</v>
      </c>
      <c r="L169" s="9">
        <v>160326</v>
      </c>
      <c r="M169" s="9" t="s">
        <v>294</v>
      </c>
      <c r="O169" s="9">
        <v>1</v>
      </c>
      <c r="P169" s="9" t="s">
        <v>295</v>
      </c>
      <c r="Q169" s="9" t="s">
        <v>296</v>
      </c>
    </row>
    <row r="170" spans="1:17" s="9" customFormat="1" x14ac:dyDescent="0.25">
      <c r="A170" s="9">
        <v>8003879954</v>
      </c>
      <c r="B170" s="9">
        <v>24</v>
      </c>
      <c r="C170" s="9">
        <v>11012018</v>
      </c>
      <c r="D170" s="9">
        <v>60</v>
      </c>
      <c r="E170" s="9" t="s">
        <v>37</v>
      </c>
      <c r="F170" s="9">
        <v>9938</v>
      </c>
      <c r="G170" s="13" t="s">
        <v>297</v>
      </c>
      <c r="H170" s="10">
        <v>625.29999999999995</v>
      </c>
      <c r="I170" s="9" t="s">
        <v>26</v>
      </c>
      <c r="J170" s="10">
        <v>361206.19</v>
      </c>
      <c r="K170" s="9" t="s">
        <v>27</v>
      </c>
      <c r="L170" s="9">
        <v>160326</v>
      </c>
      <c r="M170" s="9" t="s">
        <v>298</v>
      </c>
      <c r="O170" s="9">
        <v>1</v>
      </c>
      <c r="P170" s="9" t="s">
        <v>299</v>
      </c>
      <c r="Q170" s="9" t="s">
        <v>52</v>
      </c>
    </row>
    <row r="171" spans="1:17" s="9" customFormat="1" x14ac:dyDescent="0.25">
      <c r="A171" s="9">
        <v>8003879954</v>
      </c>
      <c r="B171" s="9">
        <v>23</v>
      </c>
      <c r="C171" s="9">
        <v>11012018</v>
      </c>
      <c r="D171" s="9">
        <v>60</v>
      </c>
      <c r="E171" s="9" t="s">
        <v>37</v>
      </c>
      <c r="F171" s="9">
        <v>9938</v>
      </c>
      <c r="G171" s="13" t="s">
        <v>300</v>
      </c>
      <c r="H171" s="10">
        <v>641.29999999999995</v>
      </c>
      <c r="I171" s="9" t="s">
        <v>26</v>
      </c>
      <c r="J171" s="10">
        <v>361831.49</v>
      </c>
      <c r="K171" s="9" t="s">
        <v>27</v>
      </c>
      <c r="L171" s="9">
        <v>160323</v>
      </c>
      <c r="M171" s="9" t="s">
        <v>301</v>
      </c>
      <c r="O171" s="9">
        <v>1</v>
      </c>
      <c r="P171" s="9" t="s">
        <v>302</v>
      </c>
      <c r="Q171" s="9" t="s">
        <v>303</v>
      </c>
    </row>
    <row r="172" spans="1:17" s="9" customFormat="1" x14ac:dyDescent="0.25">
      <c r="A172" s="9">
        <v>8003879954</v>
      </c>
      <c r="B172" s="9">
        <v>22</v>
      </c>
      <c r="C172" s="9">
        <v>11012018</v>
      </c>
      <c r="D172" s="9">
        <v>341</v>
      </c>
      <c r="E172" s="9" t="s">
        <v>25</v>
      </c>
      <c r="F172" s="9">
        <v>9938</v>
      </c>
      <c r="G172" s="13" t="s">
        <v>304</v>
      </c>
      <c r="H172" s="10">
        <v>6000</v>
      </c>
      <c r="I172" s="9" t="s">
        <v>26</v>
      </c>
      <c r="J172" s="10">
        <v>362472.79</v>
      </c>
      <c r="K172" s="9" t="s">
        <v>27</v>
      </c>
      <c r="L172" s="9">
        <v>160322</v>
      </c>
      <c r="M172" s="9" t="s">
        <v>305</v>
      </c>
      <c r="O172" s="9">
        <v>1</v>
      </c>
      <c r="P172" s="9" t="s">
        <v>306</v>
      </c>
      <c r="Q172" s="9" t="s">
        <v>307</v>
      </c>
    </row>
    <row r="173" spans="1:17" s="9" customFormat="1" x14ac:dyDescent="0.25">
      <c r="A173" s="9">
        <v>8003879954</v>
      </c>
      <c r="B173" s="9">
        <v>21</v>
      </c>
      <c r="C173" s="9">
        <v>11012018</v>
      </c>
      <c r="D173" s="9">
        <v>299</v>
      </c>
      <c r="E173" s="9" t="s">
        <v>30</v>
      </c>
      <c r="F173" s="9">
        <v>9938</v>
      </c>
      <c r="G173" s="13" t="s">
        <v>304</v>
      </c>
      <c r="H173" s="10">
        <v>0.01</v>
      </c>
      <c r="I173" s="9" t="s">
        <v>26</v>
      </c>
      <c r="J173" s="10">
        <v>368472.79</v>
      </c>
      <c r="K173" s="9" t="s">
        <v>27</v>
      </c>
      <c r="L173" s="9">
        <v>160322</v>
      </c>
      <c r="M173" s="9" t="s">
        <v>308</v>
      </c>
      <c r="O173" s="9">
        <v>1</v>
      </c>
    </row>
    <row r="174" spans="1:17" s="9" customFormat="1" x14ac:dyDescent="0.25">
      <c r="A174" s="9">
        <v>8003879954</v>
      </c>
      <c r="B174" s="9">
        <v>20</v>
      </c>
      <c r="C174" s="9">
        <v>11012018</v>
      </c>
      <c r="D174" s="9">
        <v>489</v>
      </c>
      <c r="E174" s="9" t="s">
        <v>31</v>
      </c>
      <c r="F174" s="9">
        <v>9938</v>
      </c>
      <c r="G174" s="13" t="s">
        <v>304</v>
      </c>
      <c r="H174" s="10">
        <v>0.1</v>
      </c>
      <c r="I174" s="9" t="s">
        <v>26</v>
      </c>
      <c r="J174" s="10">
        <v>368472.8</v>
      </c>
      <c r="K174" s="9" t="s">
        <v>27</v>
      </c>
      <c r="L174" s="9">
        <v>160322</v>
      </c>
      <c r="M174" s="9" t="s">
        <v>308</v>
      </c>
      <c r="O174" s="9">
        <v>1</v>
      </c>
    </row>
    <row r="175" spans="1:17" s="9" customFormat="1" x14ac:dyDescent="0.25">
      <c r="A175" s="9">
        <v>8003879954</v>
      </c>
      <c r="B175" s="9">
        <v>19</v>
      </c>
      <c r="C175" s="9">
        <v>11012018</v>
      </c>
      <c r="D175" s="9">
        <v>341</v>
      </c>
      <c r="E175" s="9" t="s">
        <v>25</v>
      </c>
      <c r="F175" s="9">
        <v>9938</v>
      </c>
      <c r="G175" s="13" t="s">
        <v>309</v>
      </c>
      <c r="H175" s="10">
        <v>6800</v>
      </c>
      <c r="I175" s="9" t="s">
        <v>26</v>
      </c>
      <c r="J175" s="10">
        <v>368472.9</v>
      </c>
      <c r="K175" s="9" t="s">
        <v>27</v>
      </c>
      <c r="L175" s="9">
        <v>160310</v>
      </c>
      <c r="M175" s="9" t="s">
        <v>310</v>
      </c>
      <c r="O175" s="9">
        <v>1</v>
      </c>
      <c r="P175" s="9" t="s">
        <v>311</v>
      </c>
      <c r="Q175" s="9" t="s">
        <v>311</v>
      </c>
    </row>
    <row r="176" spans="1:17" s="9" customFormat="1" x14ac:dyDescent="0.25">
      <c r="A176" s="9">
        <v>8003879954</v>
      </c>
      <c r="B176" s="9">
        <v>18</v>
      </c>
      <c r="C176" s="9">
        <v>11012018</v>
      </c>
      <c r="D176" s="9">
        <v>299</v>
      </c>
      <c r="E176" s="9" t="s">
        <v>30</v>
      </c>
      <c r="F176" s="9">
        <v>9938</v>
      </c>
      <c r="G176" s="13" t="s">
        <v>309</v>
      </c>
      <c r="H176" s="10">
        <v>0.01</v>
      </c>
      <c r="I176" s="9" t="s">
        <v>26</v>
      </c>
      <c r="J176" s="10">
        <v>375272.9</v>
      </c>
      <c r="K176" s="9" t="s">
        <v>27</v>
      </c>
      <c r="L176" s="9">
        <v>160310</v>
      </c>
      <c r="M176" s="9" t="s">
        <v>312</v>
      </c>
      <c r="O176" s="9">
        <v>1</v>
      </c>
    </row>
    <row r="177" spans="1:17" s="9" customFormat="1" x14ac:dyDescent="0.25">
      <c r="A177" s="9">
        <v>8003879954</v>
      </c>
      <c r="B177" s="9">
        <v>17</v>
      </c>
      <c r="C177" s="9">
        <v>11012018</v>
      </c>
      <c r="D177" s="9">
        <v>489</v>
      </c>
      <c r="E177" s="9" t="s">
        <v>31</v>
      </c>
      <c r="F177" s="9">
        <v>9938</v>
      </c>
      <c r="G177" s="13" t="s">
        <v>309</v>
      </c>
      <c r="H177" s="10">
        <v>0.1</v>
      </c>
      <c r="I177" s="9" t="s">
        <v>26</v>
      </c>
      <c r="J177" s="10">
        <v>375272.91</v>
      </c>
      <c r="K177" s="9" t="s">
        <v>27</v>
      </c>
      <c r="L177" s="9">
        <v>160310</v>
      </c>
      <c r="M177" s="9" t="s">
        <v>312</v>
      </c>
      <c r="O177" s="9">
        <v>1</v>
      </c>
    </row>
    <row r="178" spans="1:17" s="9" customFormat="1" x14ac:dyDescent="0.25">
      <c r="A178" s="9">
        <v>8003879954</v>
      </c>
      <c r="B178" s="9">
        <v>16</v>
      </c>
      <c r="C178" s="9">
        <v>11012018</v>
      </c>
      <c r="D178" s="9">
        <v>341</v>
      </c>
      <c r="E178" s="9" t="s">
        <v>25</v>
      </c>
      <c r="F178" s="9">
        <v>9938</v>
      </c>
      <c r="G178" s="13" t="s">
        <v>313</v>
      </c>
      <c r="H178" s="10">
        <v>7000</v>
      </c>
      <c r="I178" s="9" t="s">
        <v>26</v>
      </c>
      <c r="J178" s="10">
        <v>375273.01</v>
      </c>
      <c r="K178" s="9" t="s">
        <v>27</v>
      </c>
      <c r="L178" s="9">
        <v>160306</v>
      </c>
      <c r="M178" s="9" t="s">
        <v>314</v>
      </c>
      <c r="O178" s="9">
        <v>1</v>
      </c>
      <c r="P178" s="9" t="s">
        <v>315</v>
      </c>
      <c r="Q178" s="9" t="s">
        <v>316</v>
      </c>
    </row>
    <row r="179" spans="1:17" s="9" customFormat="1" x14ac:dyDescent="0.25">
      <c r="A179" s="9">
        <v>8003879954</v>
      </c>
      <c r="B179" s="9">
        <v>15</v>
      </c>
      <c r="C179" s="9">
        <v>11012018</v>
      </c>
      <c r="D179" s="9">
        <v>299</v>
      </c>
      <c r="E179" s="9" t="s">
        <v>30</v>
      </c>
      <c r="F179" s="9">
        <v>9938</v>
      </c>
      <c r="G179" s="13" t="s">
        <v>313</v>
      </c>
      <c r="H179" s="10">
        <v>0.01</v>
      </c>
      <c r="I179" s="9" t="s">
        <v>26</v>
      </c>
      <c r="J179" s="10">
        <v>382273.01</v>
      </c>
      <c r="K179" s="9" t="s">
        <v>27</v>
      </c>
      <c r="L179" s="9">
        <v>160306</v>
      </c>
      <c r="M179" s="9" t="s">
        <v>317</v>
      </c>
      <c r="O179" s="9">
        <v>1</v>
      </c>
    </row>
    <row r="180" spans="1:17" s="9" customFormat="1" x14ac:dyDescent="0.25">
      <c r="A180" s="9">
        <v>8003879954</v>
      </c>
      <c r="B180" s="9">
        <v>14</v>
      </c>
      <c r="C180" s="9">
        <v>11012018</v>
      </c>
      <c r="D180" s="9">
        <v>489</v>
      </c>
      <c r="E180" s="9" t="s">
        <v>31</v>
      </c>
      <c r="F180" s="9">
        <v>9938</v>
      </c>
      <c r="G180" s="13" t="s">
        <v>313</v>
      </c>
      <c r="H180" s="10">
        <v>0.1</v>
      </c>
      <c r="I180" s="9" t="s">
        <v>26</v>
      </c>
      <c r="J180" s="10">
        <v>382273.02</v>
      </c>
      <c r="K180" s="9" t="s">
        <v>27</v>
      </c>
      <c r="L180" s="9">
        <v>160306</v>
      </c>
      <c r="M180" s="9" t="s">
        <v>317</v>
      </c>
      <c r="O180" s="9">
        <v>1</v>
      </c>
    </row>
    <row r="181" spans="1:17" s="9" customFormat="1" x14ac:dyDescent="0.25">
      <c r="A181" s="9">
        <v>8003879954</v>
      </c>
      <c r="B181" s="9">
        <v>13</v>
      </c>
      <c r="C181" s="9">
        <v>11012018</v>
      </c>
      <c r="D181" s="9">
        <v>341</v>
      </c>
      <c r="E181" s="9" t="s">
        <v>25</v>
      </c>
      <c r="F181" s="9">
        <v>9938</v>
      </c>
      <c r="G181" s="13" t="s">
        <v>318</v>
      </c>
      <c r="H181" s="10">
        <v>10000</v>
      </c>
      <c r="I181" s="9" t="s">
        <v>26</v>
      </c>
      <c r="J181" s="10">
        <v>382273.12</v>
      </c>
      <c r="K181" s="9" t="s">
        <v>27</v>
      </c>
      <c r="L181" s="9">
        <v>160229</v>
      </c>
      <c r="M181" s="9" t="s">
        <v>319</v>
      </c>
      <c r="O181" s="9">
        <v>1</v>
      </c>
      <c r="P181" s="9" t="s">
        <v>320</v>
      </c>
      <c r="Q181" s="9" t="s">
        <v>44</v>
      </c>
    </row>
    <row r="182" spans="1:17" s="9" customFormat="1" x14ac:dyDescent="0.25">
      <c r="A182" s="9">
        <v>8003879954</v>
      </c>
      <c r="B182" s="9">
        <v>12</v>
      </c>
      <c r="C182" s="9">
        <v>11012018</v>
      </c>
      <c r="D182" s="9">
        <v>299</v>
      </c>
      <c r="E182" s="9" t="s">
        <v>30</v>
      </c>
      <c r="F182" s="9">
        <v>9938</v>
      </c>
      <c r="G182" s="13" t="s">
        <v>318</v>
      </c>
      <c r="H182" s="10">
        <v>0.01</v>
      </c>
      <c r="I182" s="9" t="s">
        <v>26</v>
      </c>
      <c r="J182" s="10">
        <v>392273.12</v>
      </c>
      <c r="K182" s="9" t="s">
        <v>27</v>
      </c>
      <c r="L182" s="9">
        <v>160229</v>
      </c>
      <c r="M182" s="9" t="s">
        <v>321</v>
      </c>
      <c r="O182" s="9">
        <v>1</v>
      </c>
    </row>
    <row r="183" spans="1:17" s="9" customFormat="1" x14ac:dyDescent="0.25">
      <c r="A183" s="9">
        <v>8003879954</v>
      </c>
      <c r="B183" s="9">
        <v>11</v>
      </c>
      <c r="C183" s="9">
        <v>11012018</v>
      </c>
      <c r="D183" s="9">
        <v>489</v>
      </c>
      <c r="E183" s="9" t="s">
        <v>31</v>
      </c>
      <c r="F183" s="9">
        <v>9938</v>
      </c>
      <c r="G183" s="13" t="s">
        <v>318</v>
      </c>
      <c r="H183" s="10">
        <v>0.1</v>
      </c>
      <c r="I183" s="9" t="s">
        <v>26</v>
      </c>
      <c r="J183" s="10">
        <v>392273.13</v>
      </c>
      <c r="K183" s="9" t="s">
        <v>27</v>
      </c>
      <c r="L183" s="9">
        <v>160229</v>
      </c>
      <c r="M183" s="9" t="s">
        <v>321</v>
      </c>
      <c r="O183" s="9">
        <v>1</v>
      </c>
    </row>
    <row r="184" spans="1:17" s="9" customFormat="1" x14ac:dyDescent="0.25">
      <c r="A184" s="9">
        <v>8003879954</v>
      </c>
      <c r="B184" s="9">
        <v>10</v>
      </c>
      <c r="C184" s="9">
        <v>11012018</v>
      </c>
      <c r="D184" s="9">
        <v>345</v>
      </c>
      <c r="E184" s="9" t="s">
        <v>51</v>
      </c>
      <c r="F184" s="9">
        <v>9938</v>
      </c>
      <c r="G184" s="13" t="s">
        <v>322</v>
      </c>
      <c r="H184" s="10">
        <v>3119.05</v>
      </c>
      <c r="I184" s="9" t="s">
        <v>26</v>
      </c>
      <c r="J184" s="10">
        <v>392273.23</v>
      </c>
      <c r="K184" s="9" t="s">
        <v>27</v>
      </c>
      <c r="L184" s="9">
        <v>160208</v>
      </c>
      <c r="M184" s="9" t="s">
        <v>323</v>
      </c>
      <c r="O184" s="9">
        <v>1</v>
      </c>
      <c r="P184" s="9" t="s">
        <v>324</v>
      </c>
      <c r="Q184" s="9" t="s">
        <v>52</v>
      </c>
    </row>
    <row r="185" spans="1:17" s="9" customFormat="1" x14ac:dyDescent="0.25">
      <c r="A185" s="9">
        <v>8003879954</v>
      </c>
      <c r="B185" s="9">
        <v>9</v>
      </c>
      <c r="C185" s="9">
        <v>11012018</v>
      </c>
      <c r="D185" s="9">
        <v>60</v>
      </c>
      <c r="E185" s="9" t="s">
        <v>37</v>
      </c>
      <c r="F185" s="9">
        <v>9938</v>
      </c>
      <c r="G185" s="13" t="s">
        <v>325</v>
      </c>
      <c r="H185" s="10">
        <v>5000</v>
      </c>
      <c r="I185" s="9" t="s">
        <v>26</v>
      </c>
      <c r="J185" s="10">
        <v>395392.28</v>
      </c>
      <c r="K185" s="9" t="s">
        <v>27</v>
      </c>
      <c r="L185" s="9">
        <v>160139</v>
      </c>
      <c r="M185" s="9" t="s">
        <v>326</v>
      </c>
      <c r="O185" s="9">
        <v>1</v>
      </c>
      <c r="P185" s="9" t="s">
        <v>327</v>
      </c>
      <c r="Q185" s="9" t="s">
        <v>328</v>
      </c>
    </row>
    <row r="186" spans="1:17" s="9" customFormat="1" x14ac:dyDescent="0.25">
      <c r="A186" s="9">
        <v>8003879954</v>
      </c>
      <c r="B186" s="9">
        <v>8</v>
      </c>
      <c r="C186" s="9">
        <v>11012018</v>
      </c>
      <c r="D186" s="9">
        <v>60</v>
      </c>
      <c r="E186" s="9" t="s">
        <v>37</v>
      </c>
      <c r="F186" s="9">
        <v>9938</v>
      </c>
      <c r="G186" s="13" t="s">
        <v>329</v>
      </c>
      <c r="H186" s="10">
        <v>9004.2000000000007</v>
      </c>
      <c r="I186" s="9" t="s">
        <v>26</v>
      </c>
      <c r="J186" s="10">
        <v>400392.28</v>
      </c>
      <c r="K186" s="9" t="s">
        <v>27</v>
      </c>
      <c r="L186" s="9">
        <v>160116</v>
      </c>
      <c r="M186" s="9" t="s">
        <v>330</v>
      </c>
      <c r="O186" s="9">
        <v>1</v>
      </c>
      <c r="P186" s="9" t="s">
        <v>331</v>
      </c>
      <c r="Q186" s="9" t="s">
        <v>332</v>
      </c>
    </row>
    <row r="187" spans="1:17" s="9" customFormat="1" x14ac:dyDescent="0.25">
      <c r="A187" s="9">
        <v>8003879954</v>
      </c>
      <c r="B187" s="9">
        <v>7</v>
      </c>
      <c r="C187" s="9">
        <v>11012018</v>
      </c>
      <c r="D187" s="9">
        <v>343</v>
      </c>
      <c r="E187" s="9" t="s">
        <v>115</v>
      </c>
      <c r="F187" s="9">
        <v>9938</v>
      </c>
      <c r="G187" s="13" t="s">
        <v>333</v>
      </c>
      <c r="H187" s="10">
        <v>14</v>
      </c>
      <c r="I187" s="9" t="s">
        <v>26</v>
      </c>
      <c r="J187" s="10">
        <v>409396.47999999998</v>
      </c>
      <c r="K187" s="9" t="s">
        <v>27</v>
      </c>
      <c r="L187" s="9">
        <v>160104</v>
      </c>
      <c r="M187" s="9" t="s">
        <v>334</v>
      </c>
      <c r="O187" s="9">
        <v>1</v>
      </c>
    </row>
    <row r="188" spans="1:17" s="9" customFormat="1" x14ac:dyDescent="0.25">
      <c r="A188" s="9">
        <v>8003879954</v>
      </c>
      <c r="B188" s="9">
        <v>6</v>
      </c>
      <c r="C188" s="9">
        <v>11012018</v>
      </c>
      <c r="D188" s="9">
        <v>343</v>
      </c>
      <c r="E188" s="9" t="s">
        <v>115</v>
      </c>
      <c r="F188" s="9">
        <v>9938</v>
      </c>
      <c r="G188" s="13" t="s">
        <v>335</v>
      </c>
      <c r="H188" s="10">
        <v>539.54999999999995</v>
      </c>
      <c r="I188" s="9" t="s">
        <v>26</v>
      </c>
      <c r="J188" s="10">
        <v>409410.48</v>
      </c>
      <c r="K188" s="9" t="s">
        <v>27</v>
      </c>
      <c r="L188" s="9">
        <v>160102</v>
      </c>
      <c r="M188" s="9" t="s">
        <v>336</v>
      </c>
      <c r="O188" s="9">
        <v>1</v>
      </c>
    </row>
    <row r="189" spans="1:17" s="9" customFormat="1" x14ac:dyDescent="0.25">
      <c r="A189" s="9">
        <v>8003879954</v>
      </c>
      <c r="B189" s="9">
        <v>5</v>
      </c>
      <c r="C189" s="9">
        <v>11012018</v>
      </c>
      <c r="D189" s="9">
        <v>343</v>
      </c>
      <c r="E189" s="9" t="s">
        <v>115</v>
      </c>
      <c r="F189" s="9">
        <v>9938</v>
      </c>
      <c r="G189" s="13" t="s">
        <v>337</v>
      </c>
      <c r="H189" s="10">
        <v>1164.7</v>
      </c>
      <c r="I189" s="9" t="s">
        <v>26</v>
      </c>
      <c r="J189" s="10">
        <v>409950.03</v>
      </c>
      <c r="K189" s="9" t="s">
        <v>27</v>
      </c>
      <c r="L189" s="9">
        <v>160045</v>
      </c>
      <c r="M189" s="9" t="s">
        <v>338</v>
      </c>
      <c r="O189" s="9">
        <v>1</v>
      </c>
    </row>
    <row r="190" spans="1:17" s="9" customFormat="1" x14ac:dyDescent="0.25">
      <c r="A190" s="9">
        <v>8003879954</v>
      </c>
      <c r="B190" s="9">
        <v>4</v>
      </c>
      <c r="C190" s="9">
        <v>11012018</v>
      </c>
      <c r="D190" s="9">
        <v>343</v>
      </c>
      <c r="E190" s="9" t="s">
        <v>115</v>
      </c>
      <c r="F190" s="9">
        <v>9938</v>
      </c>
      <c r="G190" s="13" t="s">
        <v>339</v>
      </c>
      <c r="H190" s="10">
        <v>424.8</v>
      </c>
      <c r="I190" s="9" t="s">
        <v>26</v>
      </c>
      <c r="J190" s="10">
        <v>411114.73</v>
      </c>
      <c r="K190" s="9" t="s">
        <v>27</v>
      </c>
      <c r="L190" s="9">
        <v>160030</v>
      </c>
      <c r="M190" s="9" t="s">
        <v>340</v>
      </c>
      <c r="O190" s="9">
        <v>1</v>
      </c>
    </row>
    <row r="191" spans="1:17" s="9" customFormat="1" x14ac:dyDescent="0.25">
      <c r="A191" s="9">
        <v>8003879954</v>
      </c>
      <c r="B191" s="9">
        <v>3</v>
      </c>
      <c r="C191" s="9">
        <v>11012018</v>
      </c>
      <c r="D191" s="9">
        <v>341</v>
      </c>
      <c r="E191" s="9" t="s">
        <v>25</v>
      </c>
      <c r="F191" s="9">
        <v>9938</v>
      </c>
      <c r="G191" s="13" t="s">
        <v>341</v>
      </c>
      <c r="H191" s="10">
        <v>9592.5</v>
      </c>
      <c r="I191" s="9" t="s">
        <v>26</v>
      </c>
      <c r="J191" s="10">
        <v>411539.53</v>
      </c>
      <c r="K191" s="9" t="s">
        <v>27</v>
      </c>
      <c r="L191" s="9">
        <v>150600</v>
      </c>
      <c r="M191" s="9" t="s">
        <v>342</v>
      </c>
      <c r="O191" s="9">
        <v>1</v>
      </c>
      <c r="P191" s="9" t="s">
        <v>343</v>
      </c>
      <c r="Q191" s="9" t="s">
        <v>344</v>
      </c>
    </row>
    <row r="192" spans="1:17" s="9" customFormat="1" x14ac:dyDescent="0.25">
      <c r="A192" s="9">
        <v>8003879954</v>
      </c>
      <c r="B192" s="9">
        <v>2</v>
      </c>
      <c r="C192" s="9">
        <v>11012018</v>
      </c>
      <c r="D192" s="9">
        <v>299</v>
      </c>
      <c r="E192" s="9" t="s">
        <v>30</v>
      </c>
      <c r="F192" s="9">
        <v>9938</v>
      </c>
      <c r="G192" s="13" t="s">
        <v>341</v>
      </c>
      <c r="H192" s="10">
        <v>0.01</v>
      </c>
      <c r="I192" s="9" t="s">
        <v>26</v>
      </c>
      <c r="J192" s="10">
        <v>421132.03</v>
      </c>
      <c r="K192" s="9" t="s">
        <v>27</v>
      </c>
      <c r="L192" s="9">
        <v>150600</v>
      </c>
      <c r="M192" s="9" t="s">
        <v>345</v>
      </c>
      <c r="O192" s="9">
        <v>1</v>
      </c>
    </row>
    <row r="193" spans="1:17" s="9" customFormat="1" x14ac:dyDescent="0.25">
      <c r="A193" s="9">
        <v>8003879954</v>
      </c>
      <c r="B193" s="9">
        <v>1</v>
      </c>
      <c r="C193" s="9">
        <v>11012018</v>
      </c>
      <c r="D193" s="9">
        <v>489</v>
      </c>
      <c r="E193" s="9" t="s">
        <v>31</v>
      </c>
      <c r="F193" s="9">
        <v>9938</v>
      </c>
      <c r="G193" s="13" t="s">
        <v>341</v>
      </c>
      <c r="H193" s="10">
        <v>0.1</v>
      </c>
      <c r="I193" s="9" t="s">
        <v>26</v>
      </c>
      <c r="J193" s="10">
        <v>421132.04</v>
      </c>
      <c r="K193" s="9" t="s">
        <v>27</v>
      </c>
      <c r="L193" s="9">
        <v>150600</v>
      </c>
      <c r="M193" s="9" t="s">
        <v>345</v>
      </c>
      <c r="O193" s="9">
        <v>1</v>
      </c>
    </row>
    <row r="194" spans="1:17" s="9" customFormat="1" x14ac:dyDescent="0.25">
      <c r="A194" s="9">
        <v>8003879954</v>
      </c>
      <c r="B194" s="9">
        <v>7</v>
      </c>
      <c r="C194" s="9">
        <v>8012018</v>
      </c>
      <c r="D194" s="9">
        <v>345</v>
      </c>
      <c r="E194" s="9" t="s">
        <v>51</v>
      </c>
      <c r="F194" s="9">
        <v>9938</v>
      </c>
      <c r="G194" s="13" t="s">
        <v>346</v>
      </c>
      <c r="H194" s="10">
        <v>1500</v>
      </c>
      <c r="I194" s="9" t="s">
        <v>26</v>
      </c>
      <c r="J194" s="10">
        <v>421132.14</v>
      </c>
      <c r="K194" s="9" t="s">
        <v>27</v>
      </c>
      <c r="L194" s="9">
        <v>183525</v>
      </c>
      <c r="M194" s="9" t="s">
        <v>108</v>
      </c>
      <c r="O194" s="9">
        <v>1</v>
      </c>
      <c r="P194" s="9" t="s">
        <v>347</v>
      </c>
      <c r="Q194" s="9" t="s">
        <v>348</v>
      </c>
    </row>
    <row r="195" spans="1:17" s="9" customFormat="1" x14ac:dyDescent="0.25">
      <c r="A195" s="9">
        <v>8003879954</v>
      </c>
      <c r="B195" s="9">
        <v>6</v>
      </c>
      <c r="C195" s="9">
        <v>8012018</v>
      </c>
      <c r="D195" s="9">
        <v>345</v>
      </c>
      <c r="E195" s="9" t="s">
        <v>51</v>
      </c>
      <c r="F195" s="9">
        <v>9938</v>
      </c>
      <c r="G195" s="13" t="s">
        <v>349</v>
      </c>
      <c r="H195" s="10">
        <v>2295</v>
      </c>
      <c r="I195" s="9" t="s">
        <v>26</v>
      </c>
      <c r="J195" s="10">
        <v>422632.14</v>
      </c>
      <c r="K195" s="9" t="s">
        <v>27</v>
      </c>
      <c r="L195" s="9">
        <v>183525</v>
      </c>
      <c r="M195" s="9" t="s">
        <v>350</v>
      </c>
      <c r="O195" s="9">
        <v>1</v>
      </c>
      <c r="P195" s="9" t="s">
        <v>351</v>
      </c>
      <c r="Q195" s="9" t="s">
        <v>352</v>
      </c>
    </row>
    <row r="196" spans="1:17" s="9" customFormat="1" x14ac:dyDescent="0.25">
      <c r="A196" s="9">
        <v>8003879954</v>
      </c>
      <c r="B196" s="9">
        <v>5</v>
      </c>
      <c r="C196" s="9">
        <v>8012018</v>
      </c>
      <c r="D196" s="9">
        <v>341</v>
      </c>
      <c r="E196" s="9" t="s">
        <v>25</v>
      </c>
      <c r="F196" s="9">
        <v>9938</v>
      </c>
      <c r="G196" s="13" t="s">
        <v>353</v>
      </c>
      <c r="H196" s="10">
        <v>2500</v>
      </c>
      <c r="I196" s="9" t="s">
        <v>26</v>
      </c>
      <c r="J196" s="10">
        <v>424927.14</v>
      </c>
      <c r="K196" s="9" t="s">
        <v>27</v>
      </c>
      <c r="L196" s="9">
        <v>183525</v>
      </c>
      <c r="M196" s="9" t="s">
        <v>354</v>
      </c>
      <c r="O196" s="9">
        <v>1</v>
      </c>
      <c r="P196" s="9" t="s">
        <v>355</v>
      </c>
      <c r="Q196" s="9" t="s">
        <v>356</v>
      </c>
    </row>
    <row r="197" spans="1:17" s="9" customFormat="1" x14ac:dyDescent="0.25">
      <c r="A197" s="9">
        <v>8003879954</v>
      </c>
      <c r="B197" s="9">
        <v>4</v>
      </c>
      <c r="C197" s="9">
        <v>8012018</v>
      </c>
      <c r="D197" s="9">
        <v>299</v>
      </c>
      <c r="E197" s="9" t="s">
        <v>30</v>
      </c>
      <c r="F197" s="9">
        <v>9938</v>
      </c>
      <c r="G197" s="13" t="s">
        <v>353</v>
      </c>
      <c r="H197" s="10">
        <v>0.01</v>
      </c>
      <c r="I197" s="9" t="s">
        <v>26</v>
      </c>
      <c r="J197" s="10">
        <v>427427.14</v>
      </c>
      <c r="K197" s="9" t="s">
        <v>27</v>
      </c>
      <c r="L197" s="9">
        <v>183525</v>
      </c>
      <c r="M197" s="9" t="s">
        <v>357</v>
      </c>
      <c r="O197" s="9">
        <v>1</v>
      </c>
    </row>
    <row r="198" spans="1:17" s="9" customFormat="1" x14ac:dyDescent="0.25">
      <c r="A198" s="9">
        <v>8003879954</v>
      </c>
      <c r="B198" s="9">
        <v>3</v>
      </c>
      <c r="C198" s="9">
        <v>8012018</v>
      </c>
      <c r="D198" s="9">
        <v>489</v>
      </c>
      <c r="E198" s="9" t="s">
        <v>31</v>
      </c>
      <c r="F198" s="9">
        <v>9938</v>
      </c>
      <c r="G198" s="13" t="s">
        <v>353</v>
      </c>
      <c r="H198" s="10">
        <v>0.1</v>
      </c>
      <c r="I198" s="9" t="s">
        <v>26</v>
      </c>
      <c r="J198" s="10">
        <v>427427.15</v>
      </c>
      <c r="K198" s="9" t="s">
        <v>27</v>
      </c>
      <c r="L198" s="9">
        <v>183525</v>
      </c>
      <c r="M198" s="9" t="s">
        <v>357</v>
      </c>
      <c r="O198" s="9">
        <v>1</v>
      </c>
    </row>
    <row r="199" spans="1:17" s="9" customFormat="1" x14ac:dyDescent="0.25">
      <c r="A199" s="9">
        <v>8003879954</v>
      </c>
      <c r="B199" s="9">
        <v>2</v>
      </c>
      <c r="C199" s="9">
        <v>8012018</v>
      </c>
      <c r="D199" s="9">
        <v>345</v>
      </c>
      <c r="E199" s="9" t="s">
        <v>51</v>
      </c>
      <c r="F199" s="9">
        <v>9938</v>
      </c>
      <c r="G199" s="13" t="s">
        <v>358</v>
      </c>
      <c r="H199" s="10">
        <v>1800</v>
      </c>
      <c r="I199" s="9" t="s">
        <v>26</v>
      </c>
      <c r="J199" s="10">
        <v>427427.25</v>
      </c>
      <c r="K199" s="9" t="s">
        <v>27</v>
      </c>
      <c r="L199" s="9">
        <v>183524</v>
      </c>
      <c r="M199" s="9" t="s">
        <v>359</v>
      </c>
      <c r="O199" s="9">
        <v>1</v>
      </c>
      <c r="P199" s="9" t="s">
        <v>360</v>
      </c>
      <c r="Q199" s="9" t="s">
        <v>352</v>
      </c>
    </row>
    <row r="200" spans="1:17" s="9" customFormat="1" x14ac:dyDescent="0.25">
      <c r="A200" s="9">
        <v>8003879954</v>
      </c>
      <c r="B200" s="9">
        <v>1</v>
      </c>
      <c r="C200" s="9">
        <v>8012018</v>
      </c>
      <c r="D200" s="9">
        <v>345</v>
      </c>
      <c r="E200" s="9" t="s">
        <v>51</v>
      </c>
      <c r="F200" s="9">
        <v>9938</v>
      </c>
      <c r="G200" s="13" t="s">
        <v>361</v>
      </c>
      <c r="H200" s="10">
        <v>2295</v>
      </c>
      <c r="I200" s="9" t="s">
        <v>26</v>
      </c>
      <c r="J200" s="10">
        <v>429227.25</v>
      </c>
      <c r="K200" s="9" t="s">
        <v>27</v>
      </c>
      <c r="L200" s="9">
        <v>183524</v>
      </c>
      <c r="M200" s="9" t="s">
        <v>362</v>
      </c>
      <c r="O200" s="9">
        <v>1</v>
      </c>
      <c r="P200" s="9" t="s">
        <v>363</v>
      </c>
      <c r="Q200" s="9" t="s">
        <v>352</v>
      </c>
    </row>
    <row r="201" spans="1:17" s="9" customFormat="1" x14ac:dyDescent="0.25">
      <c r="A201" s="9">
        <v>8003879954</v>
      </c>
      <c r="B201" s="9">
        <v>13</v>
      </c>
      <c r="C201" s="9">
        <v>5012018</v>
      </c>
      <c r="D201" s="9">
        <v>299</v>
      </c>
      <c r="E201" s="9" t="s">
        <v>30</v>
      </c>
      <c r="G201" s="13"/>
      <c r="H201" s="10">
        <v>0.03</v>
      </c>
      <c r="I201" s="9" t="s">
        <v>26</v>
      </c>
      <c r="J201" s="10">
        <v>431522.25</v>
      </c>
      <c r="K201" s="9" t="s">
        <v>27</v>
      </c>
      <c r="L201" s="9">
        <v>5700</v>
      </c>
      <c r="M201" s="9" t="s">
        <v>32</v>
      </c>
      <c r="O201" s="9">
        <v>1</v>
      </c>
    </row>
    <row r="202" spans="1:17" s="9" customFormat="1" x14ac:dyDescent="0.25">
      <c r="A202" s="9">
        <v>8003879954</v>
      </c>
      <c r="B202" s="9">
        <v>12</v>
      </c>
      <c r="C202" s="9">
        <v>5012018</v>
      </c>
      <c r="D202" s="9">
        <v>819</v>
      </c>
      <c r="E202" s="9" t="s">
        <v>35</v>
      </c>
      <c r="G202" s="13"/>
      <c r="H202" s="10">
        <v>0.5</v>
      </c>
      <c r="I202" s="9" t="s">
        <v>26</v>
      </c>
      <c r="J202" s="10">
        <v>431522.28</v>
      </c>
      <c r="K202" s="9" t="s">
        <v>27</v>
      </c>
      <c r="L202" s="9">
        <v>5700</v>
      </c>
      <c r="M202" s="9" t="s">
        <v>32</v>
      </c>
      <c r="O202" s="9">
        <v>1</v>
      </c>
    </row>
    <row r="203" spans="1:17" s="9" customFormat="1" x14ac:dyDescent="0.25">
      <c r="A203" s="9">
        <v>8003879954</v>
      </c>
      <c r="B203" s="9">
        <v>11</v>
      </c>
      <c r="C203" s="9">
        <v>5012018</v>
      </c>
      <c r="D203" s="9">
        <v>299</v>
      </c>
      <c r="E203" s="9" t="s">
        <v>30</v>
      </c>
      <c r="G203" s="13"/>
      <c r="H203" s="10">
        <v>0.06</v>
      </c>
      <c r="I203" s="9" t="s">
        <v>26</v>
      </c>
      <c r="J203" s="10">
        <v>431522.78</v>
      </c>
      <c r="K203" s="9" t="s">
        <v>27</v>
      </c>
      <c r="L203" s="9">
        <v>5700</v>
      </c>
      <c r="M203" s="9" t="s">
        <v>32</v>
      </c>
      <c r="O203" s="9">
        <v>1</v>
      </c>
    </row>
    <row r="204" spans="1:17" s="9" customFormat="1" x14ac:dyDescent="0.25">
      <c r="A204" s="9">
        <v>8003879954</v>
      </c>
      <c r="B204" s="9">
        <v>10</v>
      </c>
      <c r="C204" s="9">
        <v>5012018</v>
      </c>
      <c r="D204" s="9">
        <v>819</v>
      </c>
      <c r="E204" s="9" t="s">
        <v>35</v>
      </c>
      <c r="G204" s="13"/>
      <c r="H204" s="10">
        <v>1</v>
      </c>
      <c r="I204" s="9" t="s">
        <v>26</v>
      </c>
      <c r="J204" s="10">
        <v>431522.84</v>
      </c>
      <c r="K204" s="9" t="s">
        <v>27</v>
      </c>
      <c r="L204" s="9">
        <v>5700</v>
      </c>
      <c r="M204" s="9" t="s">
        <v>32</v>
      </c>
      <c r="O204" s="9">
        <v>1</v>
      </c>
    </row>
    <row r="205" spans="1:17" s="9" customFormat="1" x14ac:dyDescent="0.25">
      <c r="A205" s="9">
        <v>8003879954</v>
      </c>
      <c r="B205" s="9">
        <v>9</v>
      </c>
      <c r="C205" s="9">
        <v>5012018</v>
      </c>
      <c r="D205" s="9">
        <v>323</v>
      </c>
      <c r="E205" s="9" t="s">
        <v>50</v>
      </c>
      <c r="F205" s="9">
        <v>0</v>
      </c>
      <c r="G205" s="13" t="s">
        <v>364</v>
      </c>
      <c r="H205" s="10">
        <v>170</v>
      </c>
      <c r="I205" s="9" t="s">
        <v>26</v>
      </c>
      <c r="J205" s="10">
        <v>431523.84000000003</v>
      </c>
      <c r="K205" s="9" t="s">
        <v>27</v>
      </c>
      <c r="L205" s="9">
        <v>5544</v>
      </c>
      <c r="M205" s="9" t="s">
        <v>32</v>
      </c>
      <c r="O205" s="9">
        <v>1</v>
      </c>
    </row>
    <row r="206" spans="1:17" s="9" customFormat="1" x14ac:dyDescent="0.25">
      <c r="A206" s="9">
        <v>8003879954</v>
      </c>
      <c r="B206" s="9">
        <v>8</v>
      </c>
      <c r="C206" s="9">
        <v>5012018</v>
      </c>
      <c r="D206" s="9">
        <v>323</v>
      </c>
      <c r="E206" s="9" t="s">
        <v>50</v>
      </c>
      <c r="F206" s="9">
        <v>0</v>
      </c>
      <c r="G206" s="13" t="s">
        <v>365</v>
      </c>
      <c r="H206" s="10">
        <v>10667.84</v>
      </c>
      <c r="I206" s="9" t="s">
        <v>26</v>
      </c>
      <c r="J206" s="10">
        <v>431693.84</v>
      </c>
      <c r="K206" s="9" t="s">
        <v>27</v>
      </c>
      <c r="L206" s="9">
        <v>5544</v>
      </c>
      <c r="M206" s="9" t="s">
        <v>32</v>
      </c>
      <c r="O206" s="9">
        <v>1</v>
      </c>
    </row>
    <row r="207" spans="1:17" s="9" customFormat="1" x14ac:dyDescent="0.25">
      <c r="A207" s="9">
        <v>8003879954</v>
      </c>
      <c r="B207" s="9">
        <v>7</v>
      </c>
      <c r="C207" s="9">
        <v>5012018</v>
      </c>
      <c r="D207" s="9">
        <v>321</v>
      </c>
      <c r="E207" s="9" t="s">
        <v>36</v>
      </c>
      <c r="F207" s="9">
        <v>0</v>
      </c>
      <c r="G207" s="13" t="s">
        <v>366</v>
      </c>
      <c r="H207" s="10">
        <v>499.7</v>
      </c>
      <c r="I207" s="9" t="s">
        <v>26</v>
      </c>
      <c r="J207" s="10">
        <v>442361.68</v>
      </c>
      <c r="K207" s="9" t="s">
        <v>27</v>
      </c>
      <c r="L207" s="9">
        <v>5544</v>
      </c>
      <c r="M207" s="9" t="s">
        <v>32</v>
      </c>
      <c r="O207" s="9">
        <v>1</v>
      </c>
    </row>
    <row r="208" spans="1:17" s="9" customFormat="1" x14ac:dyDescent="0.25">
      <c r="A208" s="9">
        <v>8003879954</v>
      </c>
      <c r="B208" s="9">
        <v>6</v>
      </c>
      <c r="C208" s="9">
        <v>5012018</v>
      </c>
      <c r="D208" s="9">
        <v>345</v>
      </c>
      <c r="E208" s="9" t="s">
        <v>51</v>
      </c>
      <c r="F208" s="9">
        <v>9938</v>
      </c>
      <c r="G208" s="13" t="s">
        <v>367</v>
      </c>
      <c r="H208" s="10">
        <v>3063</v>
      </c>
      <c r="I208" s="9" t="s">
        <v>26</v>
      </c>
      <c r="J208" s="10">
        <v>442861.38</v>
      </c>
      <c r="K208" s="9" t="s">
        <v>27</v>
      </c>
      <c r="L208" s="9">
        <v>183755</v>
      </c>
      <c r="M208" s="9" t="s">
        <v>368</v>
      </c>
      <c r="O208" s="9">
        <v>1</v>
      </c>
      <c r="P208" s="9" t="s">
        <v>369</v>
      </c>
      <c r="Q208" s="9" t="s">
        <v>370</v>
      </c>
    </row>
    <row r="209" spans="1:18" s="9" customFormat="1" x14ac:dyDescent="0.25">
      <c r="A209" s="9">
        <v>8003879954</v>
      </c>
      <c r="B209" s="9">
        <v>5</v>
      </c>
      <c r="C209" s="9">
        <v>5012018</v>
      </c>
      <c r="D209" s="9">
        <v>341</v>
      </c>
      <c r="E209" s="9" t="s">
        <v>25</v>
      </c>
      <c r="F209" s="9">
        <v>9938</v>
      </c>
      <c r="G209" s="13" t="s">
        <v>371</v>
      </c>
      <c r="H209" s="10">
        <v>7730</v>
      </c>
      <c r="I209" s="9" t="s">
        <v>26</v>
      </c>
      <c r="J209" s="10">
        <v>445924.38</v>
      </c>
      <c r="K209" s="9" t="s">
        <v>27</v>
      </c>
      <c r="L209" s="9">
        <v>183754</v>
      </c>
      <c r="M209" s="9" t="s">
        <v>342</v>
      </c>
      <c r="O209" s="9">
        <v>1</v>
      </c>
      <c r="P209" s="9" t="s">
        <v>372</v>
      </c>
      <c r="Q209" s="9" t="s">
        <v>373</v>
      </c>
    </row>
    <row r="210" spans="1:18" s="9" customFormat="1" x14ac:dyDescent="0.25">
      <c r="A210" s="9">
        <v>8003879954</v>
      </c>
      <c r="B210" s="9">
        <v>4</v>
      </c>
      <c r="C210" s="9">
        <v>5012018</v>
      </c>
      <c r="D210" s="9">
        <v>299</v>
      </c>
      <c r="E210" s="9" t="s">
        <v>30</v>
      </c>
      <c r="F210" s="9">
        <v>9938</v>
      </c>
      <c r="G210" s="13" t="s">
        <v>371</v>
      </c>
      <c r="H210" s="10">
        <v>0.01</v>
      </c>
      <c r="I210" s="9" t="s">
        <v>26</v>
      </c>
      <c r="J210" s="10">
        <v>453654.38</v>
      </c>
      <c r="K210" s="9" t="s">
        <v>27</v>
      </c>
      <c r="L210" s="9">
        <v>183754</v>
      </c>
      <c r="M210" s="9" t="s">
        <v>374</v>
      </c>
      <c r="O210" s="9">
        <v>1</v>
      </c>
    </row>
    <row r="211" spans="1:18" s="9" customFormat="1" x14ac:dyDescent="0.25">
      <c r="A211" s="9">
        <v>8003879954</v>
      </c>
      <c r="B211" s="9">
        <v>3</v>
      </c>
      <c r="C211" s="9">
        <v>5012018</v>
      </c>
      <c r="D211" s="9">
        <v>489</v>
      </c>
      <c r="E211" s="9" t="s">
        <v>31</v>
      </c>
      <c r="F211" s="9">
        <v>9938</v>
      </c>
      <c r="G211" s="13" t="s">
        <v>371</v>
      </c>
      <c r="H211" s="10">
        <v>0.1</v>
      </c>
      <c r="I211" s="9" t="s">
        <v>26</v>
      </c>
      <c r="J211" s="10">
        <v>453654.39</v>
      </c>
      <c r="K211" s="9" t="s">
        <v>27</v>
      </c>
      <c r="L211" s="9">
        <v>183754</v>
      </c>
      <c r="M211" s="9" t="s">
        <v>374</v>
      </c>
      <c r="O211" s="9">
        <v>1</v>
      </c>
    </row>
    <row r="212" spans="1:18" s="9" customFormat="1" x14ac:dyDescent="0.25">
      <c r="A212" s="9">
        <v>8003879954</v>
      </c>
      <c r="B212" s="9">
        <v>2</v>
      </c>
      <c r="C212" s="9">
        <v>5012018</v>
      </c>
      <c r="D212" s="9">
        <v>60</v>
      </c>
      <c r="E212" s="9" t="s">
        <v>37</v>
      </c>
      <c r="F212" s="9">
        <v>9938</v>
      </c>
      <c r="G212" s="13" t="s">
        <v>375</v>
      </c>
      <c r="H212" s="10">
        <v>306</v>
      </c>
      <c r="I212" s="9" t="s">
        <v>26</v>
      </c>
      <c r="J212" s="10">
        <v>453654.49</v>
      </c>
      <c r="K212" s="9" t="s">
        <v>27</v>
      </c>
      <c r="L212" s="9">
        <v>183753</v>
      </c>
      <c r="M212" s="9" t="s">
        <v>376</v>
      </c>
      <c r="O212" s="9">
        <v>1</v>
      </c>
      <c r="P212" s="9" t="s">
        <v>377</v>
      </c>
      <c r="Q212" s="9" t="s">
        <v>378</v>
      </c>
    </row>
    <row r="213" spans="1:18" s="9" customFormat="1" x14ac:dyDescent="0.25">
      <c r="A213" s="9">
        <v>8003879954</v>
      </c>
      <c r="B213" s="9">
        <v>1</v>
      </c>
      <c r="C213" s="9">
        <v>5012018</v>
      </c>
      <c r="D213" s="9">
        <v>5</v>
      </c>
      <c r="E213" s="9" t="s">
        <v>54</v>
      </c>
      <c r="G213" s="13"/>
      <c r="H213" s="10">
        <v>361300</v>
      </c>
      <c r="I213" s="9" t="s">
        <v>27</v>
      </c>
      <c r="J213" s="10">
        <v>453960.49</v>
      </c>
      <c r="K213" s="9" t="s">
        <v>27</v>
      </c>
      <c r="L213" s="9">
        <v>91220</v>
      </c>
      <c r="M213" s="9" t="s">
        <v>379</v>
      </c>
      <c r="O213" s="9">
        <v>1</v>
      </c>
      <c r="P213" s="9" t="s">
        <v>380</v>
      </c>
      <c r="Q213" s="9" t="s">
        <v>381</v>
      </c>
      <c r="R213" s="9" t="s">
        <v>382</v>
      </c>
    </row>
    <row r="214" spans="1:18" s="9" customFormat="1" x14ac:dyDescent="0.25">
      <c r="A214" s="9">
        <v>8003879954</v>
      </c>
      <c r="B214" s="9">
        <v>1</v>
      </c>
      <c r="C214" s="9">
        <v>4012018</v>
      </c>
      <c r="D214" s="9">
        <v>174</v>
      </c>
      <c r="E214" s="9" t="s">
        <v>159</v>
      </c>
      <c r="F214" s="9">
        <v>2001</v>
      </c>
      <c r="G214" s="13" t="s">
        <v>383</v>
      </c>
      <c r="H214" s="10">
        <v>50000</v>
      </c>
      <c r="I214" s="9" t="s">
        <v>27</v>
      </c>
      <c r="J214" s="10">
        <v>92660.49</v>
      </c>
      <c r="K214" s="9" t="s">
        <v>27</v>
      </c>
      <c r="L214" s="9">
        <v>191246</v>
      </c>
      <c r="M214" s="9" t="s">
        <v>176</v>
      </c>
      <c r="O214" s="9">
        <v>1</v>
      </c>
      <c r="P214" s="9" t="s">
        <v>176</v>
      </c>
      <c r="R214" s="9" t="s">
        <v>55</v>
      </c>
    </row>
    <row r="215" spans="1:18" x14ac:dyDescent="0.25">
      <c r="M215" s="1" t="str">
        <f>"PGTEFT2816          OCT2017"</f>
        <v>PGTEFT2816          OCT2017</v>
      </c>
      <c r="O215" s="1">
        <v>1</v>
      </c>
    </row>
    <row r="216" spans="1:18" x14ac:dyDescent="0.25">
      <c r="M216" s="1" t="str">
        <f>"MAJLIS KEBUDAYAAN NE"</f>
        <v>MAJLIS KEBUDAYAAN NE</v>
      </c>
      <c r="O216" s="1">
        <v>1</v>
      </c>
      <c r="P216" s="1" t="str">
        <f>"PGTEFT2808"</f>
        <v>PGTEFT2808</v>
      </c>
      <c r="Q216" s="1" t="str">
        <f>"KKNPP-2017-02-32"</f>
        <v>KKNPP-2017-02-32</v>
      </c>
    </row>
    <row r="217" spans="1:18" x14ac:dyDescent="0.25">
      <c r="M217" s="1" t="str">
        <f>"PGTEFT2808          KKNPP-2017-02-32"</f>
        <v>PGTEFT2808          KKNPP-2017-02-32</v>
      </c>
      <c r="O217" s="1">
        <v>1</v>
      </c>
    </row>
    <row r="218" spans="1:18" x14ac:dyDescent="0.25">
      <c r="M218" s="1" t="str">
        <f>"PGTEFT2808          KKNPP-2017-02-32"</f>
        <v>PGTEFT2808          KKNPP-2017-02-32</v>
      </c>
      <c r="O218" s="1">
        <v>1</v>
      </c>
    </row>
    <row r="219" spans="1:18" x14ac:dyDescent="0.25">
      <c r="M219" s="1" t="str">
        <f>"LIANG CHOW MING"</f>
        <v>LIANG CHOW MING</v>
      </c>
      <c r="O219" s="1">
        <v>1</v>
      </c>
      <c r="P219" s="1" t="str">
        <f>"PGTEFT2806"</f>
        <v>PGTEFT2806</v>
      </c>
      <c r="Q219" s="1" t="str">
        <f>"INV19549-19554"</f>
        <v>INV19549-19554</v>
      </c>
    </row>
    <row r="220" spans="1:18" x14ac:dyDescent="0.25">
      <c r="M220" s="1" t="str">
        <f>"PGTEFT2806          INV19549-19554"</f>
        <v>PGTEFT2806          INV19549-19554</v>
      </c>
      <c r="O220" s="1">
        <v>1</v>
      </c>
    </row>
    <row r="221" spans="1:18" x14ac:dyDescent="0.25">
      <c r="M221" s="1" t="str">
        <f>"PGTEFT2806          INV19549-19554"</f>
        <v>PGTEFT2806          INV19549-19554</v>
      </c>
      <c r="O221" s="1">
        <v>1</v>
      </c>
    </row>
    <row r="222" spans="1:18" x14ac:dyDescent="0.25">
      <c r="M222" s="1" t="str">
        <f>"NORIZEIGHT VENTURES"</f>
        <v>NORIZEIGHT VENTURES</v>
      </c>
      <c r="O222" s="1">
        <v>1</v>
      </c>
      <c r="P222" s="1" t="str">
        <f>"PGTEFT2810"</f>
        <v>PGTEFT2810</v>
      </c>
      <c r="Q222" s="1" t="str">
        <f>"NV2230"</f>
        <v>NV2230</v>
      </c>
    </row>
    <row r="223" spans="1:18" x14ac:dyDescent="0.25">
      <c r="M223" s="1" t="str">
        <f>"PGTEFT2810          NV2230"</f>
        <v>PGTEFT2810          NV2230</v>
      </c>
      <c r="O223" s="1">
        <v>1</v>
      </c>
    </row>
    <row r="224" spans="1:18" x14ac:dyDescent="0.25">
      <c r="M224" s="1" t="str">
        <f>"PGTEFT2810          NV2230"</f>
        <v>PGTEFT2810          NV2230</v>
      </c>
      <c r="O224" s="1">
        <v>1</v>
      </c>
    </row>
    <row r="225" spans="13:17" x14ac:dyDescent="0.25">
      <c r="M225" s="1" t="str">
        <f>"LIM WOOI HONG"</f>
        <v>LIM WOOI HONG</v>
      </c>
      <c r="O225" s="1">
        <v>1</v>
      </c>
      <c r="P225" s="1" t="str">
        <f>"PGTEFT2807"</f>
        <v>PGTEFT2807</v>
      </c>
      <c r="Q225" s="1" t="str">
        <f>"INV0003-0006"</f>
        <v>INV0003-0006</v>
      </c>
    </row>
    <row r="226" spans="13:17" x14ac:dyDescent="0.25">
      <c r="M226" s="1" t="str">
        <f>"PGTEFT2807          INV0003-0006"</f>
        <v>PGTEFT2807          INV0003-0006</v>
      </c>
      <c r="O226" s="1">
        <v>1</v>
      </c>
    </row>
    <row r="227" spans="13:17" x14ac:dyDescent="0.25">
      <c r="M227" s="1" t="str">
        <f>"PGTEFT2807          INV0003-0006"</f>
        <v>PGTEFT2807          INV0003-0006</v>
      </c>
      <c r="O227" s="1">
        <v>1</v>
      </c>
    </row>
    <row r="228" spans="13:17" x14ac:dyDescent="0.25">
      <c r="M228" s="1" t="str">
        <f>"KDU COLLEGE (PG) SDN"</f>
        <v>KDU COLLEGE (PG) SDN</v>
      </c>
      <c r="O228" s="1">
        <v>1</v>
      </c>
      <c r="P228" s="1" t="str">
        <f>"PGTEFT2805"</f>
        <v>PGTEFT2805</v>
      </c>
      <c r="Q228" s="1" t="str">
        <f>"PCET SUBSIDY"</f>
        <v>PCET SUBSIDY</v>
      </c>
    </row>
    <row r="229" spans="13:17" x14ac:dyDescent="0.25">
      <c r="M229" s="1" t="str">
        <f>"PGTEFT2805          PCET SUBSIDY"</f>
        <v>PGTEFT2805          PCET SUBSIDY</v>
      </c>
      <c r="O229" s="1">
        <v>1</v>
      </c>
    </row>
    <row r="230" spans="13:17" x14ac:dyDescent="0.25">
      <c r="M230" s="1" t="str">
        <f>"PGTEFT2805          PCET SUBSIDY"</f>
        <v>PGTEFT2805          PCET SUBSIDY</v>
      </c>
      <c r="O230" s="1">
        <v>1</v>
      </c>
    </row>
    <row r="231" spans="13:17" x14ac:dyDescent="0.25">
      <c r="M231" s="1" t="str">
        <f>"METRO GREEN ADVENTUR"</f>
        <v>METRO GREEN ADVENTUR</v>
      </c>
      <c r="O231" s="1">
        <v>1</v>
      </c>
      <c r="P231" s="1" t="str">
        <f>"PGTEFT2809"</f>
        <v>PGTEFT2809</v>
      </c>
      <c r="Q231" s="1" t="str">
        <f>"20171031 120171109"</f>
        <v>20171031 120171109</v>
      </c>
    </row>
    <row r="232" spans="13:17" x14ac:dyDescent="0.25">
      <c r="M232" s="1" t="str">
        <f>"PGTEFT2809          20171031 120171109"</f>
        <v>PGTEFT2809          20171031 120171109</v>
      </c>
      <c r="O232" s="1">
        <v>1</v>
      </c>
    </row>
    <row r="233" spans="13:17" x14ac:dyDescent="0.25">
      <c r="M233" s="1" t="str">
        <f>"PGTEFT2809          20171031 120171109"</f>
        <v>PGTEFT2809          20171031 120171109</v>
      </c>
      <c r="O233" s="1">
        <v>1</v>
      </c>
    </row>
    <row r="234" spans="13:17" x14ac:dyDescent="0.25">
      <c r="M234" s="1" t="str">
        <f>"LED DEC'17 PERFORMANCE PLUS MA"</f>
        <v>LED DEC'17 PERFORMANCE PLUS MA</v>
      </c>
      <c r="O234" s="1">
        <v>1</v>
      </c>
      <c r="P234" s="1" t="str">
        <f>"PGTEFT2811"</f>
        <v>PGTEFT2811</v>
      </c>
      <c r="Q234" s="1" t="str">
        <f>"PPM17-12-02 03"</f>
        <v>PPM17-12-02 03</v>
      </c>
    </row>
    <row r="235" spans="13:17" x14ac:dyDescent="0.25">
      <c r="M235" s="1" t="str">
        <f>"HG LIM ELECTRICAL EN"</f>
        <v>HG LIM ELECTRICAL EN</v>
      </c>
      <c r="O235" s="1">
        <v>1</v>
      </c>
      <c r="P235" s="1" t="str">
        <f>"PGTEFT2800"</f>
        <v>PGTEFT2800</v>
      </c>
      <c r="Q235" s="1" t="str">
        <f>"HG-1153-11-17"</f>
        <v>HG-1153-11-17</v>
      </c>
    </row>
    <row r="236" spans="13:17" x14ac:dyDescent="0.25">
      <c r="M236" s="1" t="str">
        <f>"PGTEFT2800          HG-1153-11-17"</f>
        <v>PGTEFT2800          HG-1153-11-17</v>
      </c>
      <c r="O236" s="1">
        <v>1</v>
      </c>
    </row>
    <row r="237" spans="13:17" x14ac:dyDescent="0.25">
      <c r="M237" s="1" t="str">
        <f>"PGTEFT2800          HG-1153-11-17"</f>
        <v>PGTEFT2800          HG-1153-11-17</v>
      </c>
      <c r="O237" s="1">
        <v>1</v>
      </c>
    </row>
    <row r="238" spans="13:17" x14ac:dyDescent="0.25">
      <c r="M238" s="1" t="str">
        <f>"01419141217T5027                       D"</f>
        <v>01419141217T5027                       D</v>
      </c>
      <c r="O238" s="1">
        <v>1</v>
      </c>
    </row>
    <row r="239" spans="13:17" x14ac:dyDescent="0.25">
      <c r="M239" s="1" t="str">
        <f>"01419141217T5027                       D"</f>
        <v>01419141217T5027                       D</v>
      </c>
      <c r="O239" s="1">
        <v>1</v>
      </c>
    </row>
    <row r="240" spans="13:17" x14ac:dyDescent="0.25">
      <c r="M240" s="1" t="str">
        <f>"01419141217T5027                       D"</f>
        <v>01419141217T5027                       D</v>
      </c>
      <c r="O240" s="1">
        <v>1</v>
      </c>
    </row>
    <row r="241" spans="13:18" x14ac:dyDescent="0.25">
      <c r="M241" s="1" t="str">
        <f>""</f>
        <v/>
      </c>
      <c r="O241" s="1">
        <v>1</v>
      </c>
    </row>
    <row r="242" spans="13:18" x14ac:dyDescent="0.25">
      <c r="M242" s="1" t="str">
        <f>""</f>
        <v/>
      </c>
      <c r="O242" s="1">
        <v>1</v>
      </c>
    </row>
    <row r="243" spans="13:18" x14ac:dyDescent="0.25">
      <c r="M243" s="1" t="str">
        <f>""</f>
        <v/>
      </c>
      <c r="O243" s="1">
        <v>1</v>
      </c>
    </row>
    <row r="244" spans="13:18" x14ac:dyDescent="0.25">
      <c r="M244" s="1" t="str">
        <f>""</f>
        <v/>
      </c>
      <c r="O244" s="1">
        <v>1</v>
      </c>
    </row>
    <row r="245" spans="13:18" x14ac:dyDescent="0.25">
      <c r="M245" s="1" t="str">
        <f>""</f>
        <v/>
      </c>
      <c r="O245" s="1">
        <v>1</v>
      </c>
    </row>
    <row r="246" spans="13:18" x14ac:dyDescent="0.25">
      <c r="M246" s="1" t="str">
        <f>""</f>
        <v/>
      </c>
      <c r="O246" s="1">
        <v>1</v>
      </c>
    </row>
    <row r="247" spans="13:18" x14ac:dyDescent="0.25">
      <c r="M247" s="1" t="str">
        <f>"00722121217T5411                       H"</f>
        <v>00722121217T5411                       H</v>
      </c>
      <c r="O247" s="1">
        <v>1</v>
      </c>
    </row>
    <row r="248" spans="13:18" x14ac:dyDescent="0.25">
      <c r="M248" s="1" t="str">
        <f>"00722121217T5411                       H"</f>
        <v>00722121217T5411                       H</v>
      </c>
      <c r="O248" s="1">
        <v>1</v>
      </c>
    </row>
    <row r="249" spans="13:18" x14ac:dyDescent="0.25">
      <c r="M249" s="1" t="str">
        <f>"00722121217T5411                       H"</f>
        <v>00722121217T5411                       H</v>
      </c>
      <c r="O249" s="1">
        <v>1</v>
      </c>
    </row>
    <row r="250" spans="13:18" x14ac:dyDescent="0.25">
      <c r="M250" s="1" t="str">
        <f>"/ROC/KLMP0025567RES RHB ASSET MANAGEMENT"</f>
        <v>/ROC/KLMP0025567RES RHB ASSET MANAGEMENT</v>
      </c>
      <c r="O250" s="1">
        <v>1</v>
      </c>
      <c r="P250" s="1" t="str">
        <f>"KLMP0025567"</f>
        <v>KLMP0025567</v>
      </c>
      <c r="Q250" s="1" t="str">
        <f>"RESIDENT"</f>
        <v>RESIDENT</v>
      </c>
      <c r="R250" s="1" t="str">
        <f>"RHB ASSET MANAGEMENT"</f>
        <v>RHB ASSET MANAGEMENT</v>
      </c>
    </row>
    <row r="251" spans="13:18" x14ac:dyDescent="0.25">
      <c r="M251" s="1" t="str">
        <f>""</f>
        <v/>
      </c>
      <c r="O251" s="1">
        <v>1</v>
      </c>
    </row>
    <row r="252" spans="13:18" x14ac:dyDescent="0.25">
      <c r="M252" s="1" t="str">
        <f>""</f>
        <v/>
      </c>
      <c r="O252" s="1">
        <v>1</v>
      </c>
    </row>
    <row r="253" spans="13:18" x14ac:dyDescent="0.25">
      <c r="M253" s="1" t="str">
        <f>""</f>
        <v/>
      </c>
      <c r="O253" s="1">
        <v>1</v>
      </c>
    </row>
    <row r="254" spans="13:18" x14ac:dyDescent="0.25">
      <c r="M254" s="1" t="str">
        <f>"RICKVEEN SINGH A/L H"</f>
        <v>RICKVEEN SINGH A/L H</v>
      </c>
      <c r="O254" s="1">
        <v>1</v>
      </c>
      <c r="P254" s="1" t="str">
        <f>"PGTEFT2789"</f>
        <v>PGTEFT2789</v>
      </c>
      <c r="Q254" s="1" t="str">
        <f>"WELCOMING RECEPTION"</f>
        <v>WELCOMING RECEPTION</v>
      </c>
    </row>
    <row r="255" spans="13:18" x14ac:dyDescent="0.25">
      <c r="M255" s="1" t="str">
        <f>"PGTEFT2789          WELCOMING RECEPTION"</f>
        <v>PGTEFT2789          WELCOMING RECEPTION</v>
      </c>
      <c r="O255" s="1">
        <v>1</v>
      </c>
    </row>
    <row r="256" spans="13:18" x14ac:dyDescent="0.25">
      <c r="M256" s="1" t="str">
        <f>"PGTEFT2789          WELCOMING RECEPTION"</f>
        <v>PGTEFT2789          WELCOMING RECEPTION</v>
      </c>
      <c r="O256" s="1">
        <v>1</v>
      </c>
    </row>
    <row r="257" spans="13:18" x14ac:dyDescent="0.25">
      <c r="M257" s="1" t="str">
        <f>"PCET PIEF MARY ANN HARRIS"</f>
        <v>PCET PIEF MARY ANN HARRIS</v>
      </c>
      <c r="O257" s="1">
        <v>1</v>
      </c>
      <c r="P257" s="1" t="str">
        <f>"PGTEFT2787"</f>
        <v>PGTEFT2787</v>
      </c>
      <c r="Q257" s="1" t="str">
        <f>"CLAIMS"</f>
        <v>CLAIMS</v>
      </c>
    </row>
    <row r="258" spans="13:18" x14ac:dyDescent="0.25">
      <c r="M258" s="1" t="str">
        <f>"NORIZEIGHT VENTURES"</f>
        <v>NORIZEIGHT VENTURES</v>
      </c>
      <c r="O258" s="1">
        <v>1</v>
      </c>
      <c r="P258" s="1" t="str">
        <f>"PGTEFT2788"</f>
        <v>PGTEFT2788</v>
      </c>
      <c r="Q258" s="1" t="str">
        <f>"NV2288"</f>
        <v>NV2288</v>
      </c>
    </row>
    <row r="259" spans="13:18" x14ac:dyDescent="0.25">
      <c r="M259" s="1" t="str">
        <f>"PGTEFT2788          NV2288"</f>
        <v>PGTEFT2788          NV2288</v>
      </c>
      <c r="O259" s="1">
        <v>1</v>
      </c>
    </row>
    <row r="260" spans="13:18" x14ac:dyDescent="0.25">
      <c r="M260" s="1" t="str">
        <f>"PGTEFT2788          NV2288"</f>
        <v>PGTEFT2788          NV2288</v>
      </c>
      <c r="O260" s="1">
        <v>1</v>
      </c>
    </row>
    <row r="261" spans="13:18" x14ac:dyDescent="0.25">
      <c r="M261" s="1" t="str">
        <f>"ALLOWANCE FOR RELA AZFALYZA BINTI ABDU"</f>
        <v>ALLOWANCE FOR RELA AZFALYZA BINTI ABDU</v>
      </c>
      <c r="O261" s="1">
        <v>1</v>
      </c>
      <c r="P261" s="1" t="str">
        <f>"PGTEFT2790"</f>
        <v>PGTEFT2790</v>
      </c>
      <c r="Q261" s="1" t="str">
        <f>"ADVANCE"</f>
        <v>ADVANCE</v>
      </c>
    </row>
    <row r="262" spans="13:18" x14ac:dyDescent="0.25">
      <c r="M262" s="1" t="str">
        <f>""</f>
        <v/>
      </c>
      <c r="O262" s="1">
        <v>1</v>
      </c>
    </row>
    <row r="263" spans="13:18" x14ac:dyDescent="0.25">
      <c r="M263" s="1" t="str">
        <f>""</f>
        <v/>
      </c>
      <c r="O263" s="1">
        <v>1</v>
      </c>
    </row>
    <row r="264" spans="13:18" x14ac:dyDescent="0.25">
      <c r="M264" s="1" t="str">
        <f>""</f>
        <v/>
      </c>
      <c r="O264" s="1">
        <v>1</v>
      </c>
    </row>
    <row r="265" spans="13:18" x14ac:dyDescent="0.25">
      <c r="M265" s="1" t="str">
        <f>""</f>
        <v/>
      </c>
      <c r="O265" s="1">
        <v>1</v>
      </c>
    </row>
    <row r="266" spans="13:18" x14ac:dyDescent="0.25">
      <c r="M266" s="1" t="str">
        <f>""</f>
        <v/>
      </c>
      <c r="O266" s="1">
        <v>1</v>
      </c>
    </row>
    <row r="267" spans="13:18" x14ac:dyDescent="0.25">
      <c r="M267" s="1" t="str">
        <f>""</f>
        <v/>
      </c>
      <c r="O267" s="1">
        <v>1</v>
      </c>
    </row>
    <row r="268" spans="13:18" x14ac:dyDescent="0.25">
      <c r="M268" s="1" t="str">
        <f>""</f>
        <v/>
      </c>
      <c r="O268" s="1">
        <v>1</v>
      </c>
    </row>
    <row r="269" spans="13:18" x14ac:dyDescent="0.25">
      <c r="M269" s="1" t="str">
        <f>""</f>
        <v/>
      </c>
      <c r="O269" s="1">
        <v>1</v>
      </c>
    </row>
    <row r="270" spans="13:18" x14ac:dyDescent="0.25">
      <c r="M270" s="1" t="str">
        <f>""</f>
        <v/>
      </c>
      <c r="O270" s="1">
        <v>1</v>
      </c>
    </row>
    <row r="271" spans="13:18" x14ac:dyDescent="0.25">
      <c r="M271" s="1" t="str">
        <f>""</f>
        <v/>
      </c>
      <c r="O271" s="1">
        <v>1</v>
      </c>
      <c r="P271" s="1" t="str">
        <f>"Advance Cash Return"</f>
        <v>Advance Cash Return</v>
      </c>
      <c r="Q271" s="1" t="str">
        <f>"Taipei Expenses"</f>
        <v>Taipei Expenses</v>
      </c>
      <c r="R271" s="1" t="str">
        <f>"JOANNE KHOO ROU YAN"</f>
        <v>JOANNE KHOO ROU YAN</v>
      </c>
    </row>
    <row r="272" spans="13:18" x14ac:dyDescent="0.25">
      <c r="M272" s="1" t="str">
        <f>""</f>
        <v/>
      </c>
      <c r="O272" s="1">
        <v>1</v>
      </c>
    </row>
    <row r="273" spans="13:18" x14ac:dyDescent="0.25">
      <c r="M273" s="1" t="str">
        <f>""</f>
        <v/>
      </c>
      <c r="O273" s="1">
        <v>1</v>
      </c>
    </row>
    <row r="274" spans="13:18" x14ac:dyDescent="0.25">
      <c r="M274" s="1" t="str">
        <f>""</f>
        <v/>
      </c>
      <c r="O274" s="1">
        <v>1</v>
      </c>
      <c r="P274" s="1" t="str">
        <f>"Advance Return"</f>
        <v>Advance Return</v>
      </c>
      <c r="Q274" s="1" t="str">
        <f>"Taipei Accomodation"</f>
        <v>Taipei Accomodation</v>
      </c>
      <c r="R274" s="1" t="str">
        <f>"JOANNE KHOO ROU YAN"</f>
        <v>JOANNE KHOO ROU YAN</v>
      </c>
    </row>
    <row r="275" spans="13:18" x14ac:dyDescent="0.25">
      <c r="M275" s="1" t="str">
        <f>""</f>
        <v/>
      </c>
      <c r="O275" s="1">
        <v>1</v>
      </c>
    </row>
    <row r="276" spans="13:18" x14ac:dyDescent="0.25">
      <c r="M276" s="1" t="str">
        <f>""</f>
        <v/>
      </c>
      <c r="O276" s="1">
        <v>1</v>
      </c>
    </row>
    <row r="277" spans="13:18" x14ac:dyDescent="0.25">
      <c r="M277" s="1" t="str">
        <f>""</f>
        <v/>
      </c>
      <c r="O277" s="1">
        <v>1</v>
      </c>
    </row>
    <row r="278" spans="13:18" x14ac:dyDescent="0.25">
      <c r="M278" s="1" t="str">
        <f>"THUM CHIA CHIEH"</f>
        <v>THUM CHIA CHIEH</v>
      </c>
      <c r="O278" s="1">
        <v>1</v>
      </c>
      <c r="P278" s="1" t="str">
        <f>"PGTEFT2775"</f>
        <v>PGTEFT2775</v>
      </c>
      <c r="Q278" s="1" t="str">
        <f>"PHOTO SERVICE FOR"</f>
        <v>PHOTO SERVICE FOR</v>
      </c>
    </row>
    <row r="279" spans="13:18" x14ac:dyDescent="0.25">
      <c r="M279" s="1" t="str">
        <f>"PGTEFT2775          PHOTO SERVICE FOR"</f>
        <v>PGTEFT2775          PHOTO SERVICE FOR</v>
      </c>
      <c r="O279" s="1">
        <v>1</v>
      </c>
    </row>
    <row r="280" spans="13:18" x14ac:dyDescent="0.25">
      <c r="M280" s="1" t="str">
        <f>"PGTEFT2775          PHOTO SERVICE FOR"</f>
        <v>PGTEFT2775          PHOTO SERVICE FOR</v>
      </c>
      <c r="O280" s="1">
        <v>1</v>
      </c>
    </row>
    <row r="281" spans="13:18" x14ac:dyDescent="0.25">
      <c r="M281" s="1" t="str">
        <f>"YEAP KAM MOEY"</f>
        <v>YEAP KAM MOEY</v>
      </c>
      <c r="O281" s="1">
        <v>1</v>
      </c>
      <c r="P281" s="1" t="str">
        <f>"PGTEFT2777"</f>
        <v>PGTEFT2777</v>
      </c>
      <c r="Q281" s="1" t="str">
        <f>"OCT NOV"</f>
        <v>OCT NOV</v>
      </c>
    </row>
    <row r="282" spans="13:18" x14ac:dyDescent="0.25">
      <c r="M282" s="1" t="str">
        <f>"PGTEFT2777          OCT NOV"</f>
        <v>PGTEFT2777          OCT NOV</v>
      </c>
      <c r="O282" s="1">
        <v>1</v>
      </c>
    </row>
    <row r="283" spans="13:18" x14ac:dyDescent="0.25">
      <c r="M283" s="1" t="str">
        <f>"PGTEFT2777          OCT NOV"</f>
        <v>PGTEFT2777          OCT NOV</v>
      </c>
      <c r="O283" s="1">
        <v>1</v>
      </c>
    </row>
    <row r="284" spans="13:18" x14ac:dyDescent="0.25">
      <c r="M284" s="1" t="str">
        <f>"DESTINATION TAIPEI DANNY TAN LEE KEONG"</f>
        <v>DESTINATION TAIPEI DANNY TAN LEE KEONG</v>
      </c>
      <c r="O284" s="1">
        <v>1</v>
      </c>
      <c r="P284" s="1" t="str">
        <f>"PGTEFT2782"</f>
        <v>PGTEFT2782</v>
      </c>
      <c r="Q284" s="1" t="str">
        <f>"CLAIMS"</f>
        <v>CLAIMS</v>
      </c>
    </row>
    <row r="285" spans="13:18" x14ac:dyDescent="0.25">
      <c r="M285" s="1" t="str">
        <f>"ROCKY FAM &amp; WTM YOON PAULINE"</f>
        <v>ROCKY FAM &amp; WTM YOON PAULINE</v>
      </c>
      <c r="O285" s="1">
        <v>1</v>
      </c>
      <c r="P285" s="1" t="str">
        <f>"PGTEFT2786"</f>
        <v>PGTEFT2786</v>
      </c>
      <c r="Q285" s="1" t="str">
        <f>"CLAIMS"</f>
        <v>CLAIMS</v>
      </c>
    </row>
    <row r="286" spans="13:18" x14ac:dyDescent="0.25">
      <c r="M286" s="1" t="str">
        <f>"ITB ASIA OOI CHOK YAN"</f>
        <v>ITB ASIA OOI CHOK YAN</v>
      </c>
      <c r="O286" s="1">
        <v>1</v>
      </c>
      <c r="P286" s="1" t="str">
        <f>"PGTEFT2784"</f>
        <v>PGTEFT2784</v>
      </c>
      <c r="Q286" s="1" t="str">
        <f>"CLAIMS"</f>
        <v>CLAIMS</v>
      </c>
    </row>
    <row r="287" spans="13:18" x14ac:dyDescent="0.25">
      <c r="M287" s="1" t="str">
        <f>"CAHAYAN UTARA SDN BH"</f>
        <v>CAHAYAN UTARA SDN BH</v>
      </c>
      <c r="O287" s="1">
        <v>1</v>
      </c>
      <c r="P287" s="1" t="str">
        <f>"PGTEFT2781"</f>
        <v>PGTEFT2781</v>
      </c>
      <c r="Q287" s="1" t="str">
        <f>"PROFORMA INV"</f>
        <v>PROFORMA INV</v>
      </c>
    </row>
    <row r="288" spans="13:18" x14ac:dyDescent="0.25">
      <c r="M288" s="1" t="str">
        <f>"PGTEFT2781          PROFORMA INV"</f>
        <v>PGTEFT2781          PROFORMA INV</v>
      </c>
      <c r="O288" s="1">
        <v>1</v>
      </c>
    </row>
    <row r="289" spans="13:17" x14ac:dyDescent="0.25">
      <c r="M289" s="1" t="str">
        <f>"PGTEFT2781          PROFORMA INV"</f>
        <v>PGTEFT2781          PROFORMA INV</v>
      </c>
      <c r="O289" s="1">
        <v>1</v>
      </c>
    </row>
    <row r="290" spans="13:17" x14ac:dyDescent="0.25">
      <c r="M290" s="1" t="str">
        <f>"TRAVERSE TOURS SDN B"</f>
        <v>TRAVERSE TOURS SDN B</v>
      </c>
      <c r="O290" s="1">
        <v>1</v>
      </c>
      <c r="P290" s="1" t="str">
        <f>"PGTEFT2785"</f>
        <v>PGTEFT2785</v>
      </c>
      <c r="Q290" s="1" t="str">
        <f>"IT-000782"</f>
        <v>IT-000782</v>
      </c>
    </row>
    <row r="291" spans="13:17" x14ac:dyDescent="0.25">
      <c r="M291" s="1" t="str">
        <f>"PGTEFT2785          IT-000782"</f>
        <v>PGTEFT2785          IT-000782</v>
      </c>
      <c r="O291" s="1">
        <v>1</v>
      </c>
    </row>
    <row r="292" spans="13:17" x14ac:dyDescent="0.25">
      <c r="M292" s="1" t="str">
        <f>"PGTEFT2785          IT-000782"</f>
        <v>PGTEFT2785          IT-000782</v>
      </c>
      <c r="O292" s="1">
        <v>1</v>
      </c>
    </row>
    <row r="293" spans="13:17" x14ac:dyDescent="0.25">
      <c r="M293" s="1" t="str">
        <f>"SHANGRI-LA HOTEL (M)"</f>
        <v>SHANGRI-LA HOTEL (M)</v>
      </c>
      <c r="O293" s="1">
        <v>1</v>
      </c>
      <c r="P293" s="1" t="str">
        <f>"PGTEFT2774"</f>
        <v>PGTEFT2774</v>
      </c>
      <c r="Q293" s="1" t="str">
        <f>"INV193835"</f>
        <v>INV193835</v>
      </c>
    </row>
    <row r="294" spans="13:17" x14ac:dyDescent="0.25">
      <c r="M294" s="1" t="str">
        <f>"PGTEFT2774          INV193835"</f>
        <v>PGTEFT2774          INV193835</v>
      </c>
      <c r="O294" s="1">
        <v>1</v>
      </c>
    </row>
    <row r="295" spans="13:17" x14ac:dyDescent="0.25">
      <c r="M295" s="1" t="str">
        <f>"PGTEFT2774          INV193835"</f>
        <v>PGTEFT2774          INV193835</v>
      </c>
      <c r="O295" s="1">
        <v>1</v>
      </c>
    </row>
    <row r="296" spans="13:17" x14ac:dyDescent="0.25">
      <c r="M296" s="1" t="str">
        <f>"WEB ASP SDN BHD"</f>
        <v>WEB ASP SDN BHD</v>
      </c>
      <c r="O296" s="1">
        <v>1</v>
      </c>
      <c r="P296" s="1" t="str">
        <f>"PGTEFT2776"</f>
        <v>PGTEFT2776</v>
      </c>
      <c r="Q296" s="1" t="str">
        <f>"20044444"</f>
        <v>20044444</v>
      </c>
    </row>
    <row r="297" spans="13:17" x14ac:dyDescent="0.25">
      <c r="M297" s="1" t="str">
        <f>"PGTEFT2776          20044444"</f>
        <v>PGTEFT2776          20044444</v>
      </c>
      <c r="O297" s="1">
        <v>1</v>
      </c>
    </row>
    <row r="298" spans="13:17" x14ac:dyDescent="0.25">
      <c r="M298" s="1" t="str">
        <f>"PGTEFT2776          20044444"</f>
        <v>PGTEFT2776          20044444</v>
      </c>
      <c r="O298" s="1">
        <v>1</v>
      </c>
    </row>
    <row r="299" spans="13:17" x14ac:dyDescent="0.25">
      <c r="M299" s="1" t="str">
        <f>"SUMMONS, REPAIR OF C LIM HOOI LENG"</f>
        <v>SUMMONS, REPAIR OF C LIM HOOI LENG</v>
      </c>
      <c r="O299" s="1">
        <v>1</v>
      </c>
      <c r="P299" s="1" t="str">
        <f>"PGTEFT2783"</f>
        <v>PGTEFT2783</v>
      </c>
      <c r="Q299" s="1" t="str">
        <f>"CLAIMS"</f>
        <v>CLAIMS</v>
      </c>
    </row>
    <row r="300" spans="13:17" x14ac:dyDescent="0.25">
      <c r="M300" s="1" t="str">
        <f>"TNT EXPRESS WORLDWID"</f>
        <v>TNT EXPRESS WORLDWID</v>
      </c>
      <c r="O300" s="1">
        <v>1</v>
      </c>
      <c r="P300" s="1" t="str">
        <f>"PGTEFT2773"</f>
        <v>PGTEFT2773</v>
      </c>
      <c r="Q300" s="1" t="str">
        <f>"ACC233560"</f>
        <v>ACC233560</v>
      </c>
    </row>
    <row r="301" spans="13:17" x14ac:dyDescent="0.25">
      <c r="M301" s="1" t="str">
        <f>"PGTEFT2773          ACC233560"</f>
        <v>PGTEFT2773          ACC233560</v>
      </c>
      <c r="O301" s="1">
        <v>1</v>
      </c>
    </row>
    <row r="302" spans="13:17" x14ac:dyDescent="0.25">
      <c r="M302" s="1" t="str">
        <f>"PGTEFT2773          ACC233560"</f>
        <v>PGTEFT2773          ACC233560</v>
      </c>
      <c r="O302" s="1">
        <v>1</v>
      </c>
    </row>
    <row r="303" spans="13:17" x14ac:dyDescent="0.25">
      <c r="M303" s="1" t="str">
        <f>"BBWEB SOLUTIONS"</f>
        <v>BBWEB SOLUTIONS</v>
      </c>
      <c r="O303" s="1">
        <v>1</v>
      </c>
      <c r="P303" s="1" t="str">
        <f>"PGTEFT2764"</f>
        <v>PGTEFT2764</v>
      </c>
      <c r="Q303" s="1" t="str">
        <f>"INV2017-81"</f>
        <v>INV2017-81</v>
      </c>
    </row>
    <row r="304" spans="13:17" x14ac:dyDescent="0.25">
      <c r="M304" s="1" t="str">
        <f>"PGTEFT2764          INV2017-81"</f>
        <v>PGTEFT2764          INV2017-81</v>
      </c>
      <c r="O304" s="1">
        <v>1</v>
      </c>
    </row>
    <row r="305" spans="13:17" x14ac:dyDescent="0.25">
      <c r="M305" s="1" t="str">
        <f>"PGTEFT2764          INV2017-81"</f>
        <v>PGTEFT2764          INV2017-81</v>
      </c>
      <c r="O305" s="1">
        <v>1</v>
      </c>
    </row>
    <row r="306" spans="13:17" x14ac:dyDescent="0.25">
      <c r="M306" s="1" t="str">
        <f>"MAJLIS KEBUDAYAAN NE"</f>
        <v>MAJLIS KEBUDAYAAN NE</v>
      </c>
      <c r="O306" s="1">
        <v>1</v>
      </c>
      <c r="P306" s="1" t="str">
        <f>"PGTEFT2771"</f>
        <v>PGTEFT2771</v>
      </c>
      <c r="Q306" s="1" t="str">
        <f>"KKNPP-2017-02-30 31"</f>
        <v>KKNPP-2017-02-30 31</v>
      </c>
    </row>
    <row r="307" spans="13:17" x14ac:dyDescent="0.25">
      <c r="M307" s="1" t="str">
        <f>"PGTEFT2771          KKNPP-2017-02-30 31"</f>
        <v>PGTEFT2771          KKNPP-2017-02-30 31</v>
      </c>
      <c r="O307" s="1">
        <v>1</v>
      </c>
    </row>
    <row r="308" spans="13:17" x14ac:dyDescent="0.25">
      <c r="M308" s="1" t="str">
        <f>"PGTEFT2771          KKNPP-2017-02-30 31"</f>
        <v>PGTEFT2771          KKNPP-2017-02-30 31</v>
      </c>
      <c r="O308" s="1">
        <v>1</v>
      </c>
    </row>
    <row r="309" spans="13:17" x14ac:dyDescent="0.25">
      <c r="M309" s="1" t="str">
        <f>"FUJI XEROX ASIA PACI"</f>
        <v>FUJI XEROX ASIA PACI</v>
      </c>
      <c r="O309" s="1">
        <v>1</v>
      </c>
      <c r="P309" s="1" t="str">
        <f>"PGTEFT2768"</f>
        <v>PGTEFT2768</v>
      </c>
      <c r="Q309" s="1" t="str">
        <f>"ACC316057"</f>
        <v>ACC316057</v>
      </c>
    </row>
    <row r="310" spans="13:17" x14ac:dyDescent="0.25">
      <c r="M310" s="1" t="str">
        <f>"PGTEFT2768          ACC316057"</f>
        <v>PGTEFT2768          ACC316057</v>
      </c>
      <c r="O310" s="1">
        <v>1</v>
      </c>
    </row>
    <row r="311" spans="13:17" x14ac:dyDescent="0.25">
      <c r="M311" s="1" t="str">
        <f>"PGTEFT2768          ACC316057"</f>
        <v>PGTEFT2768          ACC316057</v>
      </c>
      <c r="O311" s="1">
        <v>1</v>
      </c>
    </row>
    <row r="312" spans="13:17" x14ac:dyDescent="0.25">
      <c r="M312" s="1" t="str">
        <f>"CHING XING SPORTS AN"</f>
        <v>CHING XING SPORTS AN</v>
      </c>
      <c r="O312" s="1">
        <v>1</v>
      </c>
      <c r="P312" s="1" t="str">
        <f>"PGTEFT2766"</f>
        <v>PGTEFT2766</v>
      </c>
      <c r="Q312" s="1" t="str">
        <f>"13112017-01-PGT"</f>
        <v>13112017-01-PGT</v>
      </c>
    </row>
    <row r="313" spans="13:17" x14ac:dyDescent="0.25">
      <c r="M313" s="1" t="str">
        <f>"PGTEFT2766          13112017-01-PGT"</f>
        <v>PGTEFT2766          13112017-01-PGT</v>
      </c>
      <c r="O313" s="1">
        <v>1</v>
      </c>
    </row>
    <row r="314" spans="13:17" x14ac:dyDescent="0.25">
      <c r="M314" s="1" t="str">
        <f>"PGTEFT2766          13112017-01-PGT"</f>
        <v>PGTEFT2766          13112017-01-PGT</v>
      </c>
      <c r="O314" s="1">
        <v>1</v>
      </c>
    </row>
    <row r="315" spans="13:17" x14ac:dyDescent="0.25">
      <c r="M315" s="1" t="str">
        <f>"OPTIMAL MEDIA SDN BH"</f>
        <v>OPTIMAL MEDIA SDN BH</v>
      </c>
      <c r="O315" s="1">
        <v>1</v>
      </c>
      <c r="P315" s="1" t="str">
        <f>"PGTEFT2772"</f>
        <v>PGTEFT2772</v>
      </c>
      <c r="Q315" s="1" t="str">
        <f>"INV362 368"</f>
        <v>INV362 368</v>
      </c>
    </row>
    <row r="316" spans="13:17" x14ac:dyDescent="0.25">
      <c r="M316" s="1" t="str">
        <f>"PGTEFT2772          INV362 368"</f>
        <v>PGTEFT2772          INV362 368</v>
      </c>
      <c r="O316" s="1">
        <v>1</v>
      </c>
    </row>
    <row r="317" spans="13:17" x14ac:dyDescent="0.25">
      <c r="M317" s="1" t="str">
        <f>"PGTEFT2772          INV362 368"</f>
        <v>PGTEFT2772          INV362 368</v>
      </c>
      <c r="O317" s="1">
        <v>1</v>
      </c>
    </row>
    <row r="318" spans="13:17" x14ac:dyDescent="0.25">
      <c r="M318" s="1" t="str">
        <f>"JAYKODI RESOURCES"</f>
        <v>JAYKODI RESOURCES</v>
      </c>
      <c r="O318" s="1">
        <v>1</v>
      </c>
      <c r="P318" s="1" t="str">
        <f>"PGTEFT2780"</f>
        <v>PGTEFT2780</v>
      </c>
      <c r="Q318" s="1" t="str">
        <f>"CLEANING"</f>
        <v>CLEANING</v>
      </c>
    </row>
    <row r="319" spans="13:17" x14ac:dyDescent="0.25">
      <c r="M319" s="1" t="str">
        <f>"PGTEFT2780          CLEANING"</f>
        <v>PGTEFT2780          CLEANING</v>
      </c>
      <c r="O319" s="1">
        <v>1</v>
      </c>
    </row>
    <row r="320" spans="13:17" x14ac:dyDescent="0.25">
      <c r="M320" s="1" t="str">
        <f>"PGTEFT2780          CLEANING"</f>
        <v>PGTEFT2780          CLEANING</v>
      </c>
      <c r="O320" s="1">
        <v>1</v>
      </c>
    </row>
    <row r="321" spans="13:17" x14ac:dyDescent="0.25">
      <c r="M321" s="1" t="str">
        <f>"LIANG CHOW MING"</f>
        <v>LIANG CHOW MING</v>
      </c>
      <c r="O321" s="1">
        <v>1</v>
      </c>
      <c r="P321" s="1" t="str">
        <f>"PGTEF2769"</f>
        <v>PGTEF2769</v>
      </c>
      <c r="Q321" s="1" t="str">
        <f>"INV19540"</f>
        <v>INV19540</v>
      </c>
    </row>
    <row r="322" spans="13:17" x14ac:dyDescent="0.25">
      <c r="M322" s="1" t="str">
        <f>"PGTEF2769           INV19540"</f>
        <v>PGTEF2769           INV19540</v>
      </c>
      <c r="O322" s="1">
        <v>1</v>
      </c>
    </row>
    <row r="323" spans="13:17" x14ac:dyDescent="0.25">
      <c r="M323" s="1" t="str">
        <f>"PGTEF2769           INV19540"</f>
        <v>PGTEF2769           INV19540</v>
      </c>
      <c r="O323" s="1">
        <v>1</v>
      </c>
    </row>
    <row r="324" spans="13:17" x14ac:dyDescent="0.25">
      <c r="M324" s="1" t="str">
        <f>"BOLD INSPIRATION SDN"</f>
        <v>BOLD INSPIRATION SDN</v>
      </c>
      <c r="O324" s="1">
        <v>1</v>
      </c>
      <c r="P324" s="1" t="str">
        <f>"PGTEFT2765"</f>
        <v>PGTEFT2765</v>
      </c>
      <c r="Q324" s="1" t="str">
        <f>"JN0353"</f>
        <v>JN0353</v>
      </c>
    </row>
    <row r="325" spans="13:17" x14ac:dyDescent="0.25">
      <c r="M325" s="1" t="str">
        <f>"PGTEFT2765          JN0353"</f>
        <v>PGTEFT2765          JN0353</v>
      </c>
      <c r="O325" s="1">
        <v>1</v>
      </c>
    </row>
    <row r="326" spans="13:17" x14ac:dyDescent="0.25">
      <c r="M326" s="1" t="str">
        <f>"PGTEFT2765          JN0353"</f>
        <v>PGTEFT2765          JN0353</v>
      </c>
      <c r="O326" s="1">
        <v>1</v>
      </c>
    </row>
    <row r="327" spans="13:17" x14ac:dyDescent="0.25">
      <c r="M327" s="1" t="str">
        <f>"ET HOSPITALITY VENTU"</f>
        <v>ET HOSPITALITY VENTU</v>
      </c>
      <c r="O327" s="1">
        <v>1</v>
      </c>
      <c r="P327" s="1" t="str">
        <f>"PGTEFT2767"</f>
        <v>PGTEFT2767</v>
      </c>
      <c r="Q327" s="1" t="str">
        <f>"12017GST2515"</f>
        <v>12017GST2515</v>
      </c>
    </row>
    <row r="328" spans="13:17" x14ac:dyDescent="0.25">
      <c r="M328" s="1" t="str">
        <f>"PGTEFT2767          12017GST2515"</f>
        <v>PGTEFT2767          12017GST2515</v>
      </c>
      <c r="O328" s="1">
        <v>1</v>
      </c>
    </row>
    <row r="329" spans="13:17" x14ac:dyDescent="0.25">
      <c r="M329" s="1" t="str">
        <f>"PGTEFT2767          12017GST2515"</f>
        <v>PGTEFT2767          12017GST2515</v>
      </c>
      <c r="O329" s="1">
        <v>1</v>
      </c>
    </row>
    <row r="330" spans="13:17" x14ac:dyDescent="0.25">
      <c r="M330" s="1" t="str">
        <f>""</f>
        <v/>
      </c>
      <c r="O330" s="1">
        <v>1</v>
      </c>
    </row>
    <row r="331" spans="13:17" x14ac:dyDescent="0.25">
      <c r="M331" s="1" t="str">
        <f>""</f>
        <v/>
      </c>
      <c r="O331" s="1">
        <v>1</v>
      </c>
    </row>
    <row r="332" spans="13:17" x14ac:dyDescent="0.25">
      <c r="M332" s="1" t="str">
        <f>""</f>
        <v/>
      </c>
      <c r="O332" s="1">
        <v>1</v>
      </c>
    </row>
    <row r="333" spans="13:17" x14ac:dyDescent="0.25">
      <c r="M333" s="1" t="str">
        <f>""</f>
        <v/>
      </c>
      <c r="O333" s="1">
        <v>1</v>
      </c>
    </row>
    <row r="334" spans="13:17" x14ac:dyDescent="0.25">
      <c r="M334" s="1" t="str">
        <f>""</f>
        <v/>
      </c>
      <c r="O334" s="1">
        <v>1</v>
      </c>
    </row>
    <row r="335" spans="13:17" x14ac:dyDescent="0.25">
      <c r="M335" s="1" t="str">
        <f>""</f>
        <v/>
      </c>
      <c r="O335" s="1">
        <v>1</v>
      </c>
    </row>
    <row r="336" spans="13:17" x14ac:dyDescent="0.25">
      <c r="M336" s="1" t="str">
        <f>""</f>
        <v/>
      </c>
      <c r="O336" s="1">
        <v>1</v>
      </c>
    </row>
    <row r="337" spans="8:17" x14ac:dyDescent="0.25">
      <c r="M337" s="1" t="str">
        <f>"ANSURAN 11 YE2017 AKAUN KJAAN MSIA PU"</f>
        <v>ANSURAN 11 YE2017 AKAUN KJAAN MSIA PU</v>
      </c>
      <c r="O337" s="1">
        <v>1</v>
      </c>
      <c r="P337" s="1" t="str">
        <f>"PGTEFT2778"</f>
        <v>PGTEFT2778</v>
      </c>
      <c r="Q337" s="1" t="str">
        <f>"C285195105"</f>
        <v>C285195105</v>
      </c>
    </row>
    <row r="338" spans="8:17" x14ac:dyDescent="0.25">
      <c r="M338" s="1" t="str">
        <f>"OON KOK EU"</f>
        <v>OON KOK EU</v>
      </c>
      <c r="O338" s="1">
        <v>1</v>
      </c>
      <c r="P338" s="1" t="str">
        <f>"PGTEFT2779"</f>
        <v>PGTEFT2779</v>
      </c>
      <c r="Q338" s="1" t="str">
        <f>"BROCHURE DISTRIBUTIO"</f>
        <v>BROCHURE DISTRIBUTIO</v>
      </c>
    </row>
    <row r="339" spans="8:17" x14ac:dyDescent="0.25">
      <c r="M339" s="1" t="str">
        <f>"PGTEFT2779          BROCHURE DISTRIBUTIO"</f>
        <v>PGTEFT2779          BROCHURE DISTRIBUTIO</v>
      </c>
      <c r="O339" s="1">
        <v>1</v>
      </c>
    </row>
    <row r="340" spans="8:17" x14ac:dyDescent="0.25">
      <c r="M340" s="1" t="str">
        <f>"PGTEFT2779          BROCHURE DISTRIBUTIO"</f>
        <v>PGTEFT2779          BROCHURE DISTRIBUTIO</v>
      </c>
      <c r="O340" s="1">
        <v>1</v>
      </c>
    </row>
    <row r="341" spans="8:17" x14ac:dyDescent="0.25">
      <c r="M341" s="1" t="str">
        <f>""</f>
        <v/>
      </c>
      <c r="O341" s="1">
        <v>1</v>
      </c>
    </row>
    <row r="342" spans="8:17" x14ac:dyDescent="0.25">
      <c r="M342" s="1" t="str">
        <f>""</f>
        <v/>
      </c>
      <c r="O342" s="1">
        <v>1</v>
      </c>
    </row>
    <row r="343" spans="8:17" x14ac:dyDescent="0.25">
      <c r="M343" s="1" t="str">
        <f>""</f>
        <v/>
      </c>
      <c r="O343" s="1">
        <v>1</v>
      </c>
    </row>
    <row r="346" spans="8:17" x14ac:dyDescent="0.25">
      <c r="H346" s="2">
        <f>SUBTOTAL(9,H11:H345)</f>
        <v>3355976.7099999962</v>
      </c>
    </row>
  </sheetData>
  <autoFilter ref="A9:Q344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56C6-F5FA-4EBE-BDF2-04251A21AAE9}">
  <dimension ref="A1:R256"/>
  <sheetViews>
    <sheetView workbookViewId="0">
      <selection activeCell="H252" sqref="H252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2" bestFit="1" customWidth="1"/>
    <col min="9" max="9" width="14.140625" customWidth="1"/>
    <col min="10" max="10" width="13.28515625" style="2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1911</v>
      </c>
    </row>
    <row r="5" spans="1:18" x14ac:dyDescent="0.25">
      <c r="A5" t="s">
        <v>1912</v>
      </c>
    </row>
    <row r="6" spans="1:18" x14ac:dyDescent="0.25">
      <c r="A6" t="s">
        <v>1913</v>
      </c>
    </row>
    <row r="8" spans="1:18" s="15" customFormat="1" ht="49.5" customHeight="1" x14ac:dyDescent="0.25">
      <c r="A8" s="15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4" t="s">
        <v>14</v>
      </c>
      <c r="I8" s="15" t="s">
        <v>15</v>
      </c>
      <c r="J8" s="4" t="s">
        <v>16</v>
      </c>
      <c r="K8" s="15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</row>
    <row r="10" spans="1:18" s="16" customFormat="1" x14ac:dyDescent="0.25">
      <c r="A10" s="16">
        <v>8003879954</v>
      </c>
      <c r="B10" s="16">
        <v>18</v>
      </c>
      <c r="C10" s="16">
        <v>31102018</v>
      </c>
      <c r="D10" s="16">
        <v>819</v>
      </c>
      <c r="E10" s="16" t="s">
        <v>35</v>
      </c>
      <c r="H10" s="10">
        <v>0.5</v>
      </c>
      <c r="I10" s="16" t="s">
        <v>26</v>
      </c>
      <c r="J10" s="10">
        <v>2690757.87</v>
      </c>
      <c r="K10" s="16" t="s">
        <v>27</v>
      </c>
      <c r="L10" s="16">
        <v>10200</v>
      </c>
      <c r="M10" s="16" t="s">
        <v>32</v>
      </c>
      <c r="O10" s="16">
        <v>1</v>
      </c>
    </row>
    <row r="11" spans="1:18" s="16" customFormat="1" x14ac:dyDescent="0.25">
      <c r="A11" s="16">
        <v>8003879954</v>
      </c>
      <c r="B11" s="16">
        <v>17</v>
      </c>
      <c r="C11" s="16">
        <v>31102018</v>
      </c>
      <c r="D11" s="16">
        <v>323</v>
      </c>
      <c r="E11" s="16" t="s">
        <v>50</v>
      </c>
      <c r="F11" s="16">
        <v>0</v>
      </c>
      <c r="G11" s="16" t="s">
        <v>1914</v>
      </c>
      <c r="H11" s="10">
        <v>500</v>
      </c>
      <c r="I11" s="16" t="s">
        <v>26</v>
      </c>
      <c r="J11" s="10">
        <v>2690758.37</v>
      </c>
      <c r="K11" s="16" t="s">
        <v>27</v>
      </c>
      <c r="L11" s="16">
        <v>10050</v>
      </c>
      <c r="M11" s="16" t="s">
        <v>32</v>
      </c>
      <c r="O11" s="16">
        <v>1</v>
      </c>
    </row>
    <row r="12" spans="1:18" s="16" customFormat="1" x14ac:dyDescent="0.25">
      <c r="A12" s="16">
        <v>8003879954</v>
      </c>
      <c r="B12" s="16">
        <v>16</v>
      </c>
      <c r="C12" s="16">
        <v>31102018</v>
      </c>
      <c r="D12" s="16">
        <v>141</v>
      </c>
      <c r="E12" s="16" t="s">
        <v>53</v>
      </c>
      <c r="F12" s="16">
        <v>6581</v>
      </c>
      <c r="G12" s="16" t="s">
        <v>1915</v>
      </c>
      <c r="H12" s="10">
        <v>824.35</v>
      </c>
      <c r="I12" s="16" t="s">
        <v>27</v>
      </c>
      <c r="J12" s="10">
        <v>2691258.37</v>
      </c>
      <c r="K12" s="16" t="s">
        <v>27</v>
      </c>
      <c r="L12" s="16">
        <v>173404</v>
      </c>
      <c r="M12" s="16" t="s">
        <v>32</v>
      </c>
      <c r="O12" s="16">
        <v>1</v>
      </c>
      <c r="P12" s="16" t="s">
        <v>1916</v>
      </c>
    </row>
    <row r="13" spans="1:18" s="16" customFormat="1" x14ac:dyDescent="0.25">
      <c r="A13" s="16">
        <v>8003879954</v>
      </c>
      <c r="B13" s="16">
        <v>15</v>
      </c>
      <c r="C13" s="16">
        <v>31102018</v>
      </c>
      <c r="D13" s="16">
        <v>489</v>
      </c>
      <c r="E13" s="16" t="s">
        <v>56</v>
      </c>
      <c r="F13" s="16">
        <v>3471</v>
      </c>
      <c r="G13" s="16" t="s">
        <v>1917</v>
      </c>
      <c r="H13" s="10">
        <v>2.1</v>
      </c>
      <c r="I13" s="16" t="s">
        <v>26</v>
      </c>
      <c r="J13" s="10">
        <v>2690434.02</v>
      </c>
      <c r="K13" s="16" t="s">
        <v>27</v>
      </c>
      <c r="L13" s="16">
        <v>134714</v>
      </c>
      <c r="M13" s="16" t="s">
        <v>32</v>
      </c>
      <c r="O13" s="16">
        <v>1</v>
      </c>
    </row>
    <row r="14" spans="1:18" s="16" customFormat="1" x14ac:dyDescent="0.25">
      <c r="A14" s="16">
        <v>8003879954</v>
      </c>
      <c r="B14" s="16">
        <v>14</v>
      </c>
      <c r="C14" s="16">
        <v>31102018</v>
      </c>
      <c r="D14" s="16">
        <v>669</v>
      </c>
      <c r="E14" s="16" t="s">
        <v>33</v>
      </c>
      <c r="F14" s="16">
        <v>1810</v>
      </c>
      <c r="G14" s="16" t="s">
        <v>1918</v>
      </c>
      <c r="H14" s="10">
        <v>75453.84</v>
      </c>
      <c r="I14" s="16" t="s">
        <v>26</v>
      </c>
      <c r="J14" s="10">
        <v>2690436.12</v>
      </c>
      <c r="K14" s="16" t="s">
        <v>27</v>
      </c>
      <c r="L14" s="16">
        <v>134648</v>
      </c>
      <c r="M14" s="16" t="s">
        <v>1919</v>
      </c>
      <c r="O14" s="16">
        <v>1</v>
      </c>
      <c r="P14" s="16" t="s">
        <v>1920</v>
      </c>
    </row>
    <row r="15" spans="1:18" s="16" customFormat="1" x14ac:dyDescent="0.25">
      <c r="A15" s="16">
        <v>8003879954</v>
      </c>
      <c r="B15" s="16">
        <v>13</v>
      </c>
      <c r="C15" s="16">
        <v>31102018</v>
      </c>
      <c r="D15" s="16">
        <v>343</v>
      </c>
      <c r="E15" s="16" t="s">
        <v>115</v>
      </c>
      <c r="F15" s="16">
        <v>9938</v>
      </c>
      <c r="G15" s="16" t="s">
        <v>1921</v>
      </c>
      <c r="H15" s="10">
        <v>20008</v>
      </c>
      <c r="I15" s="16" t="s">
        <v>26</v>
      </c>
      <c r="J15" s="10">
        <v>2765889.96</v>
      </c>
      <c r="K15" s="16" t="s">
        <v>27</v>
      </c>
      <c r="L15" s="16">
        <v>134316</v>
      </c>
      <c r="M15" s="16" t="s">
        <v>1325</v>
      </c>
      <c r="O15" s="16">
        <v>1</v>
      </c>
    </row>
    <row r="16" spans="1:18" s="16" customFormat="1" x14ac:dyDescent="0.25">
      <c r="A16" s="16">
        <v>8003879954</v>
      </c>
      <c r="B16" s="16">
        <v>12</v>
      </c>
      <c r="C16" s="16">
        <v>31102018</v>
      </c>
      <c r="D16" s="16">
        <v>343</v>
      </c>
      <c r="E16" s="16" t="s">
        <v>115</v>
      </c>
      <c r="F16" s="16">
        <v>9938</v>
      </c>
      <c r="G16" s="16" t="s">
        <v>1922</v>
      </c>
      <c r="H16" s="10">
        <v>1370.1</v>
      </c>
      <c r="I16" s="16" t="s">
        <v>26</v>
      </c>
      <c r="J16" s="10">
        <v>2785897.96</v>
      </c>
      <c r="K16" s="16" t="s">
        <v>27</v>
      </c>
      <c r="L16" s="16">
        <v>134315</v>
      </c>
      <c r="M16" s="16" t="s">
        <v>1923</v>
      </c>
      <c r="O16" s="16">
        <v>1</v>
      </c>
    </row>
    <row r="17" spans="1:16" s="16" customFormat="1" x14ac:dyDescent="0.25">
      <c r="A17" s="16">
        <v>8003879954</v>
      </c>
      <c r="B17" s="16">
        <v>11</v>
      </c>
      <c r="C17" s="16">
        <v>31102018</v>
      </c>
      <c r="D17" s="16">
        <v>345</v>
      </c>
      <c r="E17" s="16" t="s">
        <v>51</v>
      </c>
      <c r="F17" s="16">
        <v>9938</v>
      </c>
      <c r="G17" s="16" t="s">
        <v>1924</v>
      </c>
      <c r="H17" s="10">
        <v>700</v>
      </c>
      <c r="I17" s="16" t="s">
        <v>26</v>
      </c>
      <c r="J17" s="10">
        <v>2787268.06</v>
      </c>
      <c r="K17" s="16" t="s">
        <v>27</v>
      </c>
      <c r="L17" s="16">
        <v>134137</v>
      </c>
      <c r="M17" s="16" t="s">
        <v>1925</v>
      </c>
      <c r="O17" s="16">
        <v>1</v>
      </c>
      <c r="P17" s="16" t="s">
        <v>1926</v>
      </c>
    </row>
    <row r="18" spans="1:16" s="16" customFormat="1" x14ac:dyDescent="0.25">
      <c r="A18" s="16">
        <v>8003879954</v>
      </c>
      <c r="B18" s="16">
        <v>10</v>
      </c>
      <c r="C18" s="16">
        <v>31102018</v>
      </c>
      <c r="D18" s="16">
        <v>345</v>
      </c>
      <c r="E18" s="16" t="s">
        <v>51</v>
      </c>
      <c r="F18" s="16">
        <v>9938</v>
      </c>
      <c r="G18" s="16" t="s">
        <v>1927</v>
      </c>
      <c r="H18" s="10">
        <v>3000</v>
      </c>
      <c r="I18" s="16" t="s">
        <v>26</v>
      </c>
      <c r="J18" s="10">
        <v>2787968.06</v>
      </c>
      <c r="K18" s="16" t="s">
        <v>27</v>
      </c>
      <c r="L18" s="16">
        <v>134133</v>
      </c>
      <c r="M18" s="16" t="s">
        <v>829</v>
      </c>
      <c r="O18" s="16">
        <v>1</v>
      </c>
      <c r="P18" s="16" t="s">
        <v>1928</v>
      </c>
    </row>
    <row r="19" spans="1:16" s="16" customFormat="1" x14ac:dyDescent="0.25">
      <c r="A19" s="16">
        <v>8003879954</v>
      </c>
      <c r="B19" s="16">
        <v>9</v>
      </c>
      <c r="C19" s="16">
        <v>31102018</v>
      </c>
      <c r="D19" s="16">
        <v>60</v>
      </c>
      <c r="E19" s="16" t="s">
        <v>37</v>
      </c>
      <c r="F19" s="16">
        <v>9938</v>
      </c>
      <c r="G19" s="16" t="s">
        <v>1929</v>
      </c>
      <c r="H19" s="10">
        <v>2060</v>
      </c>
      <c r="I19" s="16" t="s">
        <v>26</v>
      </c>
      <c r="J19" s="10">
        <v>2790968.06</v>
      </c>
      <c r="K19" s="16" t="s">
        <v>27</v>
      </c>
      <c r="L19" s="16">
        <v>134134</v>
      </c>
      <c r="M19" s="16" t="s">
        <v>1930</v>
      </c>
      <c r="O19" s="16">
        <v>1</v>
      </c>
      <c r="P19" s="16" t="s">
        <v>1931</v>
      </c>
    </row>
    <row r="20" spans="1:16" s="16" customFormat="1" x14ac:dyDescent="0.25">
      <c r="A20" s="16">
        <v>8003879954</v>
      </c>
      <c r="B20" s="16">
        <v>8</v>
      </c>
      <c r="C20" s="16">
        <v>31102018</v>
      </c>
      <c r="D20" s="16">
        <v>341</v>
      </c>
      <c r="E20" s="16" t="s">
        <v>25</v>
      </c>
      <c r="F20" s="16">
        <v>9938</v>
      </c>
      <c r="G20" s="16" t="s">
        <v>1932</v>
      </c>
      <c r="H20" s="10">
        <v>1000</v>
      </c>
      <c r="I20" s="16" t="s">
        <v>26</v>
      </c>
      <c r="J20" s="10">
        <v>2793028.06</v>
      </c>
      <c r="K20" s="16" t="s">
        <v>27</v>
      </c>
      <c r="L20" s="16">
        <v>134133</v>
      </c>
      <c r="M20" s="16" t="s">
        <v>43</v>
      </c>
      <c r="O20" s="16">
        <v>1</v>
      </c>
      <c r="P20" s="16" t="s">
        <v>1933</v>
      </c>
    </row>
    <row r="21" spans="1:16" s="16" customFormat="1" x14ac:dyDescent="0.25">
      <c r="A21" s="16">
        <v>8003879954</v>
      </c>
      <c r="B21" s="16">
        <v>7</v>
      </c>
      <c r="C21" s="16">
        <v>31102018</v>
      </c>
      <c r="D21" s="16">
        <v>489</v>
      </c>
      <c r="E21" s="16" t="s">
        <v>31</v>
      </c>
      <c r="F21" s="16">
        <v>9938</v>
      </c>
      <c r="G21" s="16" t="s">
        <v>1932</v>
      </c>
      <c r="H21" s="10">
        <v>0.1</v>
      </c>
      <c r="I21" s="16" t="s">
        <v>26</v>
      </c>
      <c r="J21" s="10">
        <v>2794028.06</v>
      </c>
      <c r="K21" s="16" t="s">
        <v>27</v>
      </c>
      <c r="L21" s="16">
        <v>134133</v>
      </c>
      <c r="M21" s="16" t="s">
        <v>1934</v>
      </c>
      <c r="O21" s="16">
        <v>1</v>
      </c>
    </row>
    <row r="22" spans="1:16" s="16" customFormat="1" x14ac:dyDescent="0.25">
      <c r="A22" s="16">
        <v>8003879954</v>
      </c>
      <c r="B22" s="16">
        <v>6</v>
      </c>
      <c r="C22" s="16">
        <v>31102018</v>
      </c>
      <c r="D22" s="16">
        <v>341</v>
      </c>
      <c r="E22" s="16" t="s">
        <v>25</v>
      </c>
      <c r="F22" s="16">
        <v>9938</v>
      </c>
      <c r="G22" s="16" t="s">
        <v>1935</v>
      </c>
      <c r="H22" s="10">
        <v>2000</v>
      </c>
      <c r="I22" s="16" t="s">
        <v>26</v>
      </c>
      <c r="J22" s="10">
        <v>2794028.16</v>
      </c>
      <c r="K22" s="16" t="s">
        <v>27</v>
      </c>
      <c r="L22" s="16">
        <v>134134</v>
      </c>
      <c r="M22" s="16" t="s">
        <v>1936</v>
      </c>
      <c r="O22" s="16">
        <v>1</v>
      </c>
      <c r="P22" s="16" t="s">
        <v>1933</v>
      </c>
    </row>
    <row r="23" spans="1:16" s="16" customFormat="1" x14ac:dyDescent="0.25">
      <c r="A23" s="16">
        <v>8003879954</v>
      </c>
      <c r="B23" s="16">
        <v>5</v>
      </c>
      <c r="C23" s="16">
        <v>31102018</v>
      </c>
      <c r="D23" s="16">
        <v>489</v>
      </c>
      <c r="E23" s="16" t="s">
        <v>31</v>
      </c>
      <c r="F23" s="16">
        <v>9938</v>
      </c>
      <c r="G23" s="16" t="s">
        <v>1935</v>
      </c>
      <c r="H23" s="10">
        <v>0.1</v>
      </c>
      <c r="I23" s="16" t="s">
        <v>26</v>
      </c>
      <c r="J23" s="10">
        <v>2796028.16</v>
      </c>
      <c r="K23" s="16" t="s">
        <v>27</v>
      </c>
      <c r="L23" s="16">
        <v>134134</v>
      </c>
      <c r="M23" s="16" t="s">
        <v>1937</v>
      </c>
      <c r="O23" s="16">
        <v>1</v>
      </c>
    </row>
    <row r="24" spans="1:16" s="16" customFormat="1" x14ac:dyDescent="0.25">
      <c r="A24" s="16">
        <v>8003879954</v>
      </c>
      <c r="B24" s="16">
        <v>4</v>
      </c>
      <c r="C24" s="16">
        <v>31102018</v>
      </c>
      <c r="D24" s="16">
        <v>343</v>
      </c>
      <c r="E24" s="16" t="s">
        <v>115</v>
      </c>
      <c r="F24" s="16">
        <v>9938</v>
      </c>
      <c r="G24" s="16" t="s">
        <v>1938</v>
      </c>
      <c r="H24" s="10">
        <v>4499.1000000000004</v>
      </c>
      <c r="I24" s="16" t="s">
        <v>26</v>
      </c>
      <c r="J24" s="10">
        <v>2796028.26</v>
      </c>
      <c r="K24" s="16" t="s">
        <v>27</v>
      </c>
      <c r="L24" s="16">
        <v>134133</v>
      </c>
      <c r="M24" s="16" t="s">
        <v>1331</v>
      </c>
      <c r="O24" s="16">
        <v>1</v>
      </c>
    </row>
    <row r="25" spans="1:16" s="16" customFormat="1" x14ac:dyDescent="0.25">
      <c r="A25" s="16">
        <v>8003879954</v>
      </c>
      <c r="B25" s="16">
        <v>3</v>
      </c>
      <c r="C25" s="16">
        <v>31102018</v>
      </c>
      <c r="D25" s="16">
        <v>341</v>
      </c>
      <c r="E25" s="16" t="s">
        <v>25</v>
      </c>
      <c r="F25" s="16">
        <v>9938</v>
      </c>
      <c r="G25" s="16" t="s">
        <v>1939</v>
      </c>
      <c r="H25" s="10">
        <v>850</v>
      </c>
      <c r="I25" s="16" t="s">
        <v>26</v>
      </c>
      <c r="J25" s="10">
        <v>2800527.3599999999</v>
      </c>
      <c r="K25" s="16" t="s">
        <v>27</v>
      </c>
      <c r="L25" s="16">
        <v>134133</v>
      </c>
      <c r="M25" s="16" t="s">
        <v>747</v>
      </c>
      <c r="O25" s="16">
        <v>1</v>
      </c>
      <c r="P25" s="16" t="s">
        <v>1940</v>
      </c>
    </row>
    <row r="26" spans="1:16" s="16" customFormat="1" x14ac:dyDescent="0.25">
      <c r="A26" s="16">
        <v>8003879954</v>
      </c>
      <c r="B26" s="16">
        <v>2</v>
      </c>
      <c r="C26" s="16">
        <v>31102018</v>
      </c>
      <c r="D26" s="16">
        <v>489</v>
      </c>
      <c r="E26" s="16" t="s">
        <v>31</v>
      </c>
      <c r="F26" s="16">
        <v>9938</v>
      </c>
      <c r="G26" s="16" t="s">
        <v>1939</v>
      </c>
      <c r="H26" s="10">
        <v>0.1</v>
      </c>
      <c r="I26" s="16" t="s">
        <v>26</v>
      </c>
      <c r="J26" s="10">
        <v>2801377.36</v>
      </c>
      <c r="K26" s="16" t="s">
        <v>27</v>
      </c>
      <c r="L26" s="16">
        <v>134133</v>
      </c>
      <c r="M26" s="16" t="s">
        <v>1941</v>
      </c>
      <c r="O26" s="16">
        <v>1</v>
      </c>
    </row>
    <row r="27" spans="1:16" s="16" customFormat="1" x14ac:dyDescent="0.25">
      <c r="A27" s="16">
        <v>8003879954</v>
      </c>
      <c r="B27" s="16">
        <v>1</v>
      </c>
      <c r="C27" s="16">
        <v>31102018</v>
      </c>
      <c r="D27" s="16">
        <v>345</v>
      </c>
      <c r="E27" s="16" t="s">
        <v>51</v>
      </c>
      <c r="F27" s="16">
        <v>9938</v>
      </c>
      <c r="G27" s="16" t="s">
        <v>1942</v>
      </c>
      <c r="H27" s="10">
        <v>7980.23</v>
      </c>
      <c r="I27" s="16" t="s">
        <v>26</v>
      </c>
      <c r="J27" s="10">
        <v>2801377.46</v>
      </c>
      <c r="K27" s="16" t="s">
        <v>27</v>
      </c>
      <c r="L27" s="16">
        <v>134133</v>
      </c>
      <c r="M27" s="16" t="s">
        <v>1943</v>
      </c>
      <c r="O27" s="16">
        <v>1</v>
      </c>
      <c r="P27" s="16" t="s">
        <v>1944</v>
      </c>
    </row>
    <row r="28" spans="1:16" s="16" customFormat="1" x14ac:dyDescent="0.25">
      <c r="A28" s="16">
        <v>8003879954</v>
      </c>
      <c r="B28" s="16">
        <v>19</v>
      </c>
      <c r="C28" s="16">
        <v>29102018</v>
      </c>
      <c r="D28" s="16">
        <v>123</v>
      </c>
      <c r="E28" s="16" t="s">
        <v>64</v>
      </c>
      <c r="F28" s="16">
        <v>2007</v>
      </c>
      <c r="G28" s="16" t="s">
        <v>1945</v>
      </c>
      <c r="H28" s="10">
        <v>32386.2</v>
      </c>
      <c r="I28" s="16" t="s">
        <v>27</v>
      </c>
      <c r="J28" s="10">
        <v>2809357.69</v>
      </c>
      <c r="K28" s="16" t="s">
        <v>27</v>
      </c>
      <c r="L28" s="16">
        <v>191552</v>
      </c>
      <c r="M28" s="16" t="s">
        <v>32</v>
      </c>
      <c r="O28" s="16">
        <v>1</v>
      </c>
    </row>
    <row r="29" spans="1:16" s="16" customFormat="1" x14ac:dyDescent="0.25">
      <c r="A29" s="16">
        <v>8003879954</v>
      </c>
      <c r="B29" s="16">
        <v>18</v>
      </c>
      <c r="C29" s="16">
        <v>29102018</v>
      </c>
      <c r="D29" s="16">
        <v>341</v>
      </c>
      <c r="E29" s="16" t="s">
        <v>25</v>
      </c>
      <c r="F29" s="16">
        <v>9938</v>
      </c>
      <c r="G29" s="16" t="s">
        <v>1946</v>
      </c>
      <c r="H29" s="10">
        <v>240</v>
      </c>
      <c r="I29" s="16" t="s">
        <v>26</v>
      </c>
      <c r="J29" s="10">
        <v>2776971.49</v>
      </c>
      <c r="K29" s="16" t="s">
        <v>27</v>
      </c>
      <c r="L29" s="16">
        <v>182353</v>
      </c>
      <c r="M29" s="16" t="s">
        <v>245</v>
      </c>
      <c r="O29" s="16">
        <v>1</v>
      </c>
      <c r="P29" s="16" t="s">
        <v>1947</v>
      </c>
    </row>
    <row r="30" spans="1:16" s="16" customFormat="1" x14ac:dyDescent="0.25">
      <c r="A30" s="16">
        <v>8003879954</v>
      </c>
      <c r="B30" s="16">
        <v>17</v>
      </c>
      <c r="C30" s="16">
        <v>29102018</v>
      </c>
      <c r="D30" s="16">
        <v>489</v>
      </c>
      <c r="E30" s="16" t="s">
        <v>31</v>
      </c>
      <c r="F30" s="16">
        <v>9938</v>
      </c>
      <c r="G30" s="16" t="s">
        <v>1946</v>
      </c>
      <c r="H30" s="10">
        <v>0.1</v>
      </c>
      <c r="I30" s="16" t="s">
        <v>26</v>
      </c>
      <c r="J30" s="10">
        <v>2777211.49</v>
      </c>
      <c r="K30" s="16" t="s">
        <v>27</v>
      </c>
      <c r="L30" s="16">
        <v>182353</v>
      </c>
      <c r="M30" s="16" t="s">
        <v>1948</v>
      </c>
      <c r="O30" s="16">
        <v>1</v>
      </c>
    </row>
    <row r="31" spans="1:16" s="16" customFormat="1" x14ac:dyDescent="0.25">
      <c r="A31" s="16">
        <v>8003879954</v>
      </c>
      <c r="B31" s="16">
        <v>16</v>
      </c>
      <c r="C31" s="16">
        <v>29102018</v>
      </c>
      <c r="D31" s="16">
        <v>345</v>
      </c>
      <c r="E31" s="16" t="s">
        <v>51</v>
      </c>
      <c r="F31" s="16">
        <v>9938</v>
      </c>
      <c r="G31" s="16" t="s">
        <v>1949</v>
      </c>
      <c r="H31" s="10">
        <v>2137.5700000000002</v>
      </c>
      <c r="I31" s="16" t="s">
        <v>26</v>
      </c>
      <c r="J31" s="10">
        <v>2777211.59</v>
      </c>
      <c r="K31" s="16" t="s">
        <v>27</v>
      </c>
      <c r="L31" s="16">
        <v>182352</v>
      </c>
      <c r="M31" s="16" t="s">
        <v>1950</v>
      </c>
      <c r="O31" s="16">
        <v>1</v>
      </c>
      <c r="P31" s="16" t="s">
        <v>1951</v>
      </c>
    </row>
    <row r="32" spans="1:16" s="16" customFormat="1" x14ac:dyDescent="0.25">
      <c r="A32" s="16">
        <v>8003879954</v>
      </c>
      <c r="B32" s="16">
        <v>15</v>
      </c>
      <c r="C32" s="16">
        <v>29102018</v>
      </c>
      <c r="D32" s="16">
        <v>341</v>
      </c>
      <c r="E32" s="16" t="s">
        <v>25</v>
      </c>
      <c r="F32" s="16">
        <v>9938</v>
      </c>
      <c r="G32" s="16" t="s">
        <v>1952</v>
      </c>
      <c r="H32" s="10">
        <v>180</v>
      </c>
      <c r="I32" s="16" t="s">
        <v>26</v>
      </c>
      <c r="J32" s="10">
        <v>2779349.16</v>
      </c>
      <c r="K32" s="16" t="s">
        <v>27</v>
      </c>
      <c r="L32" s="16">
        <v>182208</v>
      </c>
      <c r="M32" s="16" t="s">
        <v>40</v>
      </c>
      <c r="O32" s="16">
        <v>1</v>
      </c>
      <c r="P32" s="16" t="s">
        <v>1953</v>
      </c>
    </row>
    <row r="33" spans="1:16" s="16" customFormat="1" x14ac:dyDescent="0.25">
      <c r="A33" s="16">
        <v>8003879954</v>
      </c>
      <c r="B33" s="16">
        <v>14</v>
      </c>
      <c r="C33" s="16">
        <v>29102018</v>
      </c>
      <c r="D33" s="16">
        <v>489</v>
      </c>
      <c r="E33" s="16" t="s">
        <v>31</v>
      </c>
      <c r="F33" s="16">
        <v>9938</v>
      </c>
      <c r="G33" s="16" t="s">
        <v>1952</v>
      </c>
      <c r="H33" s="10">
        <v>0.1</v>
      </c>
      <c r="I33" s="16" t="s">
        <v>26</v>
      </c>
      <c r="J33" s="10">
        <v>2779529.16</v>
      </c>
      <c r="K33" s="16" t="s">
        <v>27</v>
      </c>
      <c r="L33" s="16">
        <v>182208</v>
      </c>
      <c r="M33" s="16" t="s">
        <v>1954</v>
      </c>
      <c r="O33" s="16">
        <v>1</v>
      </c>
    </row>
    <row r="34" spans="1:16" s="16" customFormat="1" x14ac:dyDescent="0.25">
      <c r="A34" s="16">
        <v>8003879954</v>
      </c>
      <c r="B34" s="16">
        <v>13</v>
      </c>
      <c r="C34" s="16">
        <v>29102018</v>
      </c>
      <c r="D34" s="16">
        <v>341</v>
      </c>
      <c r="E34" s="16" t="s">
        <v>25</v>
      </c>
      <c r="F34" s="16">
        <v>9938</v>
      </c>
      <c r="G34" s="16" t="s">
        <v>1955</v>
      </c>
      <c r="H34" s="10">
        <v>150</v>
      </c>
      <c r="I34" s="16" t="s">
        <v>26</v>
      </c>
      <c r="J34" s="10">
        <v>2779529.26</v>
      </c>
      <c r="K34" s="16" t="s">
        <v>27</v>
      </c>
      <c r="L34" s="16">
        <v>182208</v>
      </c>
      <c r="M34" s="16" t="s">
        <v>212</v>
      </c>
      <c r="O34" s="16">
        <v>1</v>
      </c>
      <c r="P34" s="16" t="s">
        <v>1956</v>
      </c>
    </row>
    <row r="35" spans="1:16" s="16" customFormat="1" x14ac:dyDescent="0.25">
      <c r="A35" s="16">
        <v>8003879954</v>
      </c>
      <c r="B35" s="16">
        <v>12</v>
      </c>
      <c r="C35" s="16">
        <v>29102018</v>
      </c>
      <c r="D35" s="16">
        <v>489</v>
      </c>
      <c r="E35" s="16" t="s">
        <v>31</v>
      </c>
      <c r="F35" s="16">
        <v>9938</v>
      </c>
      <c r="G35" s="16" t="s">
        <v>1955</v>
      </c>
      <c r="H35" s="10">
        <v>0.1</v>
      </c>
      <c r="I35" s="16" t="s">
        <v>26</v>
      </c>
      <c r="J35" s="10">
        <v>2779679.26</v>
      </c>
      <c r="K35" s="16" t="s">
        <v>27</v>
      </c>
      <c r="L35" s="16">
        <v>182208</v>
      </c>
      <c r="M35" s="16" t="s">
        <v>1957</v>
      </c>
      <c r="O35" s="16">
        <v>1</v>
      </c>
    </row>
    <row r="36" spans="1:16" s="16" customFormat="1" x14ac:dyDescent="0.25">
      <c r="A36" s="16">
        <v>8003879954</v>
      </c>
      <c r="B36" s="16">
        <v>11</v>
      </c>
      <c r="C36" s="16">
        <v>29102018</v>
      </c>
      <c r="D36" s="16">
        <v>60</v>
      </c>
      <c r="E36" s="16" t="s">
        <v>37</v>
      </c>
      <c r="F36" s="16">
        <v>9938</v>
      </c>
      <c r="G36" s="16" t="s">
        <v>1958</v>
      </c>
      <c r="H36" s="10">
        <v>709.1</v>
      </c>
      <c r="I36" s="16" t="s">
        <v>26</v>
      </c>
      <c r="J36" s="10">
        <v>2779679.36</v>
      </c>
      <c r="K36" s="16" t="s">
        <v>27</v>
      </c>
      <c r="L36" s="16">
        <v>182208</v>
      </c>
      <c r="M36" s="16" t="s">
        <v>1959</v>
      </c>
      <c r="O36" s="16">
        <v>1</v>
      </c>
      <c r="P36" s="16" t="s">
        <v>1960</v>
      </c>
    </row>
    <row r="37" spans="1:16" s="16" customFormat="1" x14ac:dyDescent="0.25">
      <c r="A37" s="16">
        <v>8003879954</v>
      </c>
      <c r="B37" s="16">
        <v>10</v>
      </c>
      <c r="C37" s="16">
        <v>29102018</v>
      </c>
      <c r="D37" s="16">
        <v>60</v>
      </c>
      <c r="E37" s="16" t="s">
        <v>37</v>
      </c>
      <c r="F37" s="16">
        <v>9938</v>
      </c>
      <c r="G37" s="16" t="s">
        <v>1961</v>
      </c>
      <c r="H37" s="10">
        <v>270</v>
      </c>
      <c r="I37" s="16" t="s">
        <v>26</v>
      </c>
      <c r="J37" s="10">
        <v>2780388.46</v>
      </c>
      <c r="K37" s="16" t="s">
        <v>27</v>
      </c>
      <c r="L37" s="16">
        <v>182208</v>
      </c>
      <c r="M37" s="16" t="s">
        <v>1962</v>
      </c>
      <c r="O37" s="16">
        <v>1</v>
      </c>
      <c r="P37" s="16" t="s">
        <v>1963</v>
      </c>
    </row>
    <row r="38" spans="1:16" s="16" customFormat="1" x14ac:dyDescent="0.25">
      <c r="A38" s="16">
        <v>8003879954</v>
      </c>
      <c r="B38" s="16">
        <v>9</v>
      </c>
      <c r="C38" s="16">
        <v>29102018</v>
      </c>
      <c r="D38" s="16">
        <v>345</v>
      </c>
      <c r="E38" s="16" t="s">
        <v>51</v>
      </c>
      <c r="F38" s="16">
        <v>9938</v>
      </c>
      <c r="G38" s="16" t="s">
        <v>1964</v>
      </c>
      <c r="H38" s="10">
        <v>3046.32</v>
      </c>
      <c r="I38" s="16" t="s">
        <v>26</v>
      </c>
      <c r="J38" s="10">
        <v>2780658.46</v>
      </c>
      <c r="K38" s="16" t="s">
        <v>27</v>
      </c>
      <c r="L38" s="16">
        <v>182208</v>
      </c>
      <c r="M38" s="16" t="s">
        <v>1965</v>
      </c>
      <c r="O38" s="16">
        <v>1</v>
      </c>
      <c r="P38" s="16" t="s">
        <v>1966</v>
      </c>
    </row>
    <row r="39" spans="1:16" s="16" customFormat="1" x14ac:dyDescent="0.25">
      <c r="A39" s="16">
        <v>8003879954</v>
      </c>
      <c r="B39" s="16">
        <v>8</v>
      </c>
      <c r="C39" s="16">
        <v>29102018</v>
      </c>
      <c r="D39" s="16">
        <v>341</v>
      </c>
      <c r="E39" s="16" t="s">
        <v>25</v>
      </c>
      <c r="F39" s="16">
        <v>9938</v>
      </c>
      <c r="G39" s="16" t="s">
        <v>1967</v>
      </c>
      <c r="H39" s="10">
        <v>860</v>
      </c>
      <c r="I39" s="16" t="s">
        <v>26</v>
      </c>
      <c r="J39" s="10">
        <v>2783704.78</v>
      </c>
      <c r="K39" s="16" t="s">
        <v>27</v>
      </c>
      <c r="L39" s="16">
        <v>182207</v>
      </c>
      <c r="M39" s="16" t="s">
        <v>39</v>
      </c>
      <c r="O39" s="16">
        <v>1</v>
      </c>
      <c r="P39" s="16" t="s">
        <v>1968</v>
      </c>
    </row>
    <row r="40" spans="1:16" s="16" customFormat="1" x14ac:dyDescent="0.25">
      <c r="A40" s="16">
        <v>8003879954</v>
      </c>
      <c r="B40" s="16">
        <v>7</v>
      </c>
      <c r="C40" s="16">
        <v>29102018</v>
      </c>
      <c r="D40" s="16">
        <v>489</v>
      </c>
      <c r="E40" s="16" t="s">
        <v>31</v>
      </c>
      <c r="F40" s="16">
        <v>9938</v>
      </c>
      <c r="G40" s="16" t="s">
        <v>1967</v>
      </c>
      <c r="H40" s="10">
        <v>0.1</v>
      </c>
      <c r="I40" s="16" t="s">
        <v>26</v>
      </c>
      <c r="J40" s="10">
        <v>2784564.78</v>
      </c>
      <c r="K40" s="16" t="s">
        <v>27</v>
      </c>
      <c r="L40" s="16">
        <v>182207</v>
      </c>
      <c r="M40" s="16" t="s">
        <v>1969</v>
      </c>
      <c r="O40" s="16">
        <v>1</v>
      </c>
    </row>
    <row r="41" spans="1:16" s="16" customFormat="1" x14ac:dyDescent="0.25">
      <c r="A41" s="16">
        <v>8003879954</v>
      </c>
      <c r="B41" s="16">
        <v>6</v>
      </c>
      <c r="C41" s="16">
        <v>29102018</v>
      </c>
      <c r="D41" s="16">
        <v>60</v>
      </c>
      <c r="E41" s="16" t="s">
        <v>37</v>
      </c>
      <c r="F41" s="16">
        <v>9938</v>
      </c>
      <c r="G41" s="16" t="s">
        <v>1970</v>
      </c>
      <c r="H41" s="10">
        <v>8500</v>
      </c>
      <c r="I41" s="16" t="s">
        <v>26</v>
      </c>
      <c r="J41" s="10">
        <v>2784564.88</v>
      </c>
      <c r="K41" s="16" t="s">
        <v>27</v>
      </c>
      <c r="L41" s="16">
        <v>182207</v>
      </c>
      <c r="M41" s="16" t="s">
        <v>1971</v>
      </c>
      <c r="O41" s="16">
        <v>1</v>
      </c>
      <c r="P41" s="16" t="s">
        <v>1972</v>
      </c>
    </row>
    <row r="42" spans="1:16" s="16" customFormat="1" x14ac:dyDescent="0.25">
      <c r="A42" s="16">
        <v>8003879954</v>
      </c>
      <c r="B42" s="16">
        <v>5</v>
      </c>
      <c r="C42" s="16">
        <v>29102018</v>
      </c>
      <c r="D42" s="16">
        <v>345</v>
      </c>
      <c r="E42" s="16" t="s">
        <v>51</v>
      </c>
      <c r="F42" s="16">
        <v>9938</v>
      </c>
      <c r="G42" s="16" t="s">
        <v>1973</v>
      </c>
      <c r="H42" s="10">
        <v>4396.37</v>
      </c>
      <c r="I42" s="16" t="s">
        <v>26</v>
      </c>
      <c r="J42" s="10">
        <v>2793064.88</v>
      </c>
      <c r="K42" s="16" t="s">
        <v>27</v>
      </c>
      <c r="L42" s="16">
        <v>182207</v>
      </c>
      <c r="M42" s="16" t="s">
        <v>1974</v>
      </c>
      <c r="O42" s="16">
        <v>1</v>
      </c>
      <c r="P42" s="16" t="s">
        <v>1975</v>
      </c>
    </row>
    <row r="43" spans="1:16" s="16" customFormat="1" x14ac:dyDescent="0.25">
      <c r="A43" s="16">
        <v>8003879954</v>
      </c>
      <c r="B43" s="16">
        <v>4</v>
      </c>
      <c r="C43" s="16">
        <v>29102018</v>
      </c>
      <c r="D43" s="16">
        <v>60</v>
      </c>
      <c r="E43" s="16" t="s">
        <v>37</v>
      </c>
      <c r="F43" s="16">
        <v>9938</v>
      </c>
      <c r="G43" s="16" t="s">
        <v>1976</v>
      </c>
      <c r="H43" s="10">
        <v>3260</v>
      </c>
      <c r="I43" s="16" t="s">
        <v>26</v>
      </c>
      <c r="J43" s="10">
        <v>2797461.25</v>
      </c>
      <c r="K43" s="16" t="s">
        <v>27</v>
      </c>
      <c r="L43" s="16">
        <v>182207</v>
      </c>
      <c r="M43" s="16" t="s">
        <v>1977</v>
      </c>
      <c r="O43" s="16">
        <v>1</v>
      </c>
      <c r="P43" s="16" t="s">
        <v>1978</v>
      </c>
    </row>
    <row r="44" spans="1:16" s="16" customFormat="1" x14ac:dyDescent="0.25">
      <c r="A44" s="16">
        <v>8003879954</v>
      </c>
      <c r="B44" s="16">
        <v>3</v>
      </c>
      <c r="C44" s="16">
        <v>29102018</v>
      </c>
      <c r="D44" s="16">
        <v>60</v>
      </c>
      <c r="E44" s="16" t="s">
        <v>37</v>
      </c>
      <c r="F44" s="16">
        <v>9938</v>
      </c>
      <c r="G44" s="16" t="s">
        <v>1979</v>
      </c>
      <c r="H44" s="10">
        <v>360.4</v>
      </c>
      <c r="I44" s="16" t="s">
        <v>26</v>
      </c>
      <c r="J44" s="10">
        <v>2800721.25</v>
      </c>
      <c r="K44" s="16" t="s">
        <v>27</v>
      </c>
      <c r="L44" s="16">
        <v>182207</v>
      </c>
      <c r="M44" s="16" t="s">
        <v>1980</v>
      </c>
      <c r="O44" s="16">
        <v>1</v>
      </c>
      <c r="P44" s="16" t="s">
        <v>1981</v>
      </c>
    </row>
    <row r="45" spans="1:16" s="16" customFormat="1" x14ac:dyDescent="0.25">
      <c r="A45" s="16">
        <v>8003879954</v>
      </c>
      <c r="B45" s="16">
        <v>2</v>
      </c>
      <c r="C45" s="16">
        <v>29102018</v>
      </c>
      <c r="D45" s="16">
        <v>415</v>
      </c>
      <c r="E45" s="16" t="s">
        <v>48</v>
      </c>
      <c r="F45" s="16">
        <v>72</v>
      </c>
      <c r="G45" s="16" t="s">
        <v>1982</v>
      </c>
      <c r="H45" s="10">
        <v>30</v>
      </c>
      <c r="I45" s="16" t="s">
        <v>26</v>
      </c>
      <c r="J45" s="10">
        <v>2801081.65</v>
      </c>
      <c r="K45" s="16" t="s">
        <v>27</v>
      </c>
      <c r="L45" s="16">
        <v>172728</v>
      </c>
      <c r="M45" s="16" t="s">
        <v>1983</v>
      </c>
      <c r="O45" s="16">
        <v>1</v>
      </c>
    </row>
    <row r="46" spans="1:16" s="16" customFormat="1" x14ac:dyDescent="0.25">
      <c r="A46" s="16">
        <v>8003879954</v>
      </c>
      <c r="B46" s="16">
        <v>1</v>
      </c>
      <c r="C46" s="16">
        <v>29102018</v>
      </c>
      <c r="D46" s="16">
        <v>349</v>
      </c>
      <c r="E46" s="16" t="s">
        <v>49</v>
      </c>
      <c r="F46" s="16">
        <v>72</v>
      </c>
      <c r="G46" s="16" t="s">
        <v>1982</v>
      </c>
      <c r="H46" s="10">
        <v>51097.67</v>
      </c>
      <c r="I46" s="16" t="s">
        <v>26</v>
      </c>
      <c r="J46" s="10">
        <v>2801111.65</v>
      </c>
      <c r="K46" s="16" t="s">
        <v>27</v>
      </c>
      <c r="L46" s="16">
        <v>172728</v>
      </c>
      <c r="M46" s="16" t="s">
        <v>1983</v>
      </c>
      <c r="O46" s="16">
        <v>1</v>
      </c>
    </row>
    <row r="47" spans="1:16" s="16" customFormat="1" x14ac:dyDescent="0.25">
      <c r="A47" s="16">
        <v>8003879954</v>
      </c>
      <c r="B47" s="16">
        <v>21</v>
      </c>
      <c r="C47" s="16">
        <v>26102018</v>
      </c>
      <c r="D47" s="16">
        <v>345</v>
      </c>
      <c r="E47" s="16" t="s">
        <v>51</v>
      </c>
      <c r="F47" s="16">
        <v>9938</v>
      </c>
      <c r="G47" s="16" t="s">
        <v>1984</v>
      </c>
      <c r="H47" s="10">
        <v>234.55</v>
      </c>
      <c r="I47" s="16" t="s">
        <v>26</v>
      </c>
      <c r="J47" s="10">
        <v>2852209.32</v>
      </c>
      <c r="K47" s="16" t="s">
        <v>27</v>
      </c>
      <c r="L47" s="16">
        <v>174440</v>
      </c>
      <c r="M47" s="16" t="s">
        <v>1985</v>
      </c>
      <c r="O47" s="16">
        <v>1</v>
      </c>
      <c r="P47" s="16" t="s">
        <v>1986</v>
      </c>
    </row>
    <row r="48" spans="1:16" s="16" customFormat="1" x14ac:dyDescent="0.25">
      <c r="A48" s="16">
        <v>8003879954</v>
      </c>
      <c r="B48" s="16">
        <v>20</v>
      </c>
      <c r="C48" s="16">
        <v>26102018</v>
      </c>
      <c r="D48" s="16">
        <v>341</v>
      </c>
      <c r="E48" s="16" t="s">
        <v>25</v>
      </c>
      <c r="F48" s="16">
        <v>9938</v>
      </c>
      <c r="G48" s="16" t="s">
        <v>1987</v>
      </c>
      <c r="H48" s="10">
        <v>28.75</v>
      </c>
      <c r="I48" s="16" t="s">
        <v>26</v>
      </c>
      <c r="J48" s="10">
        <v>2852443.87</v>
      </c>
      <c r="K48" s="16" t="s">
        <v>27</v>
      </c>
      <c r="L48" s="16">
        <v>174435</v>
      </c>
      <c r="M48" s="16" t="s">
        <v>75</v>
      </c>
      <c r="O48" s="16">
        <v>1</v>
      </c>
      <c r="P48" s="16" t="s">
        <v>1988</v>
      </c>
    </row>
    <row r="49" spans="1:16" s="16" customFormat="1" x14ac:dyDescent="0.25">
      <c r="A49" s="16">
        <v>8003879954</v>
      </c>
      <c r="B49" s="16">
        <v>19</v>
      </c>
      <c r="C49" s="16">
        <v>26102018</v>
      </c>
      <c r="D49" s="16">
        <v>489</v>
      </c>
      <c r="E49" s="16" t="s">
        <v>31</v>
      </c>
      <c r="F49" s="16">
        <v>9938</v>
      </c>
      <c r="G49" s="16" t="s">
        <v>1987</v>
      </c>
      <c r="H49" s="10">
        <v>0.1</v>
      </c>
      <c r="I49" s="16" t="s">
        <v>26</v>
      </c>
      <c r="J49" s="10">
        <v>2852472.62</v>
      </c>
      <c r="K49" s="16" t="s">
        <v>27</v>
      </c>
      <c r="L49" s="16">
        <v>174435</v>
      </c>
      <c r="M49" s="16" t="s">
        <v>1989</v>
      </c>
      <c r="O49" s="16">
        <v>1</v>
      </c>
    </row>
    <row r="50" spans="1:16" s="16" customFormat="1" x14ac:dyDescent="0.25">
      <c r="A50" s="16">
        <v>8003879954</v>
      </c>
      <c r="B50" s="16">
        <v>18</v>
      </c>
      <c r="C50" s="16">
        <v>26102018</v>
      </c>
      <c r="D50" s="16">
        <v>345</v>
      </c>
      <c r="E50" s="16" t="s">
        <v>51</v>
      </c>
      <c r="F50" s="16">
        <v>9938</v>
      </c>
      <c r="G50" s="16" t="s">
        <v>1990</v>
      </c>
      <c r="H50" s="10">
        <v>1317.99</v>
      </c>
      <c r="I50" s="16" t="s">
        <v>26</v>
      </c>
      <c r="J50" s="10">
        <v>2852472.72</v>
      </c>
      <c r="K50" s="16" t="s">
        <v>27</v>
      </c>
      <c r="L50" s="16">
        <v>174435</v>
      </c>
      <c r="M50" s="16" t="s">
        <v>1991</v>
      </c>
      <c r="O50" s="16">
        <v>1</v>
      </c>
      <c r="P50" s="16" t="s">
        <v>1992</v>
      </c>
    </row>
    <row r="51" spans="1:16" s="16" customFormat="1" x14ac:dyDescent="0.25">
      <c r="A51" s="16">
        <v>8003879954</v>
      </c>
      <c r="B51" s="16">
        <v>17</v>
      </c>
      <c r="C51" s="16">
        <v>26102018</v>
      </c>
      <c r="D51" s="16">
        <v>341</v>
      </c>
      <c r="E51" s="16" t="s">
        <v>25</v>
      </c>
      <c r="F51" s="16">
        <v>9938</v>
      </c>
      <c r="G51" s="16" t="s">
        <v>1993</v>
      </c>
      <c r="H51" s="10">
        <v>2000</v>
      </c>
      <c r="I51" s="16" t="s">
        <v>26</v>
      </c>
      <c r="J51" s="10">
        <v>2853790.71</v>
      </c>
      <c r="K51" s="16" t="s">
        <v>27</v>
      </c>
      <c r="L51" s="16">
        <v>174306</v>
      </c>
      <c r="M51" s="16" t="s">
        <v>43</v>
      </c>
      <c r="O51" s="16">
        <v>1</v>
      </c>
      <c r="P51" s="16" t="s">
        <v>1994</v>
      </c>
    </row>
    <row r="52" spans="1:16" s="16" customFormat="1" x14ac:dyDescent="0.25">
      <c r="A52" s="16">
        <v>8003879954</v>
      </c>
      <c r="B52" s="16">
        <v>16</v>
      </c>
      <c r="C52" s="16">
        <v>26102018</v>
      </c>
      <c r="D52" s="16">
        <v>489</v>
      </c>
      <c r="E52" s="16" t="s">
        <v>31</v>
      </c>
      <c r="F52" s="16">
        <v>9938</v>
      </c>
      <c r="G52" s="16" t="s">
        <v>1993</v>
      </c>
      <c r="H52" s="10">
        <v>0.1</v>
      </c>
      <c r="I52" s="16" t="s">
        <v>26</v>
      </c>
      <c r="J52" s="10">
        <v>2855790.71</v>
      </c>
      <c r="K52" s="16" t="s">
        <v>27</v>
      </c>
      <c r="L52" s="16">
        <v>174306</v>
      </c>
      <c r="M52" s="16" t="s">
        <v>1995</v>
      </c>
      <c r="O52" s="16">
        <v>1</v>
      </c>
    </row>
    <row r="53" spans="1:16" s="16" customFormat="1" x14ac:dyDescent="0.25">
      <c r="A53" s="16">
        <v>8003879954</v>
      </c>
      <c r="B53" s="16">
        <v>15</v>
      </c>
      <c r="C53" s="16">
        <v>26102018</v>
      </c>
      <c r="D53" s="16">
        <v>341</v>
      </c>
      <c r="E53" s="16" t="s">
        <v>25</v>
      </c>
      <c r="F53" s="16">
        <v>9938</v>
      </c>
      <c r="G53" s="16" t="s">
        <v>1996</v>
      </c>
      <c r="H53" s="10">
        <v>360</v>
      </c>
      <c r="I53" s="16" t="s">
        <v>26</v>
      </c>
      <c r="J53" s="10">
        <v>2855790.81</v>
      </c>
      <c r="K53" s="16" t="s">
        <v>27</v>
      </c>
      <c r="L53" s="16">
        <v>174306</v>
      </c>
      <c r="M53" s="16" t="s">
        <v>47</v>
      </c>
      <c r="O53" s="16">
        <v>1</v>
      </c>
      <c r="P53" s="16" t="s">
        <v>1997</v>
      </c>
    </row>
    <row r="54" spans="1:16" s="16" customFormat="1" x14ac:dyDescent="0.25">
      <c r="A54" s="16">
        <v>8003879954</v>
      </c>
      <c r="B54" s="16">
        <v>14</v>
      </c>
      <c r="C54" s="16">
        <v>26102018</v>
      </c>
      <c r="D54" s="16">
        <v>489</v>
      </c>
      <c r="E54" s="16" t="s">
        <v>31</v>
      </c>
      <c r="F54" s="16">
        <v>9938</v>
      </c>
      <c r="G54" s="16" t="s">
        <v>1996</v>
      </c>
      <c r="H54" s="10">
        <v>0.1</v>
      </c>
      <c r="I54" s="16" t="s">
        <v>26</v>
      </c>
      <c r="J54" s="10">
        <v>2856150.81</v>
      </c>
      <c r="K54" s="16" t="s">
        <v>27</v>
      </c>
      <c r="L54" s="16">
        <v>174306</v>
      </c>
      <c r="M54" s="16" t="s">
        <v>1998</v>
      </c>
      <c r="O54" s="16">
        <v>1</v>
      </c>
    </row>
    <row r="55" spans="1:16" s="16" customFormat="1" x14ac:dyDescent="0.25">
      <c r="A55" s="16">
        <v>8003879954</v>
      </c>
      <c r="B55" s="16">
        <v>13</v>
      </c>
      <c r="C55" s="16">
        <v>26102018</v>
      </c>
      <c r="D55" s="16">
        <v>341</v>
      </c>
      <c r="E55" s="16" t="s">
        <v>25</v>
      </c>
      <c r="F55" s="16">
        <v>9938</v>
      </c>
      <c r="G55" s="16" t="s">
        <v>1999</v>
      </c>
      <c r="H55" s="10">
        <v>254.7</v>
      </c>
      <c r="I55" s="16" t="s">
        <v>26</v>
      </c>
      <c r="J55" s="10">
        <v>2856150.91</v>
      </c>
      <c r="K55" s="16" t="s">
        <v>27</v>
      </c>
      <c r="L55" s="16">
        <v>174304</v>
      </c>
      <c r="M55" s="16" t="s">
        <v>967</v>
      </c>
      <c r="O55" s="16">
        <v>1</v>
      </c>
      <c r="P55" s="16" t="s">
        <v>2000</v>
      </c>
    </row>
    <row r="56" spans="1:16" s="16" customFormat="1" x14ac:dyDescent="0.25">
      <c r="A56" s="16">
        <v>8003879954</v>
      </c>
      <c r="B56" s="16">
        <v>12</v>
      </c>
      <c r="C56" s="16">
        <v>26102018</v>
      </c>
      <c r="D56" s="16">
        <v>489</v>
      </c>
      <c r="E56" s="16" t="s">
        <v>31</v>
      </c>
      <c r="F56" s="16">
        <v>9938</v>
      </c>
      <c r="G56" s="16" t="s">
        <v>1999</v>
      </c>
      <c r="H56" s="10">
        <v>0.1</v>
      </c>
      <c r="I56" s="16" t="s">
        <v>26</v>
      </c>
      <c r="J56" s="10">
        <v>2856405.61</v>
      </c>
      <c r="K56" s="16" t="s">
        <v>27</v>
      </c>
      <c r="L56" s="16">
        <v>174304</v>
      </c>
      <c r="M56" s="16" t="s">
        <v>2001</v>
      </c>
      <c r="O56" s="16">
        <v>1</v>
      </c>
    </row>
    <row r="57" spans="1:16" s="16" customFormat="1" x14ac:dyDescent="0.25">
      <c r="A57" s="16">
        <v>8003879954</v>
      </c>
      <c r="B57" s="16">
        <v>11</v>
      </c>
      <c r="C57" s="16">
        <v>26102018</v>
      </c>
      <c r="D57" s="16">
        <v>341</v>
      </c>
      <c r="E57" s="16" t="s">
        <v>25</v>
      </c>
      <c r="F57" s="16">
        <v>9938</v>
      </c>
      <c r="G57" s="16" t="s">
        <v>2002</v>
      </c>
      <c r="H57" s="10">
        <v>1500</v>
      </c>
      <c r="I57" s="16" t="s">
        <v>26</v>
      </c>
      <c r="J57" s="10">
        <v>2856405.71</v>
      </c>
      <c r="K57" s="16" t="s">
        <v>27</v>
      </c>
      <c r="L57" s="16">
        <v>174304</v>
      </c>
      <c r="M57" s="16" t="s">
        <v>810</v>
      </c>
      <c r="O57" s="16">
        <v>1</v>
      </c>
      <c r="P57" s="16" t="s">
        <v>2003</v>
      </c>
    </row>
    <row r="58" spans="1:16" s="16" customFormat="1" x14ac:dyDescent="0.25">
      <c r="A58" s="16">
        <v>8003879954</v>
      </c>
      <c r="B58" s="16">
        <v>10</v>
      </c>
      <c r="C58" s="16">
        <v>26102018</v>
      </c>
      <c r="D58" s="16">
        <v>489</v>
      </c>
      <c r="E58" s="16" t="s">
        <v>31</v>
      </c>
      <c r="F58" s="16">
        <v>9938</v>
      </c>
      <c r="G58" s="16" t="s">
        <v>2002</v>
      </c>
      <c r="H58" s="10">
        <v>0.1</v>
      </c>
      <c r="I58" s="16" t="s">
        <v>26</v>
      </c>
      <c r="J58" s="10">
        <v>2857905.71</v>
      </c>
      <c r="K58" s="16" t="s">
        <v>27</v>
      </c>
      <c r="L58" s="16">
        <v>174304</v>
      </c>
      <c r="M58" s="16" t="s">
        <v>2004</v>
      </c>
      <c r="O58" s="16">
        <v>1</v>
      </c>
    </row>
    <row r="59" spans="1:16" s="16" customFormat="1" x14ac:dyDescent="0.25">
      <c r="A59" s="16">
        <v>8003879954</v>
      </c>
      <c r="B59" s="16">
        <v>9</v>
      </c>
      <c r="C59" s="16">
        <v>26102018</v>
      </c>
      <c r="D59" s="16">
        <v>341</v>
      </c>
      <c r="E59" s="16" t="s">
        <v>25</v>
      </c>
      <c r="F59" s="16">
        <v>9938</v>
      </c>
      <c r="G59" s="16" t="s">
        <v>2005</v>
      </c>
      <c r="H59" s="10">
        <v>2000</v>
      </c>
      <c r="I59" s="16" t="s">
        <v>26</v>
      </c>
      <c r="J59" s="10">
        <v>2857905.81</v>
      </c>
      <c r="K59" s="16" t="s">
        <v>27</v>
      </c>
      <c r="L59" s="16">
        <v>174303</v>
      </c>
      <c r="M59" s="16" t="s">
        <v>314</v>
      </c>
      <c r="O59" s="16">
        <v>1</v>
      </c>
      <c r="P59" s="16" t="s">
        <v>2006</v>
      </c>
    </row>
    <row r="60" spans="1:16" s="16" customFormat="1" x14ac:dyDescent="0.25">
      <c r="A60" s="16">
        <v>8003879954</v>
      </c>
      <c r="B60" s="16">
        <v>8</v>
      </c>
      <c r="C60" s="16">
        <v>26102018</v>
      </c>
      <c r="D60" s="16">
        <v>489</v>
      </c>
      <c r="E60" s="16" t="s">
        <v>31</v>
      </c>
      <c r="F60" s="16">
        <v>9938</v>
      </c>
      <c r="G60" s="16" t="s">
        <v>2005</v>
      </c>
      <c r="H60" s="10">
        <v>0.1</v>
      </c>
      <c r="I60" s="16" t="s">
        <v>26</v>
      </c>
      <c r="J60" s="10">
        <v>2859905.81</v>
      </c>
      <c r="K60" s="16" t="s">
        <v>27</v>
      </c>
      <c r="L60" s="16">
        <v>174303</v>
      </c>
      <c r="M60" s="16" t="s">
        <v>2007</v>
      </c>
      <c r="O60" s="16">
        <v>1</v>
      </c>
    </row>
    <row r="61" spans="1:16" s="16" customFormat="1" x14ac:dyDescent="0.25">
      <c r="A61" s="16">
        <v>8003879954</v>
      </c>
      <c r="B61" s="16">
        <v>7</v>
      </c>
      <c r="C61" s="16">
        <v>26102018</v>
      </c>
      <c r="D61" s="16">
        <v>60</v>
      </c>
      <c r="E61" s="16" t="s">
        <v>37</v>
      </c>
      <c r="F61" s="16">
        <v>9938</v>
      </c>
      <c r="G61" s="16" t="s">
        <v>2008</v>
      </c>
      <c r="H61" s="10">
        <v>386.08</v>
      </c>
      <c r="I61" s="16" t="s">
        <v>26</v>
      </c>
      <c r="J61" s="10">
        <v>2859905.91</v>
      </c>
      <c r="K61" s="16" t="s">
        <v>27</v>
      </c>
      <c r="L61" s="16">
        <v>174301</v>
      </c>
      <c r="M61" s="16" t="s">
        <v>1287</v>
      </c>
      <c r="O61" s="16">
        <v>1</v>
      </c>
      <c r="P61" s="16" t="s">
        <v>1288</v>
      </c>
    </row>
    <row r="62" spans="1:16" s="16" customFormat="1" x14ac:dyDescent="0.25">
      <c r="A62" s="16">
        <v>8003879954</v>
      </c>
      <c r="B62" s="16">
        <v>6</v>
      </c>
      <c r="C62" s="16">
        <v>26102018</v>
      </c>
      <c r="D62" s="16">
        <v>341</v>
      </c>
      <c r="E62" s="16" t="s">
        <v>25</v>
      </c>
      <c r="F62" s="16">
        <v>9938</v>
      </c>
      <c r="G62" s="16" t="s">
        <v>2009</v>
      </c>
      <c r="H62" s="10">
        <v>418</v>
      </c>
      <c r="I62" s="16" t="s">
        <v>26</v>
      </c>
      <c r="J62" s="10">
        <v>2860291.99</v>
      </c>
      <c r="K62" s="16" t="s">
        <v>27</v>
      </c>
      <c r="L62" s="16">
        <v>174301</v>
      </c>
      <c r="M62" s="16" t="s">
        <v>1823</v>
      </c>
      <c r="O62" s="16">
        <v>1</v>
      </c>
      <c r="P62" s="16" t="s">
        <v>2010</v>
      </c>
    </row>
    <row r="63" spans="1:16" s="16" customFormat="1" x14ac:dyDescent="0.25">
      <c r="A63" s="16">
        <v>8003879954</v>
      </c>
      <c r="B63" s="16">
        <v>5</v>
      </c>
      <c r="C63" s="16">
        <v>26102018</v>
      </c>
      <c r="D63" s="16">
        <v>489</v>
      </c>
      <c r="E63" s="16" t="s">
        <v>31</v>
      </c>
      <c r="F63" s="16">
        <v>9938</v>
      </c>
      <c r="G63" s="16" t="s">
        <v>2009</v>
      </c>
      <c r="H63" s="10">
        <v>0.1</v>
      </c>
      <c r="I63" s="16" t="s">
        <v>26</v>
      </c>
      <c r="J63" s="10">
        <v>2860709.99</v>
      </c>
      <c r="K63" s="16" t="s">
        <v>27</v>
      </c>
      <c r="L63" s="16">
        <v>174301</v>
      </c>
      <c r="M63" s="16" t="s">
        <v>2011</v>
      </c>
      <c r="O63" s="16">
        <v>1</v>
      </c>
    </row>
    <row r="64" spans="1:16" s="16" customFormat="1" x14ac:dyDescent="0.25">
      <c r="A64" s="16">
        <v>8003879954</v>
      </c>
      <c r="B64" s="16">
        <v>4</v>
      </c>
      <c r="C64" s="16">
        <v>26102018</v>
      </c>
      <c r="D64" s="16">
        <v>341</v>
      </c>
      <c r="E64" s="16" t="s">
        <v>25</v>
      </c>
      <c r="F64" s="16">
        <v>9938</v>
      </c>
      <c r="G64" s="16" t="s">
        <v>2012</v>
      </c>
      <c r="H64" s="10">
        <v>6872.4</v>
      </c>
      <c r="I64" s="16" t="s">
        <v>26</v>
      </c>
      <c r="J64" s="10">
        <v>2860710.09</v>
      </c>
      <c r="K64" s="16" t="s">
        <v>27</v>
      </c>
      <c r="L64" s="16">
        <v>174301</v>
      </c>
      <c r="M64" s="16" t="s">
        <v>2013</v>
      </c>
      <c r="O64" s="16">
        <v>1</v>
      </c>
      <c r="P64" s="16" t="s">
        <v>2014</v>
      </c>
    </row>
    <row r="65" spans="1:16" s="16" customFormat="1" x14ac:dyDescent="0.25">
      <c r="A65" s="16">
        <v>8003879954</v>
      </c>
      <c r="B65" s="16">
        <v>3</v>
      </c>
      <c r="C65" s="16">
        <v>26102018</v>
      </c>
      <c r="D65" s="16">
        <v>489</v>
      </c>
      <c r="E65" s="16" t="s">
        <v>31</v>
      </c>
      <c r="F65" s="16">
        <v>9938</v>
      </c>
      <c r="G65" s="16" t="s">
        <v>2012</v>
      </c>
      <c r="H65" s="10">
        <v>0.1</v>
      </c>
      <c r="I65" s="16" t="s">
        <v>26</v>
      </c>
      <c r="J65" s="10">
        <v>2867582.49</v>
      </c>
      <c r="K65" s="16" t="s">
        <v>27</v>
      </c>
      <c r="L65" s="16">
        <v>174301</v>
      </c>
      <c r="M65" s="16" t="s">
        <v>2015</v>
      </c>
      <c r="O65" s="16">
        <v>1</v>
      </c>
    </row>
    <row r="66" spans="1:16" s="16" customFormat="1" x14ac:dyDescent="0.25">
      <c r="A66" s="16">
        <v>8003879954</v>
      </c>
      <c r="B66" s="16">
        <v>2</v>
      </c>
      <c r="C66" s="16">
        <v>26102018</v>
      </c>
      <c r="D66" s="16">
        <v>345</v>
      </c>
      <c r="E66" s="16" t="s">
        <v>51</v>
      </c>
      <c r="F66" s="16">
        <v>9938</v>
      </c>
      <c r="G66" s="16" t="s">
        <v>2016</v>
      </c>
      <c r="H66" s="10">
        <v>1859.96</v>
      </c>
      <c r="I66" s="16" t="s">
        <v>26</v>
      </c>
      <c r="J66" s="10">
        <v>2867582.59</v>
      </c>
      <c r="K66" s="16" t="s">
        <v>27</v>
      </c>
      <c r="L66" s="16">
        <v>174301</v>
      </c>
      <c r="M66" s="16" t="s">
        <v>2017</v>
      </c>
      <c r="O66" s="16">
        <v>1</v>
      </c>
      <c r="P66" s="16" t="s">
        <v>2018</v>
      </c>
    </row>
    <row r="67" spans="1:16" s="16" customFormat="1" x14ac:dyDescent="0.25">
      <c r="A67" s="16">
        <v>8003879954</v>
      </c>
      <c r="B67" s="16">
        <v>1</v>
      </c>
      <c r="C67" s="16">
        <v>26102018</v>
      </c>
      <c r="D67" s="16">
        <v>60</v>
      </c>
      <c r="E67" s="16" t="s">
        <v>37</v>
      </c>
      <c r="F67" s="16">
        <v>9938</v>
      </c>
      <c r="G67" s="16" t="s">
        <v>2019</v>
      </c>
      <c r="H67" s="10">
        <v>1020</v>
      </c>
      <c r="I67" s="16" t="s">
        <v>26</v>
      </c>
      <c r="J67" s="10">
        <v>2869442.55</v>
      </c>
      <c r="K67" s="16" t="s">
        <v>27</v>
      </c>
      <c r="L67" s="16">
        <v>174301</v>
      </c>
      <c r="M67" s="16" t="s">
        <v>2020</v>
      </c>
      <c r="O67" s="16">
        <v>1</v>
      </c>
      <c r="P67" s="16" t="s">
        <v>2021</v>
      </c>
    </row>
    <row r="68" spans="1:16" s="16" customFormat="1" x14ac:dyDescent="0.25">
      <c r="A68" s="16">
        <v>8003879954</v>
      </c>
      <c r="B68" s="16">
        <v>3</v>
      </c>
      <c r="C68" s="16">
        <v>25102018</v>
      </c>
      <c r="D68" s="16">
        <v>819</v>
      </c>
      <c r="E68" s="16" t="s">
        <v>35</v>
      </c>
      <c r="H68" s="10">
        <v>0.5</v>
      </c>
      <c r="I68" s="16" t="s">
        <v>26</v>
      </c>
      <c r="J68" s="10">
        <v>2870462.55</v>
      </c>
      <c r="K68" s="16" t="s">
        <v>27</v>
      </c>
      <c r="L68" s="16">
        <v>10302</v>
      </c>
      <c r="M68" s="16" t="s">
        <v>32</v>
      </c>
      <c r="O68" s="16">
        <v>1</v>
      </c>
    </row>
    <row r="69" spans="1:16" s="16" customFormat="1" x14ac:dyDescent="0.25">
      <c r="A69" s="16">
        <v>8003879954</v>
      </c>
      <c r="B69" s="16">
        <v>2</v>
      </c>
      <c r="C69" s="16">
        <v>25102018</v>
      </c>
      <c r="D69" s="16">
        <v>321</v>
      </c>
      <c r="E69" s="16" t="s">
        <v>36</v>
      </c>
      <c r="F69" s="16">
        <v>0</v>
      </c>
      <c r="G69" s="16" t="s">
        <v>2022</v>
      </c>
      <c r="H69" s="10">
        <v>2687.55</v>
      </c>
      <c r="I69" s="16" t="s">
        <v>26</v>
      </c>
      <c r="J69" s="10">
        <v>2870463.05</v>
      </c>
      <c r="K69" s="16" t="s">
        <v>27</v>
      </c>
      <c r="L69" s="16">
        <v>10210</v>
      </c>
      <c r="M69" s="16" t="s">
        <v>32</v>
      </c>
      <c r="O69" s="16">
        <v>1</v>
      </c>
    </row>
    <row r="70" spans="1:16" s="16" customFormat="1" x14ac:dyDescent="0.25">
      <c r="A70" s="16">
        <v>8003879954</v>
      </c>
      <c r="B70" s="16">
        <v>1</v>
      </c>
      <c r="C70" s="16">
        <v>25102018</v>
      </c>
      <c r="D70" s="16">
        <v>123</v>
      </c>
      <c r="E70" s="16" t="s">
        <v>64</v>
      </c>
      <c r="F70" s="16">
        <v>2007</v>
      </c>
      <c r="G70" s="16" t="s">
        <v>2023</v>
      </c>
      <c r="H70" s="10">
        <v>2000</v>
      </c>
      <c r="I70" s="16" t="s">
        <v>27</v>
      </c>
      <c r="J70" s="10">
        <v>2873150.6</v>
      </c>
      <c r="K70" s="16" t="s">
        <v>27</v>
      </c>
      <c r="L70" s="16">
        <v>191243</v>
      </c>
      <c r="M70" s="16" t="s">
        <v>32</v>
      </c>
      <c r="O70" s="16">
        <v>1</v>
      </c>
    </row>
    <row r="71" spans="1:16" s="16" customFormat="1" x14ac:dyDescent="0.25">
      <c r="A71" s="16">
        <v>8003879954</v>
      </c>
      <c r="B71" s="16">
        <v>7</v>
      </c>
      <c r="C71" s="16">
        <v>23102018</v>
      </c>
      <c r="D71" s="16">
        <v>819</v>
      </c>
      <c r="E71" s="16" t="s">
        <v>35</v>
      </c>
      <c r="H71" s="10">
        <v>0.5</v>
      </c>
      <c r="I71" s="16" t="s">
        <v>26</v>
      </c>
      <c r="J71" s="10">
        <v>2871150.6</v>
      </c>
      <c r="K71" s="16" t="s">
        <v>27</v>
      </c>
      <c r="L71" s="16">
        <v>5518</v>
      </c>
      <c r="M71" s="16" t="s">
        <v>32</v>
      </c>
      <c r="O71" s="16">
        <v>1</v>
      </c>
    </row>
    <row r="72" spans="1:16" s="16" customFormat="1" x14ac:dyDescent="0.25">
      <c r="A72" s="16">
        <v>8003879954</v>
      </c>
      <c r="B72" s="16">
        <v>6</v>
      </c>
      <c r="C72" s="16">
        <v>23102018</v>
      </c>
      <c r="D72" s="16">
        <v>819</v>
      </c>
      <c r="E72" s="16" t="s">
        <v>35</v>
      </c>
      <c r="H72" s="10">
        <v>1</v>
      </c>
      <c r="I72" s="16" t="s">
        <v>26</v>
      </c>
      <c r="J72" s="10">
        <v>2871151.1</v>
      </c>
      <c r="K72" s="16" t="s">
        <v>27</v>
      </c>
      <c r="L72" s="16">
        <v>5518</v>
      </c>
      <c r="M72" s="16" t="s">
        <v>32</v>
      </c>
      <c r="O72" s="16">
        <v>1</v>
      </c>
    </row>
    <row r="73" spans="1:16" s="16" customFormat="1" x14ac:dyDescent="0.25">
      <c r="A73" s="16">
        <v>8003879954</v>
      </c>
      <c r="B73" s="16">
        <v>5</v>
      </c>
      <c r="C73" s="16">
        <v>23102018</v>
      </c>
      <c r="D73" s="16">
        <v>321</v>
      </c>
      <c r="E73" s="16" t="s">
        <v>36</v>
      </c>
      <c r="F73" s="16">
        <v>0</v>
      </c>
      <c r="G73" s="16" t="s">
        <v>2024</v>
      </c>
      <c r="H73" s="10">
        <v>15900</v>
      </c>
      <c r="I73" s="16" t="s">
        <v>26</v>
      </c>
      <c r="J73" s="10">
        <v>2871152.1</v>
      </c>
      <c r="K73" s="16" t="s">
        <v>27</v>
      </c>
      <c r="L73" s="16">
        <v>5439</v>
      </c>
      <c r="M73" s="16" t="s">
        <v>32</v>
      </c>
      <c r="O73" s="16">
        <v>1</v>
      </c>
    </row>
    <row r="74" spans="1:16" s="16" customFormat="1" x14ac:dyDescent="0.25">
      <c r="A74" s="16">
        <v>8003879954</v>
      </c>
      <c r="B74" s="16">
        <v>4</v>
      </c>
      <c r="C74" s="16">
        <v>23102018</v>
      </c>
      <c r="D74" s="16">
        <v>323</v>
      </c>
      <c r="E74" s="16" t="s">
        <v>50</v>
      </c>
      <c r="F74" s="16">
        <v>0</v>
      </c>
      <c r="G74" s="16" t="s">
        <v>2025</v>
      </c>
      <c r="H74" s="10">
        <v>31800</v>
      </c>
      <c r="I74" s="16" t="s">
        <v>26</v>
      </c>
      <c r="J74" s="10">
        <v>2887052.1</v>
      </c>
      <c r="K74" s="16" t="s">
        <v>27</v>
      </c>
      <c r="L74" s="16">
        <v>5439</v>
      </c>
      <c r="M74" s="16" t="s">
        <v>32</v>
      </c>
      <c r="O74" s="16">
        <v>1</v>
      </c>
    </row>
    <row r="75" spans="1:16" s="16" customFormat="1" x14ac:dyDescent="0.25">
      <c r="A75" s="16">
        <v>8003879954</v>
      </c>
      <c r="B75" s="16">
        <v>3</v>
      </c>
      <c r="C75" s="16">
        <v>23102018</v>
      </c>
      <c r="D75" s="16">
        <v>323</v>
      </c>
      <c r="E75" s="16" t="s">
        <v>50</v>
      </c>
      <c r="F75" s="16">
        <v>0</v>
      </c>
      <c r="G75" s="16" t="s">
        <v>2026</v>
      </c>
      <c r="H75" s="10">
        <v>108500</v>
      </c>
      <c r="I75" s="16" t="s">
        <v>26</v>
      </c>
      <c r="J75" s="10">
        <v>2918852.1</v>
      </c>
      <c r="K75" s="16" t="s">
        <v>27</v>
      </c>
      <c r="L75" s="16">
        <v>5439</v>
      </c>
      <c r="M75" s="16" t="s">
        <v>32</v>
      </c>
      <c r="O75" s="16">
        <v>1</v>
      </c>
    </row>
    <row r="76" spans="1:16" s="16" customFormat="1" x14ac:dyDescent="0.25">
      <c r="A76" s="16">
        <v>8003879954</v>
      </c>
      <c r="B76" s="16">
        <v>2</v>
      </c>
      <c r="C76" s="16">
        <v>23102018</v>
      </c>
      <c r="D76" s="16">
        <v>343</v>
      </c>
      <c r="E76" s="16" t="s">
        <v>115</v>
      </c>
      <c r="F76" s="16">
        <v>9938</v>
      </c>
      <c r="G76" s="16" t="s">
        <v>2027</v>
      </c>
      <c r="H76" s="10">
        <v>597.85</v>
      </c>
      <c r="I76" s="16" t="s">
        <v>26</v>
      </c>
      <c r="J76" s="10">
        <v>3027352.1</v>
      </c>
      <c r="K76" s="16" t="s">
        <v>27</v>
      </c>
      <c r="L76" s="16">
        <v>150938</v>
      </c>
      <c r="M76" s="16" t="s">
        <v>117</v>
      </c>
      <c r="O76" s="16">
        <v>1</v>
      </c>
    </row>
    <row r="77" spans="1:16" s="16" customFormat="1" x14ac:dyDescent="0.25">
      <c r="A77" s="16">
        <v>8003879954</v>
      </c>
      <c r="B77" s="16">
        <v>1</v>
      </c>
      <c r="C77" s="16">
        <v>23102018</v>
      </c>
      <c r="D77" s="16">
        <v>345</v>
      </c>
      <c r="E77" s="16" t="s">
        <v>51</v>
      </c>
      <c r="F77" s="16">
        <v>9938</v>
      </c>
      <c r="G77" s="16" t="s">
        <v>2028</v>
      </c>
      <c r="H77" s="10">
        <v>4200</v>
      </c>
      <c r="I77" s="16" t="s">
        <v>26</v>
      </c>
      <c r="J77" s="10">
        <v>3027949.95</v>
      </c>
      <c r="K77" s="16" t="s">
        <v>27</v>
      </c>
      <c r="L77" s="16">
        <v>150937</v>
      </c>
      <c r="M77" s="16" t="s">
        <v>2029</v>
      </c>
      <c r="O77" s="16">
        <v>1</v>
      </c>
      <c r="P77" s="16" t="s">
        <v>2030</v>
      </c>
    </row>
    <row r="78" spans="1:16" s="16" customFormat="1" x14ac:dyDescent="0.25">
      <c r="A78" s="16">
        <v>8003879954</v>
      </c>
      <c r="B78" s="16">
        <v>2</v>
      </c>
      <c r="C78" s="16">
        <v>22102018</v>
      </c>
      <c r="D78" s="16">
        <v>415</v>
      </c>
      <c r="E78" s="16" t="s">
        <v>48</v>
      </c>
      <c r="F78" s="16">
        <v>72</v>
      </c>
      <c r="G78" s="16" t="s">
        <v>2031</v>
      </c>
      <c r="H78" s="10">
        <v>10</v>
      </c>
      <c r="I78" s="16" t="s">
        <v>26</v>
      </c>
      <c r="J78" s="10">
        <v>3032149.95</v>
      </c>
      <c r="K78" s="16" t="s">
        <v>27</v>
      </c>
      <c r="L78" s="16">
        <v>185234</v>
      </c>
      <c r="M78" s="16" t="s">
        <v>2032</v>
      </c>
      <c r="O78" s="16">
        <v>1</v>
      </c>
    </row>
    <row r="79" spans="1:16" s="16" customFormat="1" x14ac:dyDescent="0.25">
      <c r="A79" s="16">
        <v>8003879954</v>
      </c>
      <c r="B79" s="16">
        <v>1</v>
      </c>
      <c r="C79" s="16">
        <v>22102018</v>
      </c>
      <c r="D79" s="16">
        <v>349</v>
      </c>
      <c r="E79" s="16" t="s">
        <v>49</v>
      </c>
      <c r="F79" s="16">
        <v>72</v>
      </c>
      <c r="G79" s="16" t="s">
        <v>2031</v>
      </c>
      <c r="H79" s="10">
        <v>14711.52</v>
      </c>
      <c r="I79" s="16" t="s">
        <v>26</v>
      </c>
      <c r="J79" s="10">
        <v>3032159.95</v>
      </c>
      <c r="K79" s="16" t="s">
        <v>27</v>
      </c>
      <c r="L79" s="16">
        <v>185234</v>
      </c>
      <c r="M79" s="16" t="s">
        <v>2032</v>
      </c>
      <c r="O79" s="16">
        <v>1</v>
      </c>
    </row>
    <row r="80" spans="1:16" s="16" customFormat="1" x14ac:dyDescent="0.25">
      <c r="A80" s="16">
        <v>8003879954</v>
      </c>
      <c r="B80" s="16">
        <v>4</v>
      </c>
      <c r="C80" s="16">
        <v>18102018</v>
      </c>
      <c r="D80" s="16">
        <v>819</v>
      </c>
      <c r="E80" s="16" t="s">
        <v>35</v>
      </c>
      <c r="H80" s="10">
        <v>1.5</v>
      </c>
      <c r="I80" s="16" t="s">
        <v>26</v>
      </c>
      <c r="J80" s="10">
        <v>3046871.47</v>
      </c>
      <c r="K80" s="16" t="s">
        <v>27</v>
      </c>
      <c r="L80" s="16">
        <v>10921</v>
      </c>
      <c r="M80" s="16" t="s">
        <v>32</v>
      </c>
      <c r="O80" s="16">
        <v>1</v>
      </c>
    </row>
    <row r="81" spans="1:16" s="16" customFormat="1" x14ac:dyDescent="0.25">
      <c r="A81" s="16">
        <v>8003879954</v>
      </c>
      <c r="B81" s="16">
        <v>3</v>
      </c>
      <c r="C81" s="16">
        <v>18102018</v>
      </c>
      <c r="D81" s="16">
        <v>323</v>
      </c>
      <c r="E81" s="16" t="s">
        <v>50</v>
      </c>
      <c r="F81" s="16">
        <v>0</v>
      </c>
      <c r="G81" s="16" t="s">
        <v>2033</v>
      </c>
      <c r="H81" s="10">
        <v>14000</v>
      </c>
      <c r="I81" s="16" t="s">
        <v>26</v>
      </c>
      <c r="J81" s="10">
        <v>3046872.97</v>
      </c>
      <c r="K81" s="16" t="s">
        <v>27</v>
      </c>
      <c r="L81" s="16">
        <v>10802</v>
      </c>
      <c r="M81" s="16" t="s">
        <v>32</v>
      </c>
      <c r="O81" s="16">
        <v>1</v>
      </c>
    </row>
    <row r="82" spans="1:16" s="16" customFormat="1" x14ac:dyDescent="0.25">
      <c r="A82" s="16">
        <v>8003879954</v>
      </c>
      <c r="B82" s="16">
        <v>2</v>
      </c>
      <c r="C82" s="16">
        <v>18102018</v>
      </c>
      <c r="D82" s="16">
        <v>323</v>
      </c>
      <c r="E82" s="16" t="s">
        <v>50</v>
      </c>
      <c r="F82" s="16">
        <v>0</v>
      </c>
      <c r="G82" s="16" t="s">
        <v>2034</v>
      </c>
      <c r="H82" s="10">
        <v>39000</v>
      </c>
      <c r="I82" s="16" t="s">
        <v>26</v>
      </c>
      <c r="J82" s="10">
        <v>3060872.97</v>
      </c>
      <c r="K82" s="16" t="s">
        <v>27</v>
      </c>
      <c r="L82" s="16">
        <v>10802</v>
      </c>
      <c r="M82" s="16" t="s">
        <v>32</v>
      </c>
      <c r="O82" s="16">
        <v>1</v>
      </c>
    </row>
    <row r="83" spans="1:16" s="16" customFormat="1" x14ac:dyDescent="0.25">
      <c r="A83" s="16">
        <v>8003879954</v>
      </c>
      <c r="B83" s="16">
        <v>1</v>
      </c>
      <c r="C83" s="16">
        <v>18102018</v>
      </c>
      <c r="D83" s="16">
        <v>323</v>
      </c>
      <c r="E83" s="16" t="s">
        <v>50</v>
      </c>
      <c r="F83" s="16">
        <v>0</v>
      </c>
      <c r="G83" s="16" t="s">
        <v>2035</v>
      </c>
      <c r="H83" s="10">
        <v>19400</v>
      </c>
      <c r="I83" s="16" t="s">
        <v>26</v>
      </c>
      <c r="J83" s="10">
        <v>3099872.97</v>
      </c>
      <c r="K83" s="16" t="s">
        <v>27</v>
      </c>
      <c r="L83" s="16">
        <v>10802</v>
      </c>
      <c r="M83" s="16" t="s">
        <v>32</v>
      </c>
      <c r="O83" s="16">
        <v>1</v>
      </c>
    </row>
    <row r="84" spans="1:16" s="16" customFormat="1" x14ac:dyDescent="0.25">
      <c r="A84" s="16">
        <v>8003879954</v>
      </c>
      <c r="B84" s="16">
        <v>1</v>
      </c>
      <c r="C84" s="16">
        <v>17102018</v>
      </c>
      <c r="D84" s="16">
        <v>5</v>
      </c>
      <c r="E84" s="16" t="s">
        <v>54</v>
      </c>
      <c r="H84" s="10">
        <v>2261300</v>
      </c>
      <c r="I84" s="16" t="s">
        <v>27</v>
      </c>
      <c r="J84" s="10">
        <v>3119272.97</v>
      </c>
      <c r="K84" s="16" t="s">
        <v>27</v>
      </c>
      <c r="L84" s="16">
        <v>91309</v>
      </c>
      <c r="M84" s="16" t="s">
        <v>2036</v>
      </c>
      <c r="O84" s="16">
        <v>1</v>
      </c>
      <c r="P84" s="16" t="s">
        <v>2037</v>
      </c>
    </row>
    <row r="85" spans="1:16" s="16" customFormat="1" x14ac:dyDescent="0.25">
      <c r="A85" s="16">
        <v>8003879954</v>
      </c>
      <c r="B85" s="16">
        <v>30</v>
      </c>
      <c r="C85" s="16">
        <v>16102018</v>
      </c>
      <c r="D85" s="16">
        <v>343</v>
      </c>
      <c r="E85" s="16" t="s">
        <v>115</v>
      </c>
      <c r="F85" s="16">
        <v>9938</v>
      </c>
      <c r="G85" s="16" t="s">
        <v>2038</v>
      </c>
      <c r="H85" s="10">
        <v>669.5</v>
      </c>
      <c r="I85" s="16" t="s">
        <v>26</v>
      </c>
      <c r="J85" s="10">
        <v>857972.97</v>
      </c>
      <c r="K85" s="16" t="s">
        <v>27</v>
      </c>
      <c r="L85" s="16">
        <v>105649</v>
      </c>
      <c r="M85" s="16" t="s">
        <v>336</v>
      </c>
      <c r="O85" s="16">
        <v>1</v>
      </c>
    </row>
    <row r="86" spans="1:16" s="16" customFormat="1" x14ac:dyDescent="0.25">
      <c r="A86" s="16">
        <v>8003879954</v>
      </c>
      <c r="B86" s="16">
        <v>29</v>
      </c>
      <c r="C86" s="16">
        <v>16102018</v>
      </c>
      <c r="D86" s="16">
        <v>345</v>
      </c>
      <c r="E86" s="16" t="s">
        <v>51</v>
      </c>
      <c r="F86" s="16">
        <v>9938</v>
      </c>
      <c r="G86" s="16" t="s">
        <v>2039</v>
      </c>
      <c r="H86" s="10">
        <v>5857.71</v>
      </c>
      <c r="I86" s="16" t="s">
        <v>26</v>
      </c>
      <c r="J86" s="10">
        <v>858642.47</v>
      </c>
      <c r="K86" s="16" t="s">
        <v>27</v>
      </c>
      <c r="L86" s="16">
        <v>105650</v>
      </c>
      <c r="M86" s="16" t="s">
        <v>2040</v>
      </c>
      <c r="O86" s="16">
        <v>1</v>
      </c>
      <c r="P86" s="16" t="s">
        <v>2041</v>
      </c>
    </row>
    <row r="87" spans="1:16" s="16" customFormat="1" x14ac:dyDescent="0.25">
      <c r="A87" s="16">
        <v>8003879954</v>
      </c>
      <c r="B87" s="16">
        <v>28</v>
      </c>
      <c r="C87" s="16">
        <v>16102018</v>
      </c>
      <c r="D87" s="16">
        <v>341</v>
      </c>
      <c r="E87" s="16" t="s">
        <v>25</v>
      </c>
      <c r="F87" s="16">
        <v>9938</v>
      </c>
      <c r="G87" s="16" t="s">
        <v>2042</v>
      </c>
      <c r="H87" s="10">
        <v>3273.51</v>
      </c>
      <c r="I87" s="16" t="s">
        <v>26</v>
      </c>
      <c r="J87" s="10">
        <v>864500.18</v>
      </c>
      <c r="K87" s="16" t="s">
        <v>27</v>
      </c>
      <c r="L87" s="16">
        <v>105649</v>
      </c>
      <c r="M87" s="16" t="s">
        <v>408</v>
      </c>
      <c r="O87" s="16">
        <v>1</v>
      </c>
      <c r="P87" s="16" t="s">
        <v>2043</v>
      </c>
    </row>
    <row r="88" spans="1:16" s="16" customFormat="1" x14ac:dyDescent="0.25">
      <c r="A88" s="16">
        <v>8003879954</v>
      </c>
      <c r="B88" s="16">
        <v>27</v>
      </c>
      <c r="C88" s="16">
        <v>16102018</v>
      </c>
      <c r="D88" s="16">
        <v>489</v>
      </c>
      <c r="E88" s="16" t="s">
        <v>31</v>
      </c>
      <c r="F88" s="16">
        <v>9938</v>
      </c>
      <c r="G88" s="16" t="s">
        <v>2042</v>
      </c>
      <c r="H88" s="10">
        <v>0.1</v>
      </c>
      <c r="I88" s="16" t="s">
        <v>26</v>
      </c>
      <c r="J88" s="10">
        <v>867773.69</v>
      </c>
      <c r="K88" s="16" t="s">
        <v>27</v>
      </c>
      <c r="L88" s="16">
        <v>105649</v>
      </c>
      <c r="M88" s="16" t="s">
        <v>2044</v>
      </c>
      <c r="O88" s="16">
        <v>1</v>
      </c>
    </row>
    <row r="89" spans="1:16" s="16" customFormat="1" x14ac:dyDescent="0.25">
      <c r="A89" s="16">
        <v>8003879954</v>
      </c>
      <c r="B89" s="16">
        <v>26</v>
      </c>
      <c r="C89" s="16">
        <v>16102018</v>
      </c>
      <c r="D89" s="16">
        <v>341</v>
      </c>
      <c r="E89" s="16" t="s">
        <v>25</v>
      </c>
      <c r="F89" s="16">
        <v>9938</v>
      </c>
      <c r="G89" s="16" t="s">
        <v>2045</v>
      </c>
      <c r="H89" s="10">
        <v>80</v>
      </c>
      <c r="I89" s="16" t="s">
        <v>26</v>
      </c>
      <c r="J89" s="10">
        <v>867773.79</v>
      </c>
      <c r="K89" s="16" t="s">
        <v>27</v>
      </c>
      <c r="L89" s="16">
        <v>105649</v>
      </c>
      <c r="M89" s="16" t="s">
        <v>39</v>
      </c>
      <c r="O89" s="16">
        <v>1</v>
      </c>
      <c r="P89" s="16" t="s">
        <v>2046</v>
      </c>
    </row>
    <row r="90" spans="1:16" s="16" customFormat="1" x14ac:dyDescent="0.25">
      <c r="A90" s="16">
        <v>8003879954</v>
      </c>
      <c r="B90" s="16">
        <v>25</v>
      </c>
      <c r="C90" s="16">
        <v>16102018</v>
      </c>
      <c r="D90" s="16">
        <v>489</v>
      </c>
      <c r="E90" s="16" t="s">
        <v>31</v>
      </c>
      <c r="F90" s="16">
        <v>9938</v>
      </c>
      <c r="G90" s="16" t="s">
        <v>2045</v>
      </c>
      <c r="H90" s="10">
        <v>0.1</v>
      </c>
      <c r="I90" s="16" t="s">
        <v>26</v>
      </c>
      <c r="J90" s="10">
        <v>867853.79</v>
      </c>
      <c r="K90" s="16" t="s">
        <v>27</v>
      </c>
      <c r="L90" s="16">
        <v>105649</v>
      </c>
      <c r="M90" s="16" t="s">
        <v>2047</v>
      </c>
      <c r="O90" s="16">
        <v>1</v>
      </c>
    </row>
    <row r="91" spans="1:16" s="16" customFormat="1" x14ac:dyDescent="0.25">
      <c r="A91" s="16">
        <v>8003879954</v>
      </c>
      <c r="B91" s="16">
        <v>24</v>
      </c>
      <c r="C91" s="16">
        <v>16102018</v>
      </c>
      <c r="D91" s="16">
        <v>343</v>
      </c>
      <c r="E91" s="16" t="s">
        <v>115</v>
      </c>
      <c r="F91" s="16">
        <v>9938</v>
      </c>
      <c r="G91" s="16" t="s">
        <v>2048</v>
      </c>
      <c r="H91" s="10">
        <v>22.8</v>
      </c>
      <c r="I91" s="16" t="s">
        <v>26</v>
      </c>
      <c r="J91" s="10">
        <v>867853.89</v>
      </c>
      <c r="K91" s="16" t="s">
        <v>27</v>
      </c>
      <c r="L91" s="16">
        <v>105649</v>
      </c>
      <c r="M91" s="16" t="s">
        <v>334</v>
      </c>
      <c r="O91" s="16">
        <v>1</v>
      </c>
    </row>
    <row r="92" spans="1:16" s="16" customFormat="1" x14ac:dyDescent="0.25">
      <c r="A92" s="16">
        <v>8003879954</v>
      </c>
      <c r="B92" s="16">
        <v>23</v>
      </c>
      <c r="C92" s="16">
        <v>16102018</v>
      </c>
      <c r="D92" s="16">
        <v>341</v>
      </c>
      <c r="E92" s="16" t="s">
        <v>25</v>
      </c>
      <c r="F92" s="16">
        <v>9938</v>
      </c>
      <c r="G92" s="16" t="s">
        <v>2049</v>
      </c>
      <c r="H92" s="10">
        <v>106</v>
      </c>
      <c r="I92" s="16" t="s">
        <v>26</v>
      </c>
      <c r="J92" s="10">
        <v>867876.69</v>
      </c>
      <c r="K92" s="16" t="s">
        <v>27</v>
      </c>
      <c r="L92" s="16">
        <v>105649</v>
      </c>
      <c r="M92" s="16" t="s">
        <v>1173</v>
      </c>
      <c r="O92" s="16">
        <v>1</v>
      </c>
      <c r="P92" s="16" t="s">
        <v>2050</v>
      </c>
    </row>
    <row r="93" spans="1:16" s="16" customFormat="1" x14ac:dyDescent="0.25">
      <c r="A93" s="16">
        <v>8003879954</v>
      </c>
      <c r="B93" s="16">
        <v>22</v>
      </c>
      <c r="C93" s="16">
        <v>16102018</v>
      </c>
      <c r="D93" s="16">
        <v>489</v>
      </c>
      <c r="E93" s="16" t="s">
        <v>31</v>
      </c>
      <c r="F93" s="16">
        <v>9938</v>
      </c>
      <c r="G93" s="16" t="s">
        <v>2049</v>
      </c>
      <c r="H93" s="10">
        <v>0.1</v>
      </c>
      <c r="I93" s="16" t="s">
        <v>26</v>
      </c>
      <c r="J93" s="10">
        <v>867982.69</v>
      </c>
      <c r="K93" s="16" t="s">
        <v>27</v>
      </c>
      <c r="L93" s="16">
        <v>105649</v>
      </c>
      <c r="M93" s="16" t="s">
        <v>2051</v>
      </c>
      <c r="O93" s="16">
        <v>1</v>
      </c>
    </row>
    <row r="94" spans="1:16" s="16" customFormat="1" x14ac:dyDescent="0.25">
      <c r="A94" s="16">
        <v>8003879954</v>
      </c>
      <c r="B94" s="16">
        <v>21</v>
      </c>
      <c r="C94" s="16">
        <v>16102018</v>
      </c>
      <c r="D94" s="16">
        <v>343</v>
      </c>
      <c r="E94" s="16" t="s">
        <v>115</v>
      </c>
      <c r="F94" s="16">
        <v>9938</v>
      </c>
      <c r="G94" s="16" t="s">
        <v>2052</v>
      </c>
      <c r="H94" s="10">
        <v>1100.4000000000001</v>
      </c>
      <c r="I94" s="16" t="s">
        <v>26</v>
      </c>
      <c r="J94" s="10">
        <v>867982.79</v>
      </c>
      <c r="K94" s="16" t="s">
        <v>27</v>
      </c>
      <c r="L94" s="16">
        <v>105649</v>
      </c>
      <c r="M94" s="16" t="s">
        <v>338</v>
      </c>
      <c r="O94" s="16">
        <v>1</v>
      </c>
    </row>
    <row r="95" spans="1:16" s="16" customFormat="1" x14ac:dyDescent="0.25">
      <c r="A95" s="16">
        <v>8003879954</v>
      </c>
      <c r="B95" s="16">
        <v>20</v>
      </c>
      <c r="C95" s="16">
        <v>16102018</v>
      </c>
      <c r="D95" s="16">
        <v>60</v>
      </c>
      <c r="E95" s="16" t="s">
        <v>37</v>
      </c>
      <c r="F95" s="16">
        <v>9938</v>
      </c>
      <c r="G95" s="16" t="s">
        <v>2053</v>
      </c>
      <c r="H95" s="10">
        <v>270</v>
      </c>
      <c r="I95" s="16" t="s">
        <v>26</v>
      </c>
      <c r="J95" s="10">
        <v>869083.19</v>
      </c>
      <c r="K95" s="16" t="s">
        <v>27</v>
      </c>
      <c r="L95" s="16">
        <v>105649</v>
      </c>
      <c r="M95" s="16" t="s">
        <v>2054</v>
      </c>
      <c r="O95" s="16">
        <v>1</v>
      </c>
      <c r="P95" s="16" t="s">
        <v>2055</v>
      </c>
    </row>
    <row r="96" spans="1:16" s="16" customFormat="1" x14ac:dyDescent="0.25">
      <c r="A96" s="16">
        <v>8003879954</v>
      </c>
      <c r="B96" s="16">
        <v>19</v>
      </c>
      <c r="C96" s="16">
        <v>16102018</v>
      </c>
      <c r="D96" s="16">
        <v>60</v>
      </c>
      <c r="E96" s="16" t="s">
        <v>37</v>
      </c>
      <c r="F96" s="16">
        <v>9938</v>
      </c>
      <c r="G96" s="16" t="s">
        <v>2056</v>
      </c>
      <c r="H96" s="10">
        <v>612.78</v>
      </c>
      <c r="I96" s="16" t="s">
        <v>26</v>
      </c>
      <c r="J96" s="10">
        <v>869353.19</v>
      </c>
      <c r="K96" s="16" t="s">
        <v>27</v>
      </c>
      <c r="L96" s="16">
        <v>105648</v>
      </c>
      <c r="M96" s="16" t="s">
        <v>2057</v>
      </c>
      <c r="O96" s="16">
        <v>1</v>
      </c>
      <c r="P96" s="16" t="s">
        <v>2058</v>
      </c>
    </row>
    <row r="97" spans="1:16" s="16" customFormat="1" x14ac:dyDescent="0.25">
      <c r="A97" s="16">
        <v>8003879954</v>
      </c>
      <c r="B97" s="16">
        <v>18</v>
      </c>
      <c r="C97" s="16">
        <v>16102018</v>
      </c>
      <c r="D97" s="16">
        <v>341</v>
      </c>
      <c r="E97" s="16" t="s">
        <v>25</v>
      </c>
      <c r="F97" s="16">
        <v>9938</v>
      </c>
      <c r="G97" s="16" t="s">
        <v>2059</v>
      </c>
      <c r="H97" s="10">
        <v>1420</v>
      </c>
      <c r="I97" s="16" t="s">
        <v>26</v>
      </c>
      <c r="J97" s="10">
        <v>869965.97</v>
      </c>
      <c r="K97" s="16" t="s">
        <v>27</v>
      </c>
      <c r="L97" s="16">
        <v>105230</v>
      </c>
      <c r="M97" s="16" t="s">
        <v>212</v>
      </c>
      <c r="O97" s="16">
        <v>1</v>
      </c>
      <c r="P97" s="16" t="s">
        <v>2060</v>
      </c>
    </row>
    <row r="98" spans="1:16" s="16" customFormat="1" x14ac:dyDescent="0.25">
      <c r="A98" s="16">
        <v>8003879954</v>
      </c>
      <c r="B98" s="16">
        <v>17</v>
      </c>
      <c r="C98" s="16">
        <v>16102018</v>
      </c>
      <c r="D98" s="16">
        <v>489</v>
      </c>
      <c r="E98" s="16" t="s">
        <v>31</v>
      </c>
      <c r="F98" s="16">
        <v>9938</v>
      </c>
      <c r="G98" s="16" t="s">
        <v>2059</v>
      </c>
      <c r="H98" s="10">
        <v>0.1</v>
      </c>
      <c r="I98" s="16" t="s">
        <v>26</v>
      </c>
      <c r="J98" s="10">
        <v>871385.97</v>
      </c>
      <c r="K98" s="16" t="s">
        <v>27</v>
      </c>
      <c r="L98" s="16">
        <v>105230</v>
      </c>
      <c r="M98" s="16" t="s">
        <v>2061</v>
      </c>
      <c r="O98" s="16">
        <v>1</v>
      </c>
    </row>
    <row r="99" spans="1:16" s="16" customFormat="1" x14ac:dyDescent="0.25">
      <c r="A99" s="16">
        <v>8003879954</v>
      </c>
      <c r="B99" s="16">
        <v>16</v>
      </c>
      <c r="C99" s="16">
        <v>16102018</v>
      </c>
      <c r="D99" s="16">
        <v>341</v>
      </c>
      <c r="E99" s="16" t="s">
        <v>25</v>
      </c>
      <c r="F99" s="16">
        <v>9938</v>
      </c>
      <c r="G99" s="16" t="s">
        <v>2062</v>
      </c>
      <c r="H99" s="10">
        <v>260</v>
      </c>
      <c r="I99" s="16" t="s">
        <v>26</v>
      </c>
      <c r="J99" s="10">
        <v>871386.07</v>
      </c>
      <c r="K99" s="16" t="s">
        <v>27</v>
      </c>
      <c r="L99" s="16">
        <v>105228</v>
      </c>
      <c r="M99" s="16" t="s">
        <v>2013</v>
      </c>
      <c r="O99" s="16">
        <v>1</v>
      </c>
      <c r="P99" s="16" t="s">
        <v>2063</v>
      </c>
    </row>
    <row r="100" spans="1:16" s="16" customFormat="1" x14ac:dyDescent="0.25">
      <c r="A100" s="16">
        <v>8003879954</v>
      </c>
      <c r="B100" s="16">
        <v>15</v>
      </c>
      <c r="C100" s="16">
        <v>16102018</v>
      </c>
      <c r="D100" s="16">
        <v>489</v>
      </c>
      <c r="E100" s="16" t="s">
        <v>31</v>
      </c>
      <c r="F100" s="16">
        <v>9938</v>
      </c>
      <c r="G100" s="16" t="s">
        <v>2062</v>
      </c>
      <c r="H100" s="10">
        <v>0.1</v>
      </c>
      <c r="I100" s="16" t="s">
        <v>26</v>
      </c>
      <c r="J100" s="10">
        <v>871646.07</v>
      </c>
      <c r="K100" s="16" t="s">
        <v>27</v>
      </c>
      <c r="L100" s="16">
        <v>105228</v>
      </c>
      <c r="M100" s="16" t="s">
        <v>2064</v>
      </c>
      <c r="O100" s="16">
        <v>1</v>
      </c>
    </row>
    <row r="101" spans="1:16" s="16" customFormat="1" x14ac:dyDescent="0.25">
      <c r="A101" s="16">
        <v>8003879954</v>
      </c>
      <c r="B101" s="16">
        <v>14</v>
      </c>
      <c r="C101" s="16">
        <v>16102018</v>
      </c>
      <c r="D101" s="16">
        <v>341</v>
      </c>
      <c r="E101" s="16" t="s">
        <v>25</v>
      </c>
      <c r="F101" s="16">
        <v>9938</v>
      </c>
      <c r="G101" s="16" t="s">
        <v>2065</v>
      </c>
      <c r="H101" s="10">
        <v>87.5</v>
      </c>
      <c r="I101" s="16" t="s">
        <v>26</v>
      </c>
      <c r="J101" s="10">
        <v>871646.17</v>
      </c>
      <c r="K101" s="16" t="s">
        <v>27</v>
      </c>
      <c r="L101" s="16">
        <v>105227</v>
      </c>
      <c r="M101" s="16" t="s">
        <v>111</v>
      </c>
      <c r="O101" s="16">
        <v>1</v>
      </c>
      <c r="P101" s="16" t="s">
        <v>2066</v>
      </c>
    </row>
    <row r="102" spans="1:16" s="16" customFormat="1" x14ac:dyDescent="0.25">
      <c r="A102" s="16">
        <v>8003879954</v>
      </c>
      <c r="B102" s="16">
        <v>13</v>
      </c>
      <c r="C102" s="16">
        <v>16102018</v>
      </c>
      <c r="D102" s="16">
        <v>489</v>
      </c>
      <c r="E102" s="16" t="s">
        <v>31</v>
      </c>
      <c r="F102" s="16">
        <v>9938</v>
      </c>
      <c r="G102" s="16" t="s">
        <v>2065</v>
      </c>
      <c r="H102" s="10">
        <v>0.1</v>
      </c>
      <c r="I102" s="16" t="s">
        <v>26</v>
      </c>
      <c r="J102" s="10">
        <v>871733.67</v>
      </c>
      <c r="K102" s="16" t="s">
        <v>27</v>
      </c>
      <c r="L102" s="16">
        <v>105227</v>
      </c>
      <c r="M102" s="16" t="s">
        <v>2067</v>
      </c>
      <c r="O102" s="16">
        <v>1</v>
      </c>
    </row>
    <row r="103" spans="1:16" s="16" customFormat="1" x14ac:dyDescent="0.25">
      <c r="A103" s="16">
        <v>8003879954</v>
      </c>
      <c r="B103" s="16">
        <v>12</v>
      </c>
      <c r="C103" s="16">
        <v>16102018</v>
      </c>
      <c r="D103" s="16">
        <v>341</v>
      </c>
      <c r="E103" s="16" t="s">
        <v>25</v>
      </c>
      <c r="F103" s="16">
        <v>9938</v>
      </c>
      <c r="G103" s="16" t="s">
        <v>2068</v>
      </c>
      <c r="H103" s="10">
        <v>5002</v>
      </c>
      <c r="I103" s="16" t="s">
        <v>26</v>
      </c>
      <c r="J103" s="10">
        <v>871733.77</v>
      </c>
      <c r="K103" s="16" t="s">
        <v>27</v>
      </c>
      <c r="L103" s="16">
        <v>105227</v>
      </c>
      <c r="M103" s="16" t="s">
        <v>240</v>
      </c>
      <c r="O103" s="16">
        <v>1</v>
      </c>
      <c r="P103" s="16" t="s">
        <v>2069</v>
      </c>
    </row>
    <row r="104" spans="1:16" s="16" customFormat="1" x14ac:dyDescent="0.25">
      <c r="A104" s="16">
        <v>8003879954</v>
      </c>
      <c r="B104" s="16">
        <v>11</v>
      </c>
      <c r="C104" s="16">
        <v>16102018</v>
      </c>
      <c r="D104" s="16">
        <v>489</v>
      </c>
      <c r="E104" s="16" t="s">
        <v>31</v>
      </c>
      <c r="F104" s="16">
        <v>9938</v>
      </c>
      <c r="G104" s="16" t="s">
        <v>2068</v>
      </c>
      <c r="H104" s="10">
        <v>0.1</v>
      </c>
      <c r="I104" s="16" t="s">
        <v>26</v>
      </c>
      <c r="J104" s="10">
        <v>876735.77</v>
      </c>
      <c r="K104" s="16" t="s">
        <v>27</v>
      </c>
      <c r="L104" s="16">
        <v>105227</v>
      </c>
      <c r="M104" s="16" t="s">
        <v>2070</v>
      </c>
      <c r="O104" s="16">
        <v>1</v>
      </c>
    </row>
    <row r="105" spans="1:16" s="16" customFormat="1" x14ac:dyDescent="0.25">
      <c r="A105" s="16">
        <v>8003879954</v>
      </c>
      <c r="B105" s="16">
        <v>10</v>
      </c>
      <c r="C105" s="16">
        <v>16102018</v>
      </c>
      <c r="D105" s="16">
        <v>60</v>
      </c>
      <c r="E105" s="16" t="s">
        <v>37</v>
      </c>
      <c r="F105" s="16">
        <v>9938</v>
      </c>
      <c r="G105" s="16" t="s">
        <v>2071</v>
      </c>
      <c r="H105" s="10">
        <v>5300</v>
      </c>
      <c r="I105" s="16" t="s">
        <v>26</v>
      </c>
      <c r="J105" s="10">
        <v>876735.87</v>
      </c>
      <c r="K105" s="16" t="s">
        <v>27</v>
      </c>
      <c r="L105" s="16">
        <v>105226</v>
      </c>
      <c r="M105" s="16" t="s">
        <v>2072</v>
      </c>
      <c r="O105" s="16">
        <v>1</v>
      </c>
      <c r="P105" s="16" t="s">
        <v>2073</v>
      </c>
    </row>
    <row r="106" spans="1:16" s="16" customFormat="1" x14ac:dyDescent="0.25">
      <c r="A106" s="16">
        <v>8003879954</v>
      </c>
      <c r="B106" s="16">
        <v>9</v>
      </c>
      <c r="C106" s="16">
        <v>16102018</v>
      </c>
      <c r="D106" s="16">
        <v>341</v>
      </c>
      <c r="E106" s="16" t="s">
        <v>25</v>
      </c>
      <c r="F106" s="16">
        <v>9938</v>
      </c>
      <c r="G106" s="16" t="s">
        <v>2074</v>
      </c>
      <c r="H106" s="10">
        <v>87.2</v>
      </c>
      <c r="I106" s="16" t="s">
        <v>26</v>
      </c>
      <c r="J106" s="10">
        <v>882035.87</v>
      </c>
      <c r="K106" s="16" t="s">
        <v>27</v>
      </c>
      <c r="L106" s="16">
        <v>105224</v>
      </c>
      <c r="M106" s="16" t="s">
        <v>119</v>
      </c>
      <c r="O106" s="16">
        <v>1</v>
      </c>
      <c r="P106" s="16" t="s">
        <v>2075</v>
      </c>
    </row>
    <row r="107" spans="1:16" s="16" customFormat="1" x14ac:dyDescent="0.25">
      <c r="A107" s="16">
        <v>8003879954</v>
      </c>
      <c r="B107" s="16">
        <v>8</v>
      </c>
      <c r="C107" s="16">
        <v>16102018</v>
      </c>
      <c r="D107" s="16">
        <v>489</v>
      </c>
      <c r="E107" s="16" t="s">
        <v>31</v>
      </c>
      <c r="F107" s="16">
        <v>9938</v>
      </c>
      <c r="G107" s="16" t="s">
        <v>2074</v>
      </c>
      <c r="H107" s="10">
        <v>0.1</v>
      </c>
      <c r="I107" s="16" t="s">
        <v>26</v>
      </c>
      <c r="J107" s="10">
        <v>882123.07</v>
      </c>
      <c r="K107" s="16" t="s">
        <v>27</v>
      </c>
      <c r="L107" s="16">
        <v>105224</v>
      </c>
      <c r="M107" s="16" t="s">
        <v>2076</v>
      </c>
      <c r="O107" s="16">
        <v>1</v>
      </c>
    </row>
    <row r="108" spans="1:16" s="16" customFormat="1" x14ac:dyDescent="0.25">
      <c r="A108" s="16">
        <v>8003879954</v>
      </c>
      <c r="B108" s="16">
        <v>7</v>
      </c>
      <c r="C108" s="16">
        <v>16102018</v>
      </c>
      <c r="D108" s="16">
        <v>60</v>
      </c>
      <c r="E108" s="16" t="s">
        <v>37</v>
      </c>
      <c r="F108" s="16">
        <v>9938</v>
      </c>
      <c r="G108" s="16" t="s">
        <v>2077</v>
      </c>
      <c r="H108" s="10">
        <v>320</v>
      </c>
      <c r="I108" s="16" t="s">
        <v>26</v>
      </c>
      <c r="J108" s="10">
        <v>882123.17</v>
      </c>
      <c r="K108" s="16" t="s">
        <v>27</v>
      </c>
      <c r="L108" s="16">
        <v>105223</v>
      </c>
      <c r="M108" s="16" t="s">
        <v>1287</v>
      </c>
      <c r="O108" s="16">
        <v>1</v>
      </c>
      <c r="P108" s="16" t="s">
        <v>1288</v>
      </c>
    </row>
    <row r="109" spans="1:16" s="16" customFormat="1" x14ac:dyDescent="0.25">
      <c r="A109" s="16">
        <v>8003879954</v>
      </c>
      <c r="B109" s="16">
        <v>6</v>
      </c>
      <c r="C109" s="16">
        <v>16102018</v>
      </c>
      <c r="D109" s="16">
        <v>341</v>
      </c>
      <c r="E109" s="16" t="s">
        <v>25</v>
      </c>
      <c r="F109" s="16">
        <v>9938</v>
      </c>
      <c r="G109" s="16" t="s">
        <v>2078</v>
      </c>
      <c r="H109" s="10">
        <v>1890</v>
      </c>
      <c r="I109" s="16" t="s">
        <v>26</v>
      </c>
      <c r="J109" s="10">
        <v>882443.17</v>
      </c>
      <c r="K109" s="16" t="s">
        <v>27</v>
      </c>
      <c r="L109" s="16">
        <v>105223</v>
      </c>
      <c r="M109" s="16" t="s">
        <v>273</v>
      </c>
      <c r="O109" s="16">
        <v>1</v>
      </c>
      <c r="P109" s="16" t="s">
        <v>2079</v>
      </c>
    </row>
    <row r="110" spans="1:16" s="16" customFormat="1" x14ac:dyDescent="0.25">
      <c r="A110" s="16">
        <v>8003879954</v>
      </c>
      <c r="B110" s="16">
        <v>5</v>
      </c>
      <c r="C110" s="16">
        <v>16102018</v>
      </c>
      <c r="D110" s="16">
        <v>489</v>
      </c>
      <c r="E110" s="16" t="s">
        <v>31</v>
      </c>
      <c r="F110" s="16">
        <v>9938</v>
      </c>
      <c r="G110" s="16" t="s">
        <v>2078</v>
      </c>
      <c r="H110" s="10">
        <v>0.1</v>
      </c>
      <c r="I110" s="16" t="s">
        <v>26</v>
      </c>
      <c r="J110" s="10">
        <v>884333.17</v>
      </c>
      <c r="K110" s="16" t="s">
        <v>27</v>
      </c>
      <c r="L110" s="16">
        <v>105223</v>
      </c>
      <c r="M110" s="16" t="s">
        <v>2080</v>
      </c>
      <c r="O110" s="16">
        <v>1</v>
      </c>
    </row>
    <row r="111" spans="1:16" s="16" customFormat="1" x14ac:dyDescent="0.25">
      <c r="A111" s="16">
        <v>8003879954</v>
      </c>
      <c r="B111" s="16">
        <v>4</v>
      </c>
      <c r="C111" s="16">
        <v>16102018</v>
      </c>
      <c r="D111" s="16">
        <v>341</v>
      </c>
      <c r="E111" s="16" t="s">
        <v>25</v>
      </c>
      <c r="F111" s="16">
        <v>9938</v>
      </c>
      <c r="G111" s="16" t="s">
        <v>2081</v>
      </c>
      <c r="H111" s="10">
        <v>250</v>
      </c>
      <c r="I111" s="16" t="s">
        <v>26</v>
      </c>
      <c r="J111" s="10">
        <v>884333.27</v>
      </c>
      <c r="K111" s="16" t="s">
        <v>27</v>
      </c>
      <c r="L111" s="16">
        <v>105223</v>
      </c>
      <c r="M111" s="16" t="s">
        <v>2082</v>
      </c>
      <c r="O111" s="16">
        <v>1</v>
      </c>
      <c r="P111" s="16" t="s">
        <v>2083</v>
      </c>
    </row>
    <row r="112" spans="1:16" s="16" customFormat="1" x14ac:dyDescent="0.25">
      <c r="A112" s="16">
        <v>8003879954</v>
      </c>
      <c r="B112" s="16">
        <v>3</v>
      </c>
      <c r="C112" s="16">
        <v>16102018</v>
      </c>
      <c r="D112" s="16">
        <v>489</v>
      </c>
      <c r="E112" s="16" t="s">
        <v>31</v>
      </c>
      <c r="F112" s="16">
        <v>9938</v>
      </c>
      <c r="G112" s="16" t="s">
        <v>2081</v>
      </c>
      <c r="H112" s="10">
        <v>0.1</v>
      </c>
      <c r="I112" s="16" t="s">
        <v>26</v>
      </c>
      <c r="J112" s="10">
        <v>884583.27</v>
      </c>
      <c r="K112" s="16" t="s">
        <v>27</v>
      </c>
      <c r="L112" s="16">
        <v>105223</v>
      </c>
      <c r="M112" s="16" t="s">
        <v>2084</v>
      </c>
      <c r="O112" s="16">
        <v>1</v>
      </c>
    </row>
    <row r="113" spans="1:16" s="16" customFormat="1" x14ac:dyDescent="0.25">
      <c r="A113" s="16">
        <v>8003879954</v>
      </c>
      <c r="B113" s="16">
        <v>2</v>
      </c>
      <c r="C113" s="16">
        <v>16102018</v>
      </c>
      <c r="D113" s="16">
        <v>341</v>
      </c>
      <c r="E113" s="16" t="s">
        <v>25</v>
      </c>
      <c r="F113" s="16">
        <v>9938</v>
      </c>
      <c r="G113" s="16" t="s">
        <v>2085</v>
      </c>
      <c r="H113" s="10">
        <v>3710</v>
      </c>
      <c r="I113" s="16" t="s">
        <v>26</v>
      </c>
      <c r="J113" s="10">
        <v>884583.37</v>
      </c>
      <c r="K113" s="16" t="s">
        <v>27</v>
      </c>
      <c r="L113" s="16">
        <v>105222</v>
      </c>
      <c r="M113" s="16" t="s">
        <v>268</v>
      </c>
      <c r="O113" s="16">
        <v>1</v>
      </c>
      <c r="P113" s="16" t="s">
        <v>2086</v>
      </c>
    </row>
    <row r="114" spans="1:16" s="16" customFormat="1" x14ac:dyDescent="0.25">
      <c r="A114" s="16">
        <v>8003879954</v>
      </c>
      <c r="B114" s="16">
        <v>1</v>
      </c>
      <c r="C114" s="16">
        <v>16102018</v>
      </c>
      <c r="D114" s="16">
        <v>489</v>
      </c>
      <c r="E114" s="16" t="s">
        <v>31</v>
      </c>
      <c r="F114" s="16">
        <v>9938</v>
      </c>
      <c r="G114" s="16" t="s">
        <v>2085</v>
      </c>
      <c r="H114" s="10">
        <v>0.1</v>
      </c>
      <c r="I114" s="16" t="s">
        <v>26</v>
      </c>
      <c r="J114" s="10">
        <v>888293.37</v>
      </c>
      <c r="K114" s="16" t="s">
        <v>27</v>
      </c>
      <c r="L114" s="16">
        <v>105222</v>
      </c>
      <c r="M114" s="16" t="s">
        <v>2087</v>
      </c>
      <c r="O114" s="16">
        <v>1</v>
      </c>
    </row>
    <row r="115" spans="1:16" s="16" customFormat="1" x14ac:dyDescent="0.25">
      <c r="A115" s="16">
        <v>8003879954</v>
      </c>
      <c r="B115" s="16">
        <v>3</v>
      </c>
      <c r="C115" s="16">
        <v>15102018</v>
      </c>
      <c r="D115" s="16">
        <v>819</v>
      </c>
      <c r="E115" s="16" t="s">
        <v>35</v>
      </c>
      <c r="H115" s="10">
        <v>0.5</v>
      </c>
      <c r="I115" s="16" t="s">
        <v>26</v>
      </c>
      <c r="J115" s="10">
        <v>888293.47</v>
      </c>
      <c r="K115" s="16" t="s">
        <v>27</v>
      </c>
      <c r="L115" s="16">
        <v>10711</v>
      </c>
      <c r="M115" s="16" t="s">
        <v>32</v>
      </c>
      <c r="O115" s="16">
        <v>1</v>
      </c>
    </row>
    <row r="116" spans="1:16" s="16" customFormat="1" x14ac:dyDescent="0.25">
      <c r="A116" s="16">
        <v>8003879954</v>
      </c>
      <c r="B116" s="16">
        <v>2</v>
      </c>
      <c r="C116" s="16">
        <v>15102018</v>
      </c>
      <c r="D116" s="16">
        <v>323</v>
      </c>
      <c r="E116" s="16" t="s">
        <v>50</v>
      </c>
      <c r="F116" s="16">
        <v>0</v>
      </c>
      <c r="G116" s="16" t="s">
        <v>2088</v>
      </c>
      <c r="H116" s="10">
        <v>170</v>
      </c>
      <c r="I116" s="16" t="s">
        <v>26</v>
      </c>
      <c r="J116" s="10">
        <v>888293.97</v>
      </c>
      <c r="K116" s="16" t="s">
        <v>27</v>
      </c>
      <c r="L116" s="16">
        <v>10532</v>
      </c>
      <c r="M116" s="16" t="s">
        <v>32</v>
      </c>
      <c r="O116" s="16">
        <v>1</v>
      </c>
    </row>
    <row r="117" spans="1:16" s="16" customFormat="1" x14ac:dyDescent="0.25">
      <c r="A117" s="16">
        <v>8003879954</v>
      </c>
      <c r="B117" s="16">
        <v>1</v>
      </c>
      <c r="C117" s="16">
        <v>15102018</v>
      </c>
      <c r="D117" s="16">
        <v>123</v>
      </c>
      <c r="E117" s="16" t="s">
        <v>64</v>
      </c>
      <c r="F117" s="16">
        <v>2007</v>
      </c>
      <c r="G117" s="16" t="s">
        <v>2089</v>
      </c>
      <c r="H117" s="10">
        <v>3000</v>
      </c>
      <c r="I117" s="16" t="s">
        <v>27</v>
      </c>
      <c r="J117" s="10">
        <v>888463.97</v>
      </c>
      <c r="K117" s="16" t="s">
        <v>27</v>
      </c>
      <c r="L117" s="16">
        <v>193601</v>
      </c>
      <c r="M117" s="16" t="s">
        <v>32</v>
      </c>
      <c r="O117" s="16">
        <v>1</v>
      </c>
    </row>
    <row r="118" spans="1:16" s="16" customFormat="1" x14ac:dyDescent="0.25">
      <c r="A118" s="16">
        <v>8003879954</v>
      </c>
      <c r="B118" s="16">
        <v>5</v>
      </c>
      <c r="C118" s="16">
        <v>12102018</v>
      </c>
      <c r="D118" s="16">
        <v>819</v>
      </c>
      <c r="E118" s="16" t="s">
        <v>35</v>
      </c>
      <c r="H118" s="10">
        <v>0.5</v>
      </c>
      <c r="I118" s="16" t="s">
        <v>26</v>
      </c>
      <c r="J118" s="10">
        <v>885463.97</v>
      </c>
      <c r="K118" s="16" t="s">
        <v>27</v>
      </c>
      <c r="L118" s="16">
        <v>11630</v>
      </c>
      <c r="M118" s="16" t="s">
        <v>32</v>
      </c>
      <c r="O118" s="16">
        <v>1</v>
      </c>
    </row>
    <row r="119" spans="1:16" s="16" customFormat="1" x14ac:dyDescent="0.25">
      <c r="A119" s="16">
        <v>8003879954</v>
      </c>
      <c r="B119" s="16">
        <v>4</v>
      </c>
      <c r="C119" s="16">
        <v>12102018</v>
      </c>
      <c r="D119" s="16">
        <v>323</v>
      </c>
      <c r="E119" s="16" t="s">
        <v>50</v>
      </c>
      <c r="F119" s="16">
        <v>0</v>
      </c>
      <c r="G119" s="16" t="s">
        <v>2090</v>
      </c>
      <c r="H119" s="10">
        <v>233.8</v>
      </c>
      <c r="I119" s="16" t="s">
        <v>26</v>
      </c>
      <c r="J119" s="10">
        <v>885464.47</v>
      </c>
      <c r="K119" s="16" t="s">
        <v>27</v>
      </c>
      <c r="L119" s="16">
        <v>11538</v>
      </c>
      <c r="M119" s="16" t="s">
        <v>32</v>
      </c>
      <c r="O119" s="16">
        <v>1</v>
      </c>
    </row>
    <row r="120" spans="1:16" s="16" customFormat="1" x14ac:dyDescent="0.25">
      <c r="A120" s="16">
        <v>8003879954</v>
      </c>
      <c r="B120" s="16">
        <v>3</v>
      </c>
      <c r="C120" s="16">
        <v>12102018</v>
      </c>
      <c r="D120" s="16">
        <v>415</v>
      </c>
      <c r="E120" s="16" t="s">
        <v>48</v>
      </c>
      <c r="F120" s="16">
        <v>72</v>
      </c>
      <c r="G120" s="16" t="s">
        <v>2091</v>
      </c>
      <c r="H120" s="10">
        <v>10</v>
      </c>
      <c r="I120" s="16" t="s">
        <v>26</v>
      </c>
      <c r="J120" s="10">
        <v>885698.27</v>
      </c>
      <c r="K120" s="16" t="s">
        <v>27</v>
      </c>
      <c r="L120" s="16">
        <v>161331</v>
      </c>
      <c r="M120" s="16" t="s">
        <v>2092</v>
      </c>
      <c r="O120" s="16">
        <v>1</v>
      </c>
    </row>
    <row r="121" spans="1:16" s="16" customFormat="1" x14ac:dyDescent="0.25">
      <c r="A121" s="16">
        <v>8003879954</v>
      </c>
      <c r="B121" s="16">
        <v>2</v>
      </c>
      <c r="C121" s="16">
        <v>12102018</v>
      </c>
      <c r="D121" s="16">
        <v>349</v>
      </c>
      <c r="E121" s="16" t="s">
        <v>49</v>
      </c>
      <c r="F121" s="16">
        <v>72</v>
      </c>
      <c r="G121" s="16" t="s">
        <v>2091</v>
      </c>
      <c r="H121" s="10">
        <v>10787.32</v>
      </c>
      <c r="I121" s="16" t="s">
        <v>26</v>
      </c>
      <c r="J121" s="10">
        <v>885708.27</v>
      </c>
      <c r="K121" s="16" t="s">
        <v>27</v>
      </c>
      <c r="L121" s="16">
        <v>161331</v>
      </c>
      <c r="M121" s="16" t="s">
        <v>2092</v>
      </c>
      <c r="O121" s="16">
        <v>1</v>
      </c>
    </row>
    <row r="122" spans="1:16" s="16" customFormat="1" x14ac:dyDescent="0.25">
      <c r="A122" s="16">
        <v>8003879954</v>
      </c>
      <c r="B122" s="16">
        <v>1</v>
      </c>
      <c r="C122" s="16">
        <v>12102018</v>
      </c>
      <c r="D122" s="16">
        <v>174</v>
      </c>
      <c r="E122" s="16" t="s">
        <v>159</v>
      </c>
      <c r="F122" s="16">
        <v>2001</v>
      </c>
      <c r="G122" s="16" t="s">
        <v>2093</v>
      </c>
      <c r="H122" s="10">
        <v>8320</v>
      </c>
      <c r="I122" s="16" t="s">
        <v>27</v>
      </c>
      <c r="J122" s="10">
        <v>896495.59</v>
      </c>
      <c r="K122" s="16" t="s">
        <v>27</v>
      </c>
      <c r="L122" s="16">
        <v>91222</v>
      </c>
      <c r="M122" s="16" t="s">
        <v>2094</v>
      </c>
      <c r="O122" s="16">
        <v>1</v>
      </c>
      <c r="P122" s="16" t="s">
        <v>2094</v>
      </c>
    </row>
    <row r="123" spans="1:16" s="16" customFormat="1" x14ac:dyDescent="0.25">
      <c r="A123" s="16">
        <v>8003879954</v>
      </c>
      <c r="B123" s="16">
        <v>3</v>
      </c>
      <c r="C123" s="16">
        <v>11102018</v>
      </c>
      <c r="D123" s="16">
        <v>819</v>
      </c>
      <c r="E123" s="16" t="s">
        <v>35</v>
      </c>
      <c r="H123" s="10">
        <v>1</v>
      </c>
      <c r="I123" s="16" t="s">
        <v>26</v>
      </c>
      <c r="J123" s="10">
        <v>888175.59</v>
      </c>
      <c r="K123" s="16" t="s">
        <v>27</v>
      </c>
      <c r="L123" s="16">
        <v>12026</v>
      </c>
      <c r="M123" s="16" t="s">
        <v>32</v>
      </c>
      <c r="O123" s="16">
        <v>1</v>
      </c>
    </row>
    <row r="124" spans="1:16" s="16" customFormat="1" x14ac:dyDescent="0.25">
      <c r="A124" s="16">
        <v>8003879954</v>
      </c>
      <c r="B124" s="16">
        <v>2</v>
      </c>
      <c r="C124" s="16">
        <v>11102018</v>
      </c>
      <c r="D124" s="16">
        <v>321</v>
      </c>
      <c r="E124" s="16" t="s">
        <v>36</v>
      </c>
      <c r="F124" s="16">
        <v>0</v>
      </c>
      <c r="G124" s="16" t="s">
        <v>2095</v>
      </c>
      <c r="H124" s="10">
        <v>163.25</v>
      </c>
      <c r="I124" s="16" t="s">
        <v>26</v>
      </c>
      <c r="J124" s="10">
        <v>888176.59</v>
      </c>
      <c r="K124" s="16" t="s">
        <v>27</v>
      </c>
      <c r="L124" s="16">
        <v>11927</v>
      </c>
      <c r="M124" s="16" t="s">
        <v>32</v>
      </c>
      <c r="O124" s="16">
        <v>1</v>
      </c>
    </row>
    <row r="125" spans="1:16" s="16" customFormat="1" x14ac:dyDescent="0.25">
      <c r="A125" s="16">
        <v>8003879954</v>
      </c>
      <c r="B125" s="16">
        <v>1</v>
      </c>
      <c r="C125" s="16">
        <v>11102018</v>
      </c>
      <c r="D125" s="16">
        <v>321</v>
      </c>
      <c r="E125" s="16" t="s">
        <v>36</v>
      </c>
      <c r="F125" s="16">
        <v>0</v>
      </c>
      <c r="G125" s="16" t="s">
        <v>2096</v>
      </c>
      <c r="H125" s="10">
        <v>501.95</v>
      </c>
      <c r="I125" s="16" t="s">
        <v>26</v>
      </c>
      <c r="J125" s="10">
        <v>888339.84</v>
      </c>
      <c r="K125" s="16" t="s">
        <v>27</v>
      </c>
      <c r="L125" s="16">
        <v>11927</v>
      </c>
      <c r="M125" s="16" t="s">
        <v>32</v>
      </c>
      <c r="O125" s="16">
        <v>1</v>
      </c>
    </row>
    <row r="126" spans="1:16" s="16" customFormat="1" x14ac:dyDescent="0.25">
      <c r="A126" s="16">
        <v>8003879954</v>
      </c>
      <c r="B126" s="16">
        <v>6</v>
      </c>
      <c r="C126" s="16">
        <v>10102018</v>
      </c>
      <c r="D126" s="16">
        <v>819</v>
      </c>
      <c r="E126" s="16" t="s">
        <v>35</v>
      </c>
      <c r="H126" s="10">
        <v>0.5</v>
      </c>
      <c r="I126" s="16" t="s">
        <v>26</v>
      </c>
      <c r="J126" s="10">
        <v>888841.79</v>
      </c>
      <c r="K126" s="16" t="s">
        <v>27</v>
      </c>
      <c r="L126" s="16">
        <v>12215</v>
      </c>
      <c r="M126" s="16" t="s">
        <v>32</v>
      </c>
      <c r="O126" s="16">
        <v>1</v>
      </c>
    </row>
    <row r="127" spans="1:16" s="16" customFormat="1" x14ac:dyDescent="0.25">
      <c r="A127" s="16">
        <v>8003879954</v>
      </c>
      <c r="B127" s="16">
        <v>5</v>
      </c>
      <c r="C127" s="16">
        <v>10102018</v>
      </c>
      <c r="D127" s="16">
        <v>323</v>
      </c>
      <c r="E127" s="16" t="s">
        <v>50</v>
      </c>
      <c r="F127" s="16">
        <v>0</v>
      </c>
      <c r="G127" s="16" t="s">
        <v>2097</v>
      </c>
      <c r="H127" s="10">
        <v>70000</v>
      </c>
      <c r="I127" s="16" t="s">
        <v>26</v>
      </c>
      <c r="J127" s="10">
        <v>888842.29</v>
      </c>
      <c r="K127" s="16" t="s">
        <v>27</v>
      </c>
      <c r="L127" s="16">
        <v>12104</v>
      </c>
      <c r="M127" s="16" t="s">
        <v>32</v>
      </c>
      <c r="O127" s="16">
        <v>1</v>
      </c>
    </row>
    <row r="128" spans="1:16" s="16" customFormat="1" x14ac:dyDescent="0.25">
      <c r="A128" s="16">
        <v>8003879954</v>
      </c>
      <c r="B128" s="16">
        <v>4</v>
      </c>
      <c r="C128" s="16">
        <v>10102018</v>
      </c>
      <c r="D128" s="16">
        <v>341</v>
      </c>
      <c r="E128" s="16" t="s">
        <v>25</v>
      </c>
      <c r="F128" s="16">
        <v>9938</v>
      </c>
      <c r="G128" s="16" t="s">
        <v>2098</v>
      </c>
      <c r="H128" s="10">
        <v>2578</v>
      </c>
      <c r="I128" s="16" t="s">
        <v>26</v>
      </c>
      <c r="J128" s="10">
        <v>958842.29</v>
      </c>
      <c r="K128" s="16" t="s">
        <v>27</v>
      </c>
      <c r="L128" s="16">
        <v>183140</v>
      </c>
      <c r="M128" s="16" t="s">
        <v>2099</v>
      </c>
      <c r="O128" s="16">
        <v>1</v>
      </c>
      <c r="P128" s="16" t="s">
        <v>2100</v>
      </c>
    </row>
    <row r="129" spans="1:16" s="16" customFormat="1" x14ac:dyDescent="0.25">
      <c r="A129" s="16">
        <v>8003879954</v>
      </c>
      <c r="B129" s="16">
        <v>3</v>
      </c>
      <c r="C129" s="16">
        <v>10102018</v>
      </c>
      <c r="D129" s="16">
        <v>489</v>
      </c>
      <c r="E129" s="16" t="s">
        <v>31</v>
      </c>
      <c r="F129" s="16">
        <v>9938</v>
      </c>
      <c r="G129" s="16" t="s">
        <v>2098</v>
      </c>
      <c r="H129" s="10">
        <v>0.1</v>
      </c>
      <c r="I129" s="16" t="s">
        <v>26</v>
      </c>
      <c r="J129" s="10">
        <v>961420.29</v>
      </c>
      <c r="K129" s="16" t="s">
        <v>27</v>
      </c>
      <c r="L129" s="16">
        <v>183140</v>
      </c>
      <c r="M129" s="16" t="s">
        <v>2101</v>
      </c>
      <c r="O129" s="16">
        <v>1</v>
      </c>
    </row>
    <row r="130" spans="1:16" s="16" customFormat="1" x14ac:dyDescent="0.25">
      <c r="A130" s="16">
        <v>8003879954</v>
      </c>
      <c r="B130" s="16">
        <v>2</v>
      </c>
      <c r="C130" s="16">
        <v>10102018</v>
      </c>
      <c r="D130" s="16">
        <v>346</v>
      </c>
      <c r="E130" s="16" t="s">
        <v>137</v>
      </c>
      <c r="F130" s="16">
        <v>9938</v>
      </c>
      <c r="G130" s="16" t="s">
        <v>2102</v>
      </c>
      <c r="H130" s="10">
        <v>1249.52</v>
      </c>
      <c r="I130" s="16" t="s">
        <v>26</v>
      </c>
      <c r="J130" s="10">
        <v>961420.39</v>
      </c>
      <c r="K130" s="16" t="s">
        <v>27</v>
      </c>
      <c r="L130" s="16">
        <v>183139</v>
      </c>
      <c r="M130" s="16" t="s">
        <v>2103</v>
      </c>
      <c r="O130" s="16">
        <v>1</v>
      </c>
      <c r="P130" s="16" t="s">
        <v>2104</v>
      </c>
    </row>
    <row r="131" spans="1:16" s="16" customFormat="1" x14ac:dyDescent="0.25">
      <c r="A131" s="16">
        <v>8003879954</v>
      </c>
      <c r="B131" s="16">
        <v>1</v>
      </c>
      <c r="C131" s="16">
        <v>10102018</v>
      </c>
      <c r="D131" s="16">
        <v>345</v>
      </c>
      <c r="E131" s="16" t="s">
        <v>51</v>
      </c>
      <c r="F131" s="16">
        <v>9938</v>
      </c>
      <c r="G131" s="16" t="s">
        <v>2105</v>
      </c>
      <c r="H131" s="10">
        <v>7441.22</v>
      </c>
      <c r="I131" s="16" t="s">
        <v>26</v>
      </c>
      <c r="J131" s="10">
        <v>962669.91</v>
      </c>
      <c r="K131" s="16" t="s">
        <v>27</v>
      </c>
      <c r="L131" s="16">
        <v>183139</v>
      </c>
      <c r="M131" s="16" t="s">
        <v>2106</v>
      </c>
      <c r="O131" s="16">
        <v>1</v>
      </c>
      <c r="P131" s="16" t="s">
        <v>2107</v>
      </c>
    </row>
    <row r="132" spans="1:16" s="16" customFormat="1" x14ac:dyDescent="0.25">
      <c r="A132" s="16">
        <v>8003879954</v>
      </c>
      <c r="B132" s="16">
        <v>9</v>
      </c>
      <c r="C132" s="16">
        <v>9102018</v>
      </c>
      <c r="D132" s="16">
        <v>819</v>
      </c>
      <c r="E132" s="16" t="s">
        <v>35</v>
      </c>
      <c r="H132" s="10">
        <v>1</v>
      </c>
      <c r="I132" s="16" t="s">
        <v>26</v>
      </c>
      <c r="J132" s="10">
        <v>970111.13</v>
      </c>
      <c r="K132" s="16" t="s">
        <v>27</v>
      </c>
      <c r="L132" s="16">
        <v>12936</v>
      </c>
      <c r="M132" s="16" t="s">
        <v>32</v>
      </c>
      <c r="O132" s="16">
        <v>1</v>
      </c>
    </row>
    <row r="133" spans="1:16" s="16" customFormat="1" x14ac:dyDescent="0.25">
      <c r="A133" s="16">
        <v>8003879954</v>
      </c>
      <c r="B133" s="16">
        <v>8</v>
      </c>
      <c r="C133" s="16">
        <v>9102018</v>
      </c>
      <c r="D133" s="16">
        <v>323</v>
      </c>
      <c r="E133" s="16" t="s">
        <v>50</v>
      </c>
      <c r="F133" s="16">
        <v>0</v>
      </c>
      <c r="G133" s="16" t="s">
        <v>2108</v>
      </c>
      <c r="H133" s="10">
        <v>119648.55</v>
      </c>
      <c r="I133" s="16" t="s">
        <v>26</v>
      </c>
      <c r="J133" s="10">
        <v>970112.13</v>
      </c>
      <c r="K133" s="16" t="s">
        <v>27</v>
      </c>
      <c r="L133" s="16">
        <v>12827</v>
      </c>
      <c r="M133" s="16" t="s">
        <v>32</v>
      </c>
      <c r="O133" s="16">
        <v>1</v>
      </c>
    </row>
    <row r="134" spans="1:16" s="16" customFormat="1" x14ac:dyDescent="0.25">
      <c r="A134" s="16">
        <v>8003879954</v>
      </c>
      <c r="B134" s="16">
        <v>7</v>
      </c>
      <c r="C134" s="16">
        <v>9102018</v>
      </c>
      <c r="D134" s="16">
        <v>323</v>
      </c>
      <c r="E134" s="16" t="s">
        <v>50</v>
      </c>
      <c r="F134" s="16">
        <v>0</v>
      </c>
      <c r="G134" s="16" t="s">
        <v>2109</v>
      </c>
      <c r="H134" s="10">
        <v>100000</v>
      </c>
      <c r="I134" s="16" t="s">
        <v>26</v>
      </c>
      <c r="J134" s="10">
        <v>1089760.68</v>
      </c>
      <c r="K134" s="16" t="s">
        <v>27</v>
      </c>
      <c r="L134" s="16">
        <v>12827</v>
      </c>
      <c r="M134" s="16" t="s">
        <v>32</v>
      </c>
      <c r="O134" s="16">
        <v>1</v>
      </c>
    </row>
    <row r="135" spans="1:16" s="16" customFormat="1" x14ac:dyDescent="0.25">
      <c r="A135" s="16">
        <v>8003879954</v>
      </c>
      <c r="B135" s="16">
        <v>6</v>
      </c>
      <c r="C135" s="16">
        <v>9102018</v>
      </c>
      <c r="D135" s="16">
        <v>123</v>
      </c>
      <c r="E135" s="16" t="s">
        <v>64</v>
      </c>
      <c r="F135" s="16">
        <v>2007</v>
      </c>
      <c r="G135" s="16" t="s">
        <v>2110</v>
      </c>
      <c r="H135" s="10">
        <v>17533</v>
      </c>
      <c r="I135" s="16" t="s">
        <v>27</v>
      </c>
      <c r="J135" s="10">
        <v>1189760.68</v>
      </c>
      <c r="K135" s="16" t="s">
        <v>27</v>
      </c>
      <c r="L135" s="16">
        <v>191548</v>
      </c>
      <c r="M135" s="16" t="s">
        <v>32</v>
      </c>
      <c r="O135" s="16">
        <v>1</v>
      </c>
    </row>
    <row r="136" spans="1:16" s="16" customFormat="1" x14ac:dyDescent="0.25">
      <c r="A136" s="16">
        <v>8003879954</v>
      </c>
      <c r="B136" s="16">
        <v>5</v>
      </c>
      <c r="C136" s="16">
        <v>9102018</v>
      </c>
      <c r="D136" s="16">
        <v>123</v>
      </c>
      <c r="E136" s="16" t="s">
        <v>64</v>
      </c>
      <c r="F136" s="16">
        <v>2007</v>
      </c>
      <c r="G136" s="16" t="s">
        <v>2111</v>
      </c>
      <c r="H136" s="10">
        <v>3000</v>
      </c>
      <c r="I136" s="16" t="s">
        <v>27</v>
      </c>
      <c r="J136" s="10">
        <v>1172227.68</v>
      </c>
      <c r="K136" s="16" t="s">
        <v>27</v>
      </c>
      <c r="L136" s="16">
        <v>191548</v>
      </c>
      <c r="M136" s="16" t="s">
        <v>32</v>
      </c>
      <c r="O136" s="16">
        <v>1</v>
      </c>
    </row>
    <row r="137" spans="1:16" s="16" customFormat="1" x14ac:dyDescent="0.25">
      <c r="A137" s="16">
        <v>8003879954</v>
      </c>
      <c r="B137" s="16">
        <v>4</v>
      </c>
      <c r="C137" s="16">
        <v>9102018</v>
      </c>
      <c r="D137" s="16">
        <v>415</v>
      </c>
      <c r="E137" s="16" t="s">
        <v>48</v>
      </c>
      <c r="F137" s="16">
        <v>72</v>
      </c>
      <c r="G137" s="16" t="s">
        <v>2112</v>
      </c>
      <c r="H137" s="10">
        <v>10</v>
      </c>
      <c r="I137" s="16" t="s">
        <v>26</v>
      </c>
      <c r="J137" s="10">
        <v>1169227.68</v>
      </c>
      <c r="K137" s="16" t="s">
        <v>27</v>
      </c>
      <c r="L137" s="16">
        <v>141902</v>
      </c>
      <c r="M137" s="16" t="s">
        <v>2113</v>
      </c>
      <c r="O137" s="16">
        <v>1</v>
      </c>
    </row>
    <row r="138" spans="1:16" s="16" customFormat="1" x14ac:dyDescent="0.25">
      <c r="A138" s="16">
        <v>8003879954</v>
      </c>
      <c r="B138" s="16">
        <v>3</v>
      </c>
      <c r="C138" s="16">
        <v>9102018</v>
      </c>
      <c r="D138" s="16">
        <v>349</v>
      </c>
      <c r="E138" s="16" t="s">
        <v>49</v>
      </c>
      <c r="F138" s="16">
        <v>72</v>
      </c>
      <c r="G138" s="16" t="s">
        <v>2112</v>
      </c>
      <c r="H138" s="10">
        <v>40601.360000000001</v>
      </c>
      <c r="I138" s="16" t="s">
        <v>26</v>
      </c>
      <c r="J138" s="10">
        <v>1169237.68</v>
      </c>
      <c r="K138" s="16" t="s">
        <v>27</v>
      </c>
      <c r="L138" s="16">
        <v>141902</v>
      </c>
      <c r="M138" s="16" t="s">
        <v>2113</v>
      </c>
      <c r="O138" s="16">
        <v>1</v>
      </c>
    </row>
    <row r="139" spans="1:16" s="16" customFormat="1" x14ac:dyDescent="0.25">
      <c r="A139" s="16">
        <v>8003879954</v>
      </c>
      <c r="B139" s="16">
        <v>2</v>
      </c>
      <c r="C139" s="16">
        <v>9102018</v>
      </c>
      <c r="D139" s="16">
        <v>415</v>
      </c>
      <c r="E139" s="16" t="s">
        <v>48</v>
      </c>
      <c r="F139" s="16">
        <v>72</v>
      </c>
      <c r="G139" s="16" t="s">
        <v>2114</v>
      </c>
      <c r="H139" s="10">
        <v>30</v>
      </c>
      <c r="I139" s="16" t="s">
        <v>26</v>
      </c>
      <c r="J139" s="10">
        <v>1209839.04</v>
      </c>
      <c r="K139" s="16" t="s">
        <v>27</v>
      </c>
      <c r="L139" s="16">
        <v>140423</v>
      </c>
      <c r="M139" s="16" t="s">
        <v>2115</v>
      </c>
      <c r="O139" s="16">
        <v>1</v>
      </c>
    </row>
    <row r="140" spans="1:16" s="16" customFormat="1" x14ac:dyDescent="0.25">
      <c r="A140" s="16">
        <v>8003879954</v>
      </c>
      <c r="B140" s="16">
        <v>1</v>
      </c>
      <c r="C140" s="16">
        <v>9102018</v>
      </c>
      <c r="D140" s="16">
        <v>349</v>
      </c>
      <c r="E140" s="16" t="s">
        <v>49</v>
      </c>
      <c r="F140" s="16">
        <v>72</v>
      </c>
      <c r="G140" s="16" t="s">
        <v>2114</v>
      </c>
      <c r="H140" s="10">
        <v>10540</v>
      </c>
      <c r="I140" s="16" t="s">
        <v>26</v>
      </c>
      <c r="J140" s="10">
        <v>1209869.04</v>
      </c>
      <c r="K140" s="16" t="s">
        <v>27</v>
      </c>
      <c r="L140" s="16">
        <v>140423</v>
      </c>
      <c r="M140" s="16" t="s">
        <v>2115</v>
      </c>
      <c r="O140" s="16">
        <v>1</v>
      </c>
    </row>
    <row r="141" spans="1:16" s="16" customFormat="1" x14ac:dyDescent="0.25">
      <c r="A141" s="16">
        <v>8003879954</v>
      </c>
      <c r="B141" s="16">
        <v>6</v>
      </c>
      <c r="C141" s="16">
        <v>8102018</v>
      </c>
      <c r="D141" s="16">
        <v>819</v>
      </c>
      <c r="E141" s="16" t="s">
        <v>35</v>
      </c>
      <c r="H141" s="10">
        <v>0.5</v>
      </c>
      <c r="I141" s="16" t="s">
        <v>26</v>
      </c>
      <c r="J141" s="10">
        <v>1220409.04</v>
      </c>
      <c r="K141" s="16" t="s">
        <v>27</v>
      </c>
      <c r="L141" s="16">
        <v>12153</v>
      </c>
      <c r="M141" s="16" t="s">
        <v>32</v>
      </c>
      <c r="O141" s="16">
        <v>1</v>
      </c>
    </row>
    <row r="142" spans="1:16" s="16" customFormat="1" x14ac:dyDescent="0.25">
      <c r="A142" s="16">
        <v>8003879954</v>
      </c>
      <c r="B142" s="16">
        <v>5</v>
      </c>
      <c r="C142" s="16">
        <v>8102018</v>
      </c>
      <c r="D142" s="16">
        <v>819</v>
      </c>
      <c r="E142" s="16" t="s">
        <v>35</v>
      </c>
      <c r="H142" s="10">
        <v>1.5</v>
      </c>
      <c r="I142" s="16" t="s">
        <v>26</v>
      </c>
      <c r="J142" s="10">
        <v>1220409.54</v>
      </c>
      <c r="K142" s="16" t="s">
        <v>27</v>
      </c>
      <c r="L142" s="16">
        <v>12153</v>
      </c>
      <c r="M142" s="16" t="s">
        <v>32</v>
      </c>
      <c r="O142" s="16">
        <v>1</v>
      </c>
    </row>
    <row r="143" spans="1:16" s="16" customFormat="1" x14ac:dyDescent="0.25">
      <c r="A143" s="16">
        <v>8003879954</v>
      </c>
      <c r="B143" s="16">
        <v>4</v>
      </c>
      <c r="C143" s="16">
        <v>8102018</v>
      </c>
      <c r="D143" s="16">
        <v>323</v>
      </c>
      <c r="E143" s="16" t="s">
        <v>50</v>
      </c>
      <c r="F143" s="16">
        <v>0</v>
      </c>
      <c r="G143" s="16" t="s">
        <v>2116</v>
      </c>
      <c r="H143" s="10">
        <v>23050</v>
      </c>
      <c r="I143" s="16" t="s">
        <v>26</v>
      </c>
      <c r="J143" s="10">
        <v>1220411.04</v>
      </c>
      <c r="K143" s="16" t="s">
        <v>27</v>
      </c>
      <c r="L143" s="16">
        <v>12046</v>
      </c>
      <c r="M143" s="16" t="s">
        <v>32</v>
      </c>
      <c r="O143" s="16">
        <v>1</v>
      </c>
    </row>
    <row r="144" spans="1:16" s="16" customFormat="1" x14ac:dyDescent="0.25">
      <c r="A144" s="16">
        <v>8003879954</v>
      </c>
      <c r="B144" s="16">
        <v>3</v>
      </c>
      <c r="C144" s="16">
        <v>8102018</v>
      </c>
      <c r="D144" s="16">
        <v>323</v>
      </c>
      <c r="E144" s="16" t="s">
        <v>50</v>
      </c>
      <c r="F144" s="16">
        <v>0</v>
      </c>
      <c r="G144" s="16" t="s">
        <v>2117</v>
      </c>
      <c r="H144" s="10">
        <v>11700</v>
      </c>
      <c r="I144" s="16" t="s">
        <v>26</v>
      </c>
      <c r="J144" s="10">
        <v>1243461.04</v>
      </c>
      <c r="K144" s="16" t="s">
        <v>27</v>
      </c>
      <c r="L144" s="16">
        <v>12046</v>
      </c>
      <c r="M144" s="16" t="s">
        <v>32</v>
      </c>
      <c r="O144" s="16">
        <v>1</v>
      </c>
    </row>
    <row r="145" spans="1:16" s="16" customFormat="1" x14ac:dyDescent="0.25">
      <c r="A145" s="16">
        <v>8003879954</v>
      </c>
      <c r="B145" s="16">
        <v>2</v>
      </c>
      <c r="C145" s="16">
        <v>8102018</v>
      </c>
      <c r="D145" s="16">
        <v>323</v>
      </c>
      <c r="E145" s="16" t="s">
        <v>50</v>
      </c>
      <c r="F145" s="16">
        <v>0</v>
      </c>
      <c r="G145" s="16" t="s">
        <v>2118</v>
      </c>
      <c r="H145" s="10">
        <v>60816</v>
      </c>
      <c r="I145" s="16" t="s">
        <v>26</v>
      </c>
      <c r="J145" s="10">
        <v>1255161.04</v>
      </c>
      <c r="K145" s="16" t="s">
        <v>27</v>
      </c>
      <c r="L145" s="16">
        <v>12046</v>
      </c>
      <c r="M145" s="16" t="s">
        <v>32</v>
      </c>
      <c r="O145" s="16">
        <v>1</v>
      </c>
    </row>
    <row r="146" spans="1:16" s="16" customFormat="1" x14ac:dyDescent="0.25">
      <c r="A146" s="16">
        <v>8003879954</v>
      </c>
      <c r="B146" s="16">
        <v>1</v>
      </c>
      <c r="C146" s="16">
        <v>8102018</v>
      </c>
      <c r="D146" s="16">
        <v>321</v>
      </c>
      <c r="E146" s="16" t="s">
        <v>36</v>
      </c>
      <c r="F146" s="16">
        <v>0</v>
      </c>
      <c r="G146" s="16" t="s">
        <v>2119</v>
      </c>
      <c r="H146" s="10">
        <v>116100</v>
      </c>
      <c r="I146" s="16" t="s">
        <v>26</v>
      </c>
      <c r="J146" s="10">
        <v>1315977.04</v>
      </c>
      <c r="K146" s="16" t="s">
        <v>27</v>
      </c>
      <c r="L146" s="16">
        <v>12046</v>
      </c>
      <c r="M146" s="16" t="s">
        <v>32</v>
      </c>
      <c r="O146" s="16">
        <v>1</v>
      </c>
    </row>
    <row r="147" spans="1:16" s="16" customFormat="1" x14ac:dyDescent="0.25">
      <c r="A147" s="16">
        <v>8003879954</v>
      </c>
      <c r="B147" s="16">
        <v>20</v>
      </c>
      <c r="C147" s="16">
        <v>5102018</v>
      </c>
      <c r="D147" s="16">
        <v>341</v>
      </c>
      <c r="E147" s="16" t="s">
        <v>25</v>
      </c>
      <c r="F147" s="16">
        <v>9938</v>
      </c>
      <c r="G147" s="16" t="s">
        <v>2120</v>
      </c>
      <c r="H147" s="10">
        <v>90</v>
      </c>
      <c r="I147" s="16" t="s">
        <v>26</v>
      </c>
      <c r="J147" s="10">
        <v>1432077.04</v>
      </c>
      <c r="K147" s="16" t="s">
        <v>27</v>
      </c>
      <c r="L147" s="16">
        <v>170137</v>
      </c>
      <c r="M147" s="16" t="s">
        <v>1337</v>
      </c>
      <c r="O147" s="16">
        <v>1</v>
      </c>
      <c r="P147" s="16" t="s">
        <v>2121</v>
      </c>
    </row>
    <row r="148" spans="1:16" s="16" customFormat="1" x14ac:dyDescent="0.25">
      <c r="A148" s="16">
        <v>8003879954</v>
      </c>
      <c r="B148" s="16">
        <v>19</v>
      </c>
      <c r="C148" s="16">
        <v>5102018</v>
      </c>
      <c r="D148" s="16">
        <v>489</v>
      </c>
      <c r="E148" s="16" t="s">
        <v>31</v>
      </c>
      <c r="F148" s="16">
        <v>9938</v>
      </c>
      <c r="G148" s="16" t="s">
        <v>2120</v>
      </c>
      <c r="H148" s="10">
        <v>0.1</v>
      </c>
      <c r="I148" s="16" t="s">
        <v>26</v>
      </c>
      <c r="J148" s="10">
        <v>1432167.04</v>
      </c>
      <c r="K148" s="16" t="s">
        <v>27</v>
      </c>
      <c r="L148" s="16">
        <v>170137</v>
      </c>
      <c r="M148" s="16" t="s">
        <v>2122</v>
      </c>
      <c r="O148" s="16">
        <v>1</v>
      </c>
    </row>
    <row r="149" spans="1:16" x14ac:dyDescent="0.25">
      <c r="A149">
        <v>8003879954</v>
      </c>
      <c r="B149">
        <v>18</v>
      </c>
      <c r="C149">
        <v>5102018</v>
      </c>
      <c r="D149">
        <v>60</v>
      </c>
      <c r="E149" t="s">
        <v>37</v>
      </c>
      <c r="F149">
        <v>9938</v>
      </c>
      <c r="G149" t="s">
        <v>2123</v>
      </c>
      <c r="H149" s="2">
        <v>5000</v>
      </c>
      <c r="I149" t="s">
        <v>26</v>
      </c>
      <c r="J149" s="2">
        <v>1432167.14</v>
      </c>
      <c r="K149" t="s">
        <v>27</v>
      </c>
      <c r="L149">
        <v>170052</v>
      </c>
      <c r="M149" t="s">
        <v>2124</v>
      </c>
      <c r="O149">
        <v>1</v>
      </c>
      <c r="P149" t="s">
        <v>2125</v>
      </c>
    </row>
    <row r="150" spans="1:16" x14ac:dyDescent="0.25">
      <c r="A150">
        <v>8003879954</v>
      </c>
      <c r="B150">
        <v>17</v>
      </c>
      <c r="C150">
        <v>5102018</v>
      </c>
      <c r="D150">
        <v>341</v>
      </c>
      <c r="E150" t="s">
        <v>25</v>
      </c>
      <c r="F150">
        <v>9938</v>
      </c>
      <c r="G150" t="s">
        <v>2126</v>
      </c>
      <c r="H150" s="2">
        <v>1128</v>
      </c>
      <c r="I150" t="s">
        <v>26</v>
      </c>
      <c r="J150" s="2">
        <v>1437167.14</v>
      </c>
      <c r="K150" t="s">
        <v>27</v>
      </c>
      <c r="L150">
        <v>170050</v>
      </c>
      <c r="M150" t="s">
        <v>2127</v>
      </c>
      <c r="O150">
        <v>1</v>
      </c>
      <c r="P150" t="s">
        <v>2128</v>
      </c>
    </row>
    <row r="151" spans="1:16" x14ac:dyDescent="0.25">
      <c r="A151">
        <v>8003879954</v>
      </c>
      <c r="B151">
        <v>16</v>
      </c>
      <c r="C151">
        <v>5102018</v>
      </c>
      <c r="D151">
        <v>489</v>
      </c>
      <c r="E151" t="s">
        <v>31</v>
      </c>
      <c r="F151">
        <v>9938</v>
      </c>
      <c r="G151" t="s">
        <v>2126</v>
      </c>
      <c r="H151" s="2">
        <v>0.1</v>
      </c>
      <c r="I151" t="s">
        <v>26</v>
      </c>
      <c r="J151" s="2">
        <v>1438295.14</v>
      </c>
      <c r="K151" t="s">
        <v>27</v>
      </c>
      <c r="L151">
        <v>170050</v>
      </c>
      <c r="M151" t="s">
        <v>2129</v>
      </c>
      <c r="O151">
        <v>1</v>
      </c>
    </row>
    <row r="152" spans="1:16" x14ac:dyDescent="0.25">
      <c r="A152">
        <v>8003879954</v>
      </c>
      <c r="B152">
        <v>15</v>
      </c>
      <c r="C152">
        <v>5102018</v>
      </c>
      <c r="D152">
        <v>341</v>
      </c>
      <c r="E152" t="s">
        <v>25</v>
      </c>
      <c r="F152">
        <v>9938</v>
      </c>
      <c r="G152" t="s">
        <v>2130</v>
      </c>
      <c r="H152" s="2">
        <v>2630</v>
      </c>
      <c r="I152" t="s">
        <v>26</v>
      </c>
      <c r="J152" s="2">
        <v>1438295.24</v>
      </c>
      <c r="K152" t="s">
        <v>27</v>
      </c>
      <c r="L152">
        <v>170050</v>
      </c>
      <c r="M152" t="s">
        <v>1004</v>
      </c>
      <c r="O152">
        <v>1</v>
      </c>
      <c r="P152" t="s">
        <v>2131</v>
      </c>
    </row>
    <row r="153" spans="1:16" x14ac:dyDescent="0.25">
      <c r="A153">
        <v>8003879954</v>
      </c>
      <c r="B153">
        <v>14</v>
      </c>
      <c r="C153">
        <v>5102018</v>
      </c>
      <c r="D153">
        <v>489</v>
      </c>
      <c r="E153" t="s">
        <v>31</v>
      </c>
      <c r="F153">
        <v>9938</v>
      </c>
      <c r="G153" t="s">
        <v>2130</v>
      </c>
      <c r="H153" s="2">
        <v>0.1</v>
      </c>
      <c r="I153" t="s">
        <v>26</v>
      </c>
      <c r="J153" s="2">
        <v>1440925.24</v>
      </c>
      <c r="K153" t="s">
        <v>27</v>
      </c>
      <c r="L153">
        <v>170050</v>
      </c>
      <c r="M153" t="s">
        <v>2132</v>
      </c>
      <c r="O153">
        <v>1</v>
      </c>
    </row>
    <row r="154" spans="1:16" x14ac:dyDescent="0.25">
      <c r="A154">
        <v>8003879954</v>
      </c>
      <c r="B154">
        <v>13</v>
      </c>
      <c r="C154">
        <v>5102018</v>
      </c>
      <c r="D154">
        <v>341</v>
      </c>
      <c r="E154" t="s">
        <v>25</v>
      </c>
      <c r="F154">
        <v>9938</v>
      </c>
      <c r="G154" t="s">
        <v>2133</v>
      </c>
      <c r="H154" s="2">
        <v>393</v>
      </c>
      <c r="I154" t="s">
        <v>26</v>
      </c>
      <c r="J154" s="2">
        <v>1440925.34</v>
      </c>
      <c r="K154" t="s">
        <v>27</v>
      </c>
      <c r="L154">
        <v>170050</v>
      </c>
      <c r="M154" t="s">
        <v>714</v>
      </c>
      <c r="O154">
        <v>1</v>
      </c>
      <c r="P154" t="s">
        <v>2134</v>
      </c>
    </row>
    <row r="155" spans="1:16" x14ac:dyDescent="0.25">
      <c r="A155">
        <v>8003879954</v>
      </c>
      <c r="B155">
        <v>12</v>
      </c>
      <c r="C155">
        <v>5102018</v>
      </c>
      <c r="D155">
        <v>489</v>
      </c>
      <c r="E155" t="s">
        <v>31</v>
      </c>
      <c r="F155">
        <v>9938</v>
      </c>
      <c r="G155" t="s">
        <v>2133</v>
      </c>
      <c r="H155" s="2">
        <v>0.1</v>
      </c>
      <c r="I155" t="s">
        <v>26</v>
      </c>
      <c r="J155" s="2">
        <v>1441318.34</v>
      </c>
      <c r="K155" t="s">
        <v>27</v>
      </c>
      <c r="L155">
        <v>170050</v>
      </c>
      <c r="M155" t="s">
        <v>2135</v>
      </c>
      <c r="O155">
        <v>1</v>
      </c>
    </row>
    <row r="156" spans="1:16" x14ac:dyDescent="0.25">
      <c r="A156">
        <v>8003879954</v>
      </c>
      <c r="B156">
        <v>11</v>
      </c>
      <c r="C156">
        <v>5102018</v>
      </c>
      <c r="D156">
        <v>341</v>
      </c>
      <c r="E156" t="s">
        <v>25</v>
      </c>
      <c r="F156">
        <v>9938</v>
      </c>
      <c r="G156" t="s">
        <v>2136</v>
      </c>
      <c r="H156" s="2">
        <v>90</v>
      </c>
      <c r="I156" t="s">
        <v>26</v>
      </c>
      <c r="J156" s="2">
        <v>1441318.44</v>
      </c>
      <c r="K156" t="s">
        <v>27</v>
      </c>
      <c r="L156">
        <v>170050</v>
      </c>
      <c r="M156" t="s">
        <v>40</v>
      </c>
      <c r="O156">
        <v>1</v>
      </c>
      <c r="P156" t="s">
        <v>2137</v>
      </c>
    </row>
    <row r="157" spans="1:16" x14ac:dyDescent="0.25">
      <c r="A157">
        <v>8003879954</v>
      </c>
      <c r="B157">
        <v>10</v>
      </c>
      <c r="C157">
        <v>5102018</v>
      </c>
      <c r="D157">
        <v>489</v>
      </c>
      <c r="E157" t="s">
        <v>31</v>
      </c>
      <c r="F157">
        <v>9938</v>
      </c>
      <c r="G157" t="s">
        <v>2136</v>
      </c>
      <c r="H157" s="2">
        <v>0.1</v>
      </c>
      <c r="I157" t="s">
        <v>26</v>
      </c>
      <c r="J157" s="2">
        <v>1441408.44</v>
      </c>
      <c r="K157" t="s">
        <v>27</v>
      </c>
      <c r="L157">
        <v>170050</v>
      </c>
      <c r="M157" t="s">
        <v>2138</v>
      </c>
      <c r="O157">
        <v>1</v>
      </c>
    </row>
    <row r="158" spans="1:16" x14ac:dyDescent="0.25">
      <c r="A158">
        <v>8003879954</v>
      </c>
      <c r="B158">
        <v>9</v>
      </c>
      <c r="C158">
        <v>5102018</v>
      </c>
      <c r="D158">
        <v>60</v>
      </c>
      <c r="E158" t="s">
        <v>37</v>
      </c>
      <c r="F158">
        <v>9938</v>
      </c>
      <c r="G158" t="s">
        <v>2139</v>
      </c>
      <c r="H158" s="2">
        <v>670</v>
      </c>
      <c r="I158" t="s">
        <v>26</v>
      </c>
      <c r="J158" s="2">
        <v>1441408.54</v>
      </c>
      <c r="K158" t="s">
        <v>27</v>
      </c>
      <c r="L158">
        <v>170050</v>
      </c>
      <c r="M158" t="s">
        <v>2140</v>
      </c>
      <c r="O158">
        <v>1</v>
      </c>
      <c r="P158" t="s">
        <v>2141</v>
      </c>
    </row>
    <row r="159" spans="1:16" x14ac:dyDescent="0.25">
      <c r="A159">
        <v>8003879954</v>
      </c>
      <c r="B159">
        <v>8</v>
      </c>
      <c r="C159">
        <v>5102018</v>
      </c>
      <c r="D159">
        <v>341</v>
      </c>
      <c r="E159" t="s">
        <v>25</v>
      </c>
      <c r="F159">
        <v>9938</v>
      </c>
      <c r="G159" t="s">
        <v>2142</v>
      </c>
      <c r="H159" s="2">
        <v>180</v>
      </c>
      <c r="I159" t="s">
        <v>26</v>
      </c>
      <c r="J159" s="2">
        <v>1442078.54</v>
      </c>
      <c r="K159" t="s">
        <v>27</v>
      </c>
      <c r="L159">
        <v>170050</v>
      </c>
      <c r="M159" t="s">
        <v>47</v>
      </c>
      <c r="O159">
        <v>1</v>
      </c>
      <c r="P159" t="s">
        <v>2143</v>
      </c>
    </row>
    <row r="160" spans="1:16" x14ac:dyDescent="0.25">
      <c r="A160">
        <v>8003879954</v>
      </c>
      <c r="B160">
        <v>7</v>
      </c>
      <c r="C160">
        <v>5102018</v>
      </c>
      <c r="D160">
        <v>489</v>
      </c>
      <c r="E160" t="s">
        <v>31</v>
      </c>
      <c r="F160">
        <v>9938</v>
      </c>
      <c r="G160" t="s">
        <v>2142</v>
      </c>
      <c r="H160" s="2">
        <v>0.1</v>
      </c>
      <c r="I160" t="s">
        <v>26</v>
      </c>
      <c r="J160" s="2">
        <v>1442258.54</v>
      </c>
      <c r="K160" t="s">
        <v>27</v>
      </c>
      <c r="L160">
        <v>170050</v>
      </c>
      <c r="M160" t="s">
        <v>2144</v>
      </c>
      <c r="O160">
        <v>1</v>
      </c>
    </row>
    <row r="161" spans="1:16" x14ac:dyDescent="0.25">
      <c r="A161">
        <v>8003879954</v>
      </c>
      <c r="B161">
        <v>6</v>
      </c>
      <c r="C161">
        <v>5102018</v>
      </c>
      <c r="D161">
        <v>341</v>
      </c>
      <c r="E161" t="s">
        <v>25</v>
      </c>
      <c r="F161">
        <v>9938</v>
      </c>
      <c r="G161" t="s">
        <v>2145</v>
      </c>
      <c r="H161" s="2">
        <v>3054.52</v>
      </c>
      <c r="I161" t="s">
        <v>26</v>
      </c>
      <c r="J161" s="2">
        <v>1442258.64</v>
      </c>
      <c r="K161" t="s">
        <v>27</v>
      </c>
      <c r="L161">
        <v>170049</v>
      </c>
      <c r="M161" t="s">
        <v>408</v>
      </c>
      <c r="O161">
        <v>1</v>
      </c>
      <c r="P161" t="s">
        <v>2146</v>
      </c>
    </row>
    <row r="162" spans="1:16" x14ac:dyDescent="0.25">
      <c r="A162">
        <v>8003879954</v>
      </c>
      <c r="B162">
        <v>5</v>
      </c>
      <c r="C162">
        <v>5102018</v>
      </c>
      <c r="D162">
        <v>489</v>
      </c>
      <c r="E162" t="s">
        <v>31</v>
      </c>
      <c r="F162">
        <v>9938</v>
      </c>
      <c r="G162" t="s">
        <v>2145</v>
      </c>
      <c r="H162" s="2">
        <v>0.1</v>
      </c>
      <c r="I162" t="s">
        <v>26</v>
      </c>
      <c r="J162" s="2">
        <v>1445313.16</v>
      </c>
      <c r="K162" t="s">
        <v>27</v>
      </c>
      <c r="L162">
        <v>170049</v>
      </c>
      <c r="M162" t="s">
        <v>2147</v>
      </c>
      <c r="O162">
        <v>1</v>
      </c>
    </row>
    <row r="163" spans="1:16" x14ac:dyDescent="0.25">
      <c r="A163">
        <v>8003879954</v>
      </c>
      <c r="B163">
        <v>4</v>
      </c>
      <c r="C163">
        <v>5102018</v>
      </c>
      <c r="D163">
        <v>345</v>
      </c>
      <c r="E163" t="s">
        <v>51</v>
      </c>
      <c r="F163">
        <v>9938</v>
      </c>
      <c r="G163" t="s">
        <v>2148</v>
      </c>
      <c r="H163" s="2">
        <v>264</v>
      </c>
      <c r="I163" t="s">
        <v>26</v>
      </c>
      <c r="J163" s="2">
        <v>1445313.26</v>
      </c>
      <c r="K163" t="s">
        <v>27</v>
      </c>
      <c r="L163">
        <v>170049</v>
      </c>
      <c r="M163" t="s">
        <v>2149</v>
      </c>
      <c r="O163">
        <v>1</v>
      </c>
      <c r="P163" t="s">
        <v>2150</v>
      </c>
    </row>
    <row r="164" spans="1:16" x14ac:dyDescent="0.25">
      <c r="A164">
        <v>8003879954</v>
      </c>
      <c r="B164">
        <v>3</v>
      </c>
      <c r="C164">
        <v>5102018</v>
      </c>
      <c r="D164">
        <v>60</v>
      </c>
      <c r="E164" t="s">
        <v>37</v>
      </c>
      <c r="F164">
        <v>9938</v>
      </c>
      <c r="G164" t="s">
        <v>2151</v>
      </c>
      <c r="H164" s="2">
        <v>90</v>
      </c>
      <c r="I164" t="s">
        <v>26</v>
      </c>
      <c r="J164" s="2">
        <v>1445577.26</v>
      </c>
      <c r="K164" t="s">
        <v>27</v>
      </c>
      <c r="L164">
        <v>170049</v>
      </c>
      <c r="M164" t="s">
        <v>2152</v>
      </c>
      <c r="O164">
        <v>1</v>
      </c>
      <c r="P164" t="s">
        <v>2153</v>
      </c>
    </row>
    <row r="165" spans="1:16" x14ac:dyDescent="0.25">
      <c r="A165">
        <v>8003879954</v>
      </c>
      <c r="B165">
        <v>2</v>
      </c>
      <c r="C165">
        <v>5102018</v>
      </c>
      <c r="D165">
        <v>415</v>
      </c>
      <c r="E165" t="s">
        <v>48</v>
      </c>
      <c r="F165">
        <v>72</v>
      </c>
      <c r="G165" t="s">
        <v>2154</v>
      </c>
      <c r="H165" s="2">
        <v>30</v>
      </c>
      <c r="I165" t="s">
        <v>26</v>
      </c>
      <c r="J165" s="2">
        <v>1445667.26</v>
      </c>
      <c r="K165" t="s">
        <v>27</v>
      </c>
      <c r="L165">
        <v>125457</v>
      </c>
      <c r="M165" t="s">
        <v>2155</v>
      </c>
      <c r="O165">
        <v>1</v>
      </c>
    </row>
    <row r="166" spans="1:16" x14ac:dyDescent="0.25">
      <c r="A166">
        <v>8003879954</v>
      </c>
      <c r="B166">
        <v>1</v>
      </c>
      <c r="C166">
        <v>5102018</v>
      </c>
      <c r="D166">
        <v>349</v>
      </c>
      <c r="E166" t="s">
        <v>49</v>
      </c>
      <c r="F166">
        <v>72</v>
      </c>
      <c r="G166" t="s">
        <v>2154</v>
      </c>
      <c r="H166" s="2">
        <v>3026.88</v>
      </c>
      <c r="I166" t="s">
        <v>26</v>
      </c>
      <c r="J166" s="2">
        <v>1445697.26</v>
      </c>
      <c r="K166" t="s">
        <v>27</v>
      </c>
      <c r="L166">
        <v>125457</v>
      </c>
      <c r="M166" t="s">
        <v>2155</v>
      </c>
      <c r="O166">
        <v>1</v>
      </c>
    </row>
    <row r="167" spans="1:16" x14ac:dyDescent="0.25">
      <c r="A167">
        <v>8003879954</v>
      </c>
      <c r="B167">
        <v>36</v>
      </c>
      <c r="C167">
        <v>4102018</v>
      </c>
      <c r="D167">
        <v>341</v>
      </c>
      <c r="E167" t="s">
        <v>25</v>
      </c>
      <c r="F167">
        <v>9938</v>
      </c>
      <c r="G167" t="s">
        <v>2156</v>
      </c>
      <c r="H167" s="2">
        <v>240</v>
      </c>
      <c r="I167" t="s">
        <v>26</v>
      </c>
      <c r="J167" s="2">
        <v>1448724.14</v>
      </c>
      <c r="K167" t="s">
        <v>27</v>
      </c>
      <c r="L167">
        <v>182132</v>
      </c>
      <c r="M167" t="s">
        <v>245</v>
      </c>
      <c r="O167">
        <v>1</v>
      </c>
      <c r="P167" t="s">
        <v>2157</v>
      </c>
    </row>
    <row r="168" spans="1:16" x14ac:dyDescent="0.25">
      <c r="A168">
        <v>8003879954</v>
      </c>
      <c r="B168">
        <v>35</v>
      </c>
      <c r="C168">
        <v>4102018</v>
      </c>
      <c r="D168">
        <v>489</v>
      </c>
      <c r="E168" t="s">
        <v>31</v>
      </c>
      <c r="F168">
        <v>9938</v>
      </c>
      <c r="G168" t="s">
        <v>2156</v>
      </c>
      <c r="H168" s="2">
        <v>0.1</v>
      </c>
      <c r="I168" t="s">
        <v>26</v>
      </c>
      <c r="J168" s="2">
        <v>1448964.14</v>
      </c>
      <c r="K168" t="s">
        <v>27</v>
      </c>
      <c r="L168">
        <v>182132</v>
      </c>
      <c r="M168" t="s">
        <v>2158</v>
      </c>
      <c r="O168">
        <v>1</v>
      </c>
    </row>
    <row r="169" spans="1:16" x14ac:dyDescent="0.25">
      <c r="A169">
        <v>8003879954</v>
      </c>
      <c r="B169">
        <v>34</v>
      </c>
      <c r="C169">
        <v>4102018</v>
      </c>
      <c r="D169">
        <v>341</v>
      </c>
      <c r="E169" t="s">
        <v>25</v>
      </c>
      <c r="F169">
        <v>9938</v>
      </c>
      <c r="G169" t="s">
        <v>2159</v>
      </c>
      <c r="H169" s="2">
        <v>120</v>
      </c>
      <c r="I169" t="s">
        <v>26</v>
      </c>
      <c r="J169" s="2">
        <v>1448964.24</v>
      </c>
      <c r="K169" t="s">
        <v>27</v>
      </c>
      <c r="L169">
        <v>182132</v>
      </c>
      <c r="M169" t="s">
        <v>40</v>
      </c>
      <c r="O169">
        <v>1</v>
      </c>
      <c r="P169" t="s">
        <v>2160</v>
      </c>
    </row>
    <row r="170" spans="1:16" x14ac:dyDescent="0.25">
      <c r="A170">
        <v>8003879954</v>
      </c>
      <c r="B170">
        <v>33</v>
      </c>
      <c r="C170">
        <v>4102018</v>
      </c>
      <c r="D170">
        <v>489</v>
      </c>
      <c r="E170" t="s">
        <v>31</v>
      </c>
      <c r="F170">
        <v>9938</v>
      </c>
      <c r="G170" t="s">
        <v>2159</v>
      </c>
      <c r="H170" s="2">
        <v>0.1</v>
      </c>
      <c r="I170" t="s">
        <v>26</v>
      </c>
      <c r="J170" s="2">
        <v>1449084.24</v>
      </c>
      <c r="K170" t="s">
        <v>27</v>
      </c>
      <c r="L170">
        <v>182132</v>
      </c>
      <c r="M170" t="s">
        <v>2161</v>
      </c>
      <c r="O170">
        <v>1</v>
      </c>
    </row>
    <row r="171" spans="1:16" x14ac:dyDescent="0.25">
      <c r="A171">
        <v>8003879954</v>
      </c>
      <c r="B171">
        <v>32</v>
      </c>
      <c r="C171">
        <v>4102018</v>
      </c>
      <c r="D171">
        <v>60</v>
      </c>
      <c r="E171" t="s">
        <v>37</v>
      </c>
      <c r="F171">
        <v>9938</v>
      </c>
      <c r="G171" t="s">
        <v>2162</v>
      </c>
      <c r="H171" s="2">
        <v>879</v>
      </c>
      <c r="I171" t="s">
        <v>26</v>
      </c>
      <c r="J171" s="2">
        <v>1449084.34</v>
      </c>
      <c r="K171" t="s">
        <v>27</v>
      </c>
      <c r="L171">
        <v>182027</v>
      </c>
      <c r="M171" t="s">
        <v>2163</v>
      </c>
      <c r="O171">
        <v>1</v>
      </c>
      <c r="P171" t="s">
        <v>2164</v>
      </c>
    </row>
    <row r="172" spans="1:16" x14ac:dyDescent="0.25">
      <c r="A172">
        <v>8003879954</v>
      </c>
      <c r="B172">
        <v>31</v>
      </c>
      <c r="C172">
        <v>4102018</v>
      </c>
      <c r="D172">
        <v>341</v>
      </c>
      <c r="E172" t="s">
        <v>25</v>
      </c>
      <c r="F172">
        <v>9938</v>
      </c>
      <c r="G172" t="s">
        <v>2165</v>
      </c>
      <c r="H172" s="2">
        <v>240</v>
      </c>
      <c r="I172" t="s">
        <v>26</v>
      </c>
      <c r="J172" s="2">
        <v>1449963.34</v>
      </c>
      <c r="K172" t="s">
        <v>27</v>
      </c>
      <c r="L172">
        <v>182025</v>
      </c>
      <c r="M172" t="s">
        <v>722</v>
      </c>
      <c r="O172">
        <v>1</v>
      </c>
      <c r="P172" t="s">
        <v>2166</v>
      </c>
    </row>
    <row r="173" spans="1:16" x14ac:dyDescent="0.25">
      <c r="A173">
        <v>8003879954</v>
      </c>
      <c r="B173">
        <v>30</v>
      </c>
      <c r="C173">
        <v>4102018</v>
      </c>
      <c r="D173">
        <v>489</v>
      </c>
      <c r="E173" t="s">
        <v>31</v>
      </c>
      <c r="F173">
        <v>9938</v>
      </c>
      <c r="G173" t="s">
        <v>2165</v>
      </c>
      <c r="H173" s="2">
        <v>0.1</v>
      </c>
      <c r="I173" t="s">
        <v>26</v>
      </c>
      <c r="J173" s="2">
        <v>1450203.34</v>
      </c>
      <c r="K173" t="s">
        <v>27</v>
      </c>
      <c r="L173">
        <v>182025</v>
      </c>
      <c r="M173" t="s">
        <v>2167</v>
      </c>
      <c r="O173">
        <v>1</v>
      </c>
    </row>
    <row r="174" spans="1:16" x14ac:dyDescent="0.25">
      <c r="A174">
        <v>8003879954</v>
      </c>
      <c r="B174">
        <v>29</v>
      </c>
      <c r="C174">
        <v>4102018</v>
      </c>
      <c r="D174">
        <v>345</v>
      </c>
      <c r="E174" t="s">
        <v>51</v>
      </c>
      <c r="F174">
        <v>9938</v>
      </c>
      <c r="G174" t="s">
        <v>2168</v>
      </c>
      <c r="H174" s="2">
        <v>776.5</v>
      </c>
      <c r="I174" t="s">
        <v>26</v>
      </c>
      <c r="J174" s="2">
        <v>1450203.44</v>
      </c>
      <c r="K174" t="s">
        <v>27</v>
      </c>
      <c r="L174">
        <v>182026</v>
      </c>
      <c r="M174" t="s">
        <v>2169</v>
      </c>
      <c r="O174">
        <v>1</v>
      </c>
      <c r="P174" t="s">
        <v>2170</v>
      </c>
    </row>
    <row r="175" spans="1:16" x14ac:dyDescent="0.25">
      <c r="A175">
        <v>8003879954</v>
      </c>
      <c r="B175">
        <v>28</v>
      </c>
      <c r="C175">
        <v>4102018</v>
      </c>
      <c r="D175">
        <v>341</v>
      </c>
      <c r="E175" t="s">
        <v>25</v>
      </c>
      <c r="F175">
        <v>9938</v>
      </c>
      <c r="G175" t="s">
        <v>2171</v>
      </c>
      <c r="H175" s="2">
        <v>179.5</v>
      </c>
      <c r="I175" t="s">
        <v>26</v>
      </c>
      <c r="J175" s="2">
        <v>1450979.94</v>
      </c>
      <c r="K175" t="s">
        <v>27</v>
      </c>
      <c r="L175">
        <v>182026</v>
      </c>
      <c r="M175" t="s">
        <v>207</v>
      </c>
      <c r="O175">
        <v>1</v>
      </c>
      <c r="P175" t="s">
        <v>2172</v>
      </c>
    </row>
    <row r="176" spans="1:16" x14ac:dyDescent="0.25">
      <c r="A176">
        <v>8003879954</v>
      </c>
      <c r="B176">
        <v>27</v>
      </c>
      <c r="C176">
        <v>4102018</v>
      </c>
      <c r="D176">
        <v>489</v>
      </c>
      <c r="E176" t="s">
        <v>31</v>
      </c>
      <c r="F176">
        <v>9938</v>
      </c>
      <c r="G176" t="s">
        <v>2171</v>
      </c>
      <c r="H176" s="2">
        <v>0.1</v>
      </c>
      <c r="I176" t="s">
        <v>26</v>
      </c>
      <c r="J176" s="2">
        <v>1451159.44</v>
      </c>
      <c r="K176" t="s">
        <v>27</v>
      </c>
      <c r="L176">
        <v>182026</v>
      </c>
      <c r="M176" t="s">
        <v>2173</v>
      </c>
      <c r="O176">
        <v>1</v>
      </c>
    </row>
    <row r="177" spans="1:16" x14ac:dyDescent="0.25">
      <c r="A177">
        <v>8003879954</v>
      </c>
      <c r="B177">
        <v>26</v>
      </c>
      <c r="C177">
        <v>4102018</v>
      </c>
      <c r="D177">
        <v>341</v>
      </c>
      <c r="E177" t="s">
        <v>25</v>
      </c>
      <c r="F177">
        <v>9938</v>
      </c>
      <c r="G177" t="s">
        <v>2174</v>
      </c>
      <c r="H177" s="2">
        <v>168</v>
      </c>
      <c r="I177" t="s">
        <v>26</v>
      </c>
      <c r="J177" s="2">
        <v>1451159.54</v>
      </c>
      <c r="K177" t="s">
        <v>27</v>
      </c>
      <c r="L177">
        <v>182026</v>
      </c>
      <c r="M177" t="s">
        <v>39</v>
      </c>
      <c r="O177">
        <v>1</v>
      </c>
      <c r="P177" t="s">
        <v>2175</v>
      </c>
    </row>
    <row r="178" spans="1:16" x14ac:dyDescent="0.25">
      <c r="A178">
        <v>8003879954</v>
      </c>
      <c r="B178">
        <v>25</v>
      </c>
      <c r="C178">
        <v>4102018</v>
      </c>
      <c r="D178">
        <v>489</v>
      </c>
      <c r="E178" t="s">
        <v>31</v>
      </c>
      <c r="F178">
        <v>9938</v>
      </c>
      <c r="G178" t="s">
        <v>2174</v>
      </c>
      <c r="H178" s="2">
        <v>0.1</v>
      </c>
      <c r="I178" t="s">
        <v>26</v>
      </c>
      <c r="J178" s="2">
        <v>1451327.54</v>
      </c>
      <c r="K178" t="s">
        <v>27</v>
      </c>
      <c r="L178">
        <v>182026</v>
      </c>
      <c r="M178" t="s">
        <v>2176</v>
      </c>
      <c r="O178">
        <v>1</v>
      </c>
    </row>
    <row r="179" spans="1:16" x14ac:dyDescent="0.25">
      <c r="A179">
        <v>8003879954</v>
      </c>
      <c r="B179">
        <v>24</v>
      </c>
      <c r="C179">
        <v>4102018</v>
      </c>
      <c r="D179">
        <v>345</v>
      </c>
      <c r="E179" t="s">
        <v>51</v>
      </c>
      <c r="F179">
        <v>9938</v>
      </c>
      <c r="G179" t="s">
        <v>2177</v>
      </c>
      <c r="H179" s="2">
        <v>580.72</v>
      </c>
      <c r="I179" t="s">
        <v>26</v>
      </c>
      <c r="J179" s="2">
        <v>1451327.64</v>
      </c>
      <c r="K179" t="s">
        <v>27</v>
      </c>
      <c r="L179">
        <v>182026</v>
      </c>
      <c r="M179" t="s">
        <v>2178</v>
      </c>
      <c r="O179">
        <v>1</v>
      </c>
      <c r="P179" t="s">
        <v>2179</v>
      </c>
    </row>
    <row r="180" spans="1:16" x14ac:dyDescent="0.25">
      <c r="A180">
        <v>8003879954</v>
      </c>
      <c r="B180">
        <v>23</v>
      </c>
      <c r="C180">
        <v>4102018</v>
      </c>
      <c r="D180">
        <v>341</v>
      </c>
      <c r="E180" t="s">
        <v>25</v>
      </c>
      <c r="F180">
        <v>9938</v>
      </c>
      <c r="G180" t="s">
        <v>2180</v>
      </c>
      <c r="H180" s="2">
        <v>2000</v>
      </c>
      <c r="I180" t="s">
        <v>26</v>
      </c>
      <c r="J180" s="2">
        <v>1451908.36</v>
      </c>
      <c r="K180" t="s">
        <v>27</v>
      </c>
      <c r="L180">
        <v>182025</v>
      </c>
      <c r="M180" t="s">
        <v>43</v>
      </c>
      <c r="O180">
        <v>1</v>
      </c>
      <c r="P180" t="s">
        <v>2121</v>
      </c>
    </row>
    <row r="181" spans="1:16" x14ac:dyDescent="0.25">
      <c r="A181">
        <v>8003879954</v>
      </c>
      <c r="B181">
        <v>22</v>
      </c>
      <c r="C181">
        <v>4102018</v>
      </c>
      <c r="D181">
        <v>489</v>
      </c>
      <c r="E181" t="s">
        <v>31</v>
      </c>
      <c r="F181">
        <v>9938</v>
      </c>
      <c r="G181" t="s">
        <v>2180</v>
      </c>
      <c r="H181" s="2">
        <v>0.1</v>
      </c>
      <c r="I181" t="s">
        <v>26</v>
      </c>
      <c r="J181" s="2">
        <v>1453908.36</v>
      </c>
      <c r="K181" t="s">
        <v>27</v>
      </c>
      <c r="L181">
        <v>182025</v>
      </c>
      <c r="M181" t="s">
        <v>2181</v>
      </c>
      <c r="O181">
        <v>1</v>
      </c>
    </row>
    <row r="182" spans="1:16" x14ac:dyDescent="0.25">
      <c r="A182">
        <v>8003879954</v>
      </c>
      <c r="B182">
        <v>21</v>
      </c>
      <c r="C182">
        <v>4102018</v>
      </c>
      <c r="D182">
        <v>341</v>
      </c>
      <c r="E182" t="s">
        <v>25</v>
      </c>
      <c r="F182">
        <v>9938</v>
      </c>
      <c r="G182" t="s">
        <v>2182</v>
      </c>
      <c r="H182" s="2">
        <v>1197.68</v>
      </c>
      <c r="I182" t="s">
        <v>26</v>
      </c>
      <c r="J182" s="2">
        <v>1453908.46</v>
      </c>
      <c r="K182" t="s">
        <v>27</v>
      </c>
      <c r="L182">
        <v>182025</v>
      </c>
      <c r="M182" t="s">
        <v>408</v>
      </c>
      <c r="O182">
        <v>1</v>
      </c>
      <c r="P182" t="s">
        <v>2183</v>
      </c>
    </row>
    <row r="183" spans="1:16" x14ac:dyDescent="0.25">
      <c r="A183">
        <v>8003879954</v>
      </c>
      <c r="B183">
        <v>20</v>
      </c>
      <c r="C183">
        <v>4102018</v>
      </c>
      <c r="D183">
        <v>489</v>
      </c>
      <c r="E183" t="s">
        <v>31</v>
      </c>
      <c r="F183">
        <v>9938</v>
      </c>
      <c r="G183" t="s">
        <v>2182</v>
      </c>
      <c r="H183" s="2">
        <v>0.1</v>
      </c>
      <c r="I183" t="s">
        <v>26</v>
      </c>
      <c r="J183" s="2">
        <v>1455106.14</v>
      </c>
      <c r="K183" t="s">
        <v>27</v>
      </c>
      <c r="L183">
        <v>182025</v>
      </c>
      <c r="M183" t="s">
        <v>2184</v>
      </c>
      <c r="O183">
        <v>1</v>
      </c>
    </row>
    <row r="184" spans="1:16" x14ac:dyDescent="0.25">
      <c r="A184">
        <v>8003879954</v>
      </c>
      <c r="B184">
        <v>19</v>
      </c>
      <c r="C184">
        <v>4102018</v>
      </c>
      <c r="D184">
        <v>341</v>
      </c>
      <c r="E184" t="s">
        <v>25</v>
      </c>
      <c r="F184">
        <v>9938</v>
      </c>
      <c r="G184" t="s">
        <v>2185</v>
      </c>
      <c r="H184" s="2">
        <v>360</v>
      </c>
      <c r="I184" t="s">
        <v>26</v>
      </c>
      <c r="J184" s="2">
        <v>1455106.24</v>
      </c>
      <c r="K184" t="s">
        <v>27</v>
      </c>
      <c r="L184">
        <v>182025</v>
      </c>
      <c r="M184" t="s">
        <v>1823</v>
      </c>
      <c r="O184">
        <v>1</v>
      </c>
      <c r="P184" t="s">
        <v>2186</v>
      </c>
    </row>
    <row r="185" spans="1:16" x14ac:dyDescent="0.25">
      <c r="A185">
        <v>8003879954</v>
      </c>
      <c r="B185">
        <v>18</v>
      </c>
      <c r="C185">
        <v>4102018</v>
      </c>
      <c r="D185">
        <v>489</v>
      </c>
      <c r="E185" t="s">
        <v>31</v>
      </c>
      <c r="F185">
        <v>9938</v>
      </c>
      <c r="G185" t="s">
        <v>2185</v>
      </c>
      <c r="H185" s="2">
        <v>0.1</v>
      </c>
      <c r="I185" t="s">
        <v>26</v>
      </c>
      <c r="J185" s="2">
        <v>1455466.24</v>
      </c>
      <c r="K185" t="s">
        <v>27</v>
      </c>
      <c r="L185">
        <v>182025</v>
      </c>
      <c r="M185" t="s">
        <v>2187</v>
      </c>
      <c r="O185">
        <v>1</v>
      </c>
    </row>
    <row r="186" spans="1:16" x14ac:dyDescent="0.25">
      <c r="A186">
        <v>8003879954</v>
      </c>
      <c r="B186">
        <v>17</v>
      </c>
      <c r="C186">
        <v>4102018</v>
      </c>
      <c r="D186">
        <v>345</v>
      </c>
      <c r="E186" t="s">
        <v>51</v>
      </c>
      <c r="F186">
        <v>9938</v>
      </c>
      <c r="G186" t="s">
        <v>2188</v>
      </c>
      <c r="H186" s="2">
        <v>534.5</v>
      </c>
      <c r="I186" t="s">
        <v>26</v>
      </c>
      <c r="J186" s="2">
        <v>1455466.34</v>
      </c>
      <c r="K186" t="s">
        <v>27</v>
      </c>
      <c r="L186">
        <v>182025</v>
      </c>
      <c r="M186" t="s">
        <v>2189</v>
      </c>
      <c r="O186">
        <v>1</v>
      </c>
      <c r="P186" t="s">
        <v>2190</v>
      </c>
    </row>
    <row r="187" spans="1:16" x14ac:dyDescent="0.25">
      <c r="A187">
        <v>8003879954</v>
      </c>
      <c r="B187">
        <v>16</v>
      </c>
      <c r="C187">
        <v>4102018</v>
      </c>
      <c r="D187">
        <v>345</v>
      </c>
      <c r="E187" t="s">
        <v>51</v>
      </c>
      <c r="F187">
        <v>9938</v>
      </c>
      <c r="G187" t="s">
        <v>2191</v>
      </c>
      <c r="H187" s="2">
        <v>394.46</v>
      </c>
      <c r="I187" t="s">
        <v>26</v>
      </c>
      <c r="J187" s="2">
        <v>1456000.84</v>
      </c>
      <c r="K187" t="s">
        <v>27</v>
      </c>
      <c r="L187">
        <v>181818</v>
      </c>
      <c r="M187" t="s">
        <v>2192</v>
      </c>
      <c r="O187">
        <v>1</v>
      </c>
      <c r="P187" t="s">
        <v>2193</v>
      </c>
    </row>
    <row r="188" spans="1:16" x14ac:dyDescent="0.25">
      <c r="A188">
        <v>8003879954</v>
      </c>
      <c r="B188">
        <v>15</v>
      </c>
      <c r="C188">
        <v>4102018</v>
      </c>
      <c r="D188">
        <v>341</v>
      </c>
      <c r="E188" t="s">
        <v>25</v>
      </c>
      <c r="F188">
        <v>9938</v>
      </c>
      <c r="G188" t="s">
        <v>2194</v>
      </c>
      <c r="H188" s="2">
        <v>2702.5</v>
      </c>
      <c r="I188" t="s">
        <v>26</v>
      </c>
      <c r="J188" s="2">
        <v>1456395.3</v>
      </c>
      <c r="K188" t="s">
        <v>27</v>
      </c>
      <c r="L188">
        <v>181817</v>
      </c>
      <c r="M188" t="s">
        <v>1162</v>
      </c>
      <c r="O188">
        <v>1</v>
      </c>
      <c r="P188" t="s">
        <v>2195</v>
      </c>
    </row>
    <row r="189" spans="1:16" x14ac:dyDescent="0.25">
      <c r="A189">
        <v>8003879954</v>
      </c>
      <c r="B189">
        <v>14</v>
      </c>
      <c r="C189">
        <v>4102018</v>
      </c>
      <c r="D189">
        <v>489</v>
      </c>
      <c r="E189" t="s">
        <v>31</v>
      </c>
      <c r="F189">
        <v>9938</v>
      </c>
      <c r="G189" t="s">
        <v>2194</v>
      </c>
      <c r="H189" s="2">
        <v>0.1</v>
      </c>
      <c r="I189" t="s">
        <v>26</v>
      </c>
      <c r="J189" s="2">
        <v>1459097.8</v>
      </c>
      <c r="K189" t="s">
        <v>27</v>
      </c>
      <c r="L189">
        <v>181817</v>
      </c>
      <c r="M189" t="s">
        <v>2196</v>
      </c>
      <c r="O189">
        <v>1</v>
      </c>
    </row>
    <row r="190" spans="1:16" x14ac:dyDescent="0.25">
      <c r="A190">
        <v>8003879954</v>
      </c>
      <c r="B190">
        <v>13</v>
      </c>
      <c r="C190">
        <v>4102018</v>
      </c>
      <c r="D190">
        <v>341</v>
      </c>
      <c r="E190" t="s">
        <v>25</v>
      </c>
      <c r="F190">
        <v>9938</v>
      </c>
      <c r="G190" t="s">
        <v>2197</v>
      </c>
      <c r="H190" s="2">
        <v>9250</v>
      </c>
      <c r="I190" t="s">
        <v>26</v>
      </c>
      <c r="J190" s="2">
        <v>1459097.9</v>
      </c>
      <c r="K190" t="s">
        <v>27</v>
      </c>
      <c r="L190">
        <v>181814</v>
      </c>
      <c r="M190" t="s">
        <v>273</v>
      </c>
      <c r="O190">
        <v>1</v>
      </c>
      <c r="P190" t="s">
        <v>2198</v>
      </c>
    </row>
    <row r="191" spans="1:16" x14ac:dyDescent="0.25">
      <c r="A191">
        <v>8003879954</v>
      </c>
      <c r="B191">
        <v>12</v>
      </c>
      <c r="C191">
        <v>4102018</v>
      </c>
      <c r="D191">
        <v>489</v>
      </c>
      <c r="E191" t="s">
        <v>31</v>
      </c>
      <c r="F191">
        <v>9938</v>
      </c>
      <c r="G191" t="s">
        <v>2197</v>
      </c>
      <c r="H191" s="2">
        <v>0.1</v>
      </c>
      <c r="I191" t="s">
        <v>26</v>
      </c>
      <c r="J191" s="2">
        <v>1468347.9</v>
      </c>
      <c r="K191" t="s">
        <v>27</v>
      </c>
      <c r="L191">
        <v>181814</v>
      </c>
      <c r="M191" t="s">
        <v>2199</v>
      </c>
      <c r="O191">
        <v>1</v>
      </c>
    </row>
    <row r="192" spans="1:16" x14ac:dyDescent="0.25">
      <c r="A192">
        <v>8003879954</v>
      </c>
      <c r="B192">
        <v>11</v>
      </c>
      <c r="C192">
        <v>4102018</v>
      </c>
      <c r="D192">
        <v>341</v>
      </c>
      <c r="E192" t="s">
        <v>25</v>
      </c>
      <c r="F192">
        <v>9938</v>
      </c>
      <c r="G192" t="s">
        <v>2200</v>
      </c>
      <c r="H192" s="2">
        <v>9540</v>
      </c>
      <c r="I192" t="s">
        <v>26</v>
      </c>
      <c r="J192" s="2">
        <v>1468348</v>
      </c>
      <c r="K192" t="s">
        <v>27</v>
      </c>
      <c r="L192">
        <v>181815</v>
      </c>
      <c r="M192" t="s">
        <v>2201</v>
      </c>
      <c r="O192">
        <v>1</v>
      </c>
      <c r="P192" t="s">
        <v>2202</v>
      </c>
    </row>
    <row r="193" spans="1:16" x14ac:dyDescent="0.25">
      <c r="A193">
        <v>8003879954</v>
      </c>
      <c r="B193">
        <v>10</v>
      </c>
      <c r="C193">
        <v>4102018</v>
      </c>
      <c r="D193">
        <v>489</v>
      </c>
      <c r="E193" t="s">
        <v>31</v>
      </c>
      <c r="F193">
        <v>9938</v>
      </c>
      <c r="G193" t="s">
        <v>2200</v>
      </c>
      <c r="H193" s="2">
        <v>0.1</v>
      </c>
      <c r="I193" t="s">
        <v>26</v>
      </c>
      <c r="J193" s="2">
        <v>1477888</v>
      </c>
      <c r="K193" t="s">
        <v>27</v>
      </c>
      <c r="L193">
        <v>181815</v>
      </c>
      <c r="M193" t="s">
        <v>2203</v>
      </c>
      <c r="O193">
        <v>1</v>
      </c>
    </row>
    <row r="194" spans="1:16" x14ac:dyDescent="0.25">
      <c r="A194">
        <v>8003879954</v>
      </c>
      <c r="B194">
        <v>9</v>
      </c>
      <c r="C194">
        <v>4102018</v>
      </c>
      <c r="D194">
        <v>341</v>
      </c>
      <c r="E194" t="s">
        <v>25</v>
      </c>
      <c r="F194">
        <v>9938</v>
      </c>
      <c r="G194" t="s">
        <v>2204</v>
      </c>
      <c r="H194" s="2">
        <v>2000</v>
      </c>
      <c r="I194" t="s">
        <v>26</v>
      </c>
      <c r="J194" s="2">
        <v>1477888.1</v>
      </c>
      <c r="K194" t="s">
        <v>27</v>
      </c>
      <c r="L194">
        <v>181814</v>
      </c>
      <c r="M194" t="s">
        <v>319</v>
      </c>
      <c r="O194">
        <v>1</v>
      </c>
      <c r="P194" t="s">
        <v>2205</v>
      </c>
    </row>
    <row r="195" spans="1:16" x14ac:dyDescent="0.25">
      <c r="A195">
        <v>8003879954</v>
      </c>
      <c r="B195">
        <v>8</v>
      </c>
      <c r="C195">
        <v>4102018</v>
      </c>
      <c r="D195">
        <v>489</v>
      </c>
      <c r="E195" t="s">
        <v>31</v>
      </c>
      <c r="F195">
        <v>9938</v>
      </c>
      <c r="G195" t="s">
        <v>2204</v>
      </c>
      <c r="H195" s="2">
        <v>0.1</v>
      </c>
      <c r="I195" t="s">
        <v>26</v>
      </c>
      <c r="J195" s="2">
        <v>1479888.1</v>
      </c>
      <c r="K195" t="s">
        <v>27</v>
      </c>
      <c r="L195">
        <v>181814</v>
      </c>
      <c r="M195" t="s">
        <v>2206</v>
      </c>
      <c r="O195">
        <v>1</v>
      </c>
    </row>
    <row r="196" spans="1:16" x14ac:dyDescent="0.25">
      <c r="A196">
        <v>8003879954</v>
      </c>
      <c r="B196">
        <v>7</v>
      </c>
      <c r="C196">
        <v>4102018</v>
      </c>
      <c r="D196">
        <v>60</v>
      </c>
      <c r="E196" t="s">
        <v>37</v>
      </c>
      <c r="F196">
        <v>9938</v>
      </c>
      <c r="G196" t="s">
        <v>2207</v>
      </c>
      <c r="H196" s="2">
        <v>155</v>
      </c>
      <c r="I196" t="s">
        <v>26</v>
      </c>
      <c r="J196" s="2">
        <v>1479888.2</v>
      </c>
      <c r="K196" t="s">
        <v>27</v>
      </c>
      <c r="L196">
        <v>181815</v>
      </c>
      <c r="M196" t="s">
        <v>2208</v>
      </c>
      <c r="O196">
        <v>1</v>
      </c>
      <c r="P196" t="s">
        <v>2209</v>
      </c>
    </row>
    <row r="197" spans="1:16" x14ac:dyDescent="0.25">
      <c r="A197">
        <v>8003879954</v>
      </c>
      <c r="B197">
        <v>6</v>
      </c>
      <c r="C197">
        <v>4102018</v>
      </c>
      <c r="D197">
        <v>60</v>
      </c>
      <c r="E197" t="s">
        <v>37</v>
      </c>
      <c r="F197">
        <v>9938</v>
      </c>
      <c r="G197" t="s">
        <v>2210</v>
      </c>
      <c r="H197" s="2">
        <v>390</v>
      </c>
      <c r="I197" t="s">
        <v>26</v>
      </c>
      <c r="J197" s="2">
        <v>1480043.2</v>
      </c>
      <c r="K197" t="s">
        <v>27</v>
      </c>
      <c r="L197">
        <v>181815</v>
      </c>
      <c r="M197" t="s">
        <v>2211</v>
      </c>
      <c r="O197">
        <v>1</v>
      </c>
      <c r="P197" t="s">
        <v>2212</v>
      </c>
    </row>
    <row r="198" spans="1:16" x14ac:dyDescent="0.25">
      <c r="A198">
        <v>8003879954</v>
      </c>
      <c r="B198">
        <v>5</v>
      </c>
      <c r="C198">
        <v>4102018</v>
      </c>
      <c r="D198">
        <v>341</v>
      </c>
      <c r="E198" t="s">
        <v>25</v>
      </c>
      <c r="F198">
        <v>9938</v>
      </c>
      <c r="G198" t="s">
        <v>2213</v>
      </c>
      <c r="H198" s="2">
        <v>634.94000000000005</v>
      </c>
      <c r="I198" t="s">
        <v>26</v>
      </c>
      <c r="J198" s="2">
        <v>1480433.2</v>
      </c>
      <c r="K198" t="s">
        <v>27</v>
      </c>
      <c r="L198">
        <v>181814</v>
      </c>
      <c r="M198" t="s">
        <v>2214</v>
      </c>
      <c r="O198">
        <v>1</v>
      </c>
      <c r="P198" t="s">
        <v>2215</v>
      </c>
    </row>
    <row r="199" spans="1:16" x14ac:dyDescent="0.25">
      <c r="A199">
        <v>8003879954</v>
      </c>
      <c r="B199">
        <v>4</v>
      </c>
      <c r="C199">
        <v>4102018</v>
      </c>
      <c r="D199">
        <v>489</v>
      </c>
      <c r="E199" t="s">
        <v>31</v>
      </c>
      <c r="F199">
        <v>9938</v>
      </c>
      <c r="G199" t="s">
        <v>2213</v>
      </c>
      <c r="H199" s="2">
        <v>0.1</v>
      </c>
      <c r="I199" t="s">
        <v>26</v>
      </c>
      <c r="J199" s="2">
        <v>1481068.14</v>
      </c>
      <c r="K199" t="s">
        <v>27</v>
      </c>
      <c r="L199">
        <v>181814</v>
      </c>
      <c r="M199" t="s">
        <v>2216</v>
      </c>
      <c r="O199">
        <v>1</v>
      </c>
    </row>
    <row r="200" spans="1:16" x14ac:dyDescent="0.25">
      <c r="A200">
        <v>8003879954</v>
      </c>
      <c r="B200">
        <v>3</v>
      </c>
      <c r="C200">
        <v>4102018</v>
      </c>
      <c r="D200">
        <v>341</v>
      </c>
      <c r="E200" t="s">
        <v>25</v>
      </c>
      <c r="F200">
        <v>9938</v>
      </c>
      <c r="G200" t="s">
        <v>2217</v>
      </c>
      <c r="H200" s="2">
        <v>10064</v>
      </c>
      <c r="I200" t="s">
        <v>26</v>
      </c>
      <c r="J200" s="2">
        <v>1481068.24</v>
      </c>
      <c r="K200" t="s">
        <v>27</v>
      </c>
      <c r="L200">
        <v>181814</v>
      </c>
      <c r="M200" t="s">
        <v>1451</v>
      </c>
      <c r="O200">
        <v>1</v>
      </c>
      <c r="P200" t="s">
        <v>2218</v>
      </c>
    </row>
    <row r="201" spans="1:16" x14ac:dyDescent="0.25">
      <c r="A201">
        <v>8003879954</v>
      </c>
      <c r="B201">
        <v>2</v>
      </c>
      <c r="C201">
        <v>4102018</v>
      </c>
      <c r="D201">
        <v>489</v>
      </c>
      <c r="E201" t="s">
        <v>31</v>
      </c>
      <c r="F201">
        <v>9938</v>
      </c>
      <c r="G201" t="s">
        <v>2217</v>
      </c>
      <c r="H201" s="2">
        <v>0.1</v>
      </c>
      <c r="I201" t="s">
        <v>26</v>
      </c>
      <c r="J201" s="2">
        <v>1491132.24</v>
      </c>
      <c r="K201" t="s">
        <v>27</v>
      </c>
      <c r="L201">
        <v>181814</v>
      </c>
      <c r="M201" t="s">
        <v>2219</v>
      </c>
      <c r="O201">
        <v>1</v>
      </c>
    </row>
    <row r="202" spans="1:16" x14ac:dyDescent="0.25">
      <c r="A202">
        <v>8003879954</v>
      </c>
      <c r="B202">
        <v>1</v>
      </c>
      <c r="C202">
        <v>4102018</v>
      </c>
      <c r="D202">
        <v>345</v>
      </c>
      <c r="E202" t="s">
        <v>51</v>
      </c>
      <c r="F202">
        <v>9938</v>
      </c>
      <c r="G202" t="s">
        <v>2220</v>
      </c>
      <c r="H202" s="2">
        <v>600</v>
      </c>
      <c r="I202" t="s">
        <v>26</v>
      </c>
      <c r="J202" s="2">
        <v>1491132.34</v>
      </c>
      <c r="K202" t="s">
        <v>27</v>
      </c>
      <c r="L202">
        <v>181814</v>
      </c>
      <c r="M202" t="s">
        <v>2221</v>
      </c>
      <c r="O202">
        <v>1</v>
      </c>
      <c r="P202" t="s">
        <v>2222</v>
      </c>
    </row>
    <row r="203" spans="1:16" x14ac:dyDescent="0.25">
      <c r="A203">
        <v>8003879954</v>
      </c>
      <c r="B203">
        <v>2</v>
      </c>
      <c r="C203">
        <v>2102018</v>
      </c>
      <c r="D203">
        <v>415</v>
      </c>
      <c r="E203" t="s">
        <v>48</v>
      </c>
      <c r="F203">
        <v>72</v>
      </c>
      <c r="G203" t="s">
        <v>2223</v>
      </c>
      <c r="H203" s="2">
        <v>20</v>
      </c>
      <c r="I203" t="s">
        <v>26</v>
      </c>
      <c r="J203" s="2">
        <v>1491732.34</v>
      </c>
      <c r="K203" t="s">
        <v>27</v>
      </c>
      <c r="L203">
        <v>154741</v>
      </c>
      <c r="M203" t="s">
        <v>2224</v>
      </c>
      <c r="O203">
        <v>1</v>
      </c>
    </row>
    <row r="204" spans="1:16" x14ac:dyDescent="0.25">
      <c r="A204">
        <v>8003879954</v>
      </c>
      <c r="B204">
        <v>1</v>
      </c>
      <c r="C204">
        <v>2102018</v>
      </c>
      <c r="D204">
        <v>349</v>
      </c>
      <c r="E204" t="s">
        <v>49</v>
      </c>
      <c r="F204">
        <v>72</v>
      </c>
      <c r="G204" t="s">
        <v>2223</v>
      </c>
      <c r="H204" s="2">
        <v>116800</v>
      </c>
      <c r="I204" t="s">
        <v>26</v>
      </c>
      <c r="J204" s="2">
        <v>1491752.34</v>
      </c>
      <c r="K204" t="s">
        <v>27</v>
      </c>
      <c r="L204">
        <v>154741</v>
      </c>
      <c r="M204" t="s">
        <v>2224</v>
      </c>
      <c r="O204">
        <v>1</v>
      </c>
    </row>
    <row r="205" spans="1:16" x14ac:dyDescent="0.25">
      <c r="A205">
        <v>8003879954</v>
      </c>
      <c r="B205">
        <v>45</v>
      </c>
      <c r="C205">
        <v>1102018</v>
      </c>
      <c r="D205">
        <v>174</v>
      </c>
      <c r="E205" t="s">
        <v>159</v>
      </c>
      <c r="F205">
        <v>2001</v>
      </c>
      <c r="G205" t="s">
        <v>2225</v>
      </c>
      <c r="H205" s="2">
        <v>2000</v>
      </c>
      <c r="I205" t="s">
        <v>27</v>
      </c>
      <c r="J205" s="2">
        <v>1608552.34</v>
      </c>
      <c r="K205" t="s">
        <v>27</v>
      </c>
      <c r="L205">
        <v>191425</v>
      </c>
      <c r="M205" t="s">
        <v>2226</v>
      </c>
      <c r="O205">
        <v>1</v>
      </c>
      <c r="P205" t="s">
        <v>2226</v>
      </c>
    </row>
    <row r="206" spans="1:16" x14ac:dyDescent="0.25">
      <c r="A206">
        <v>8003879954</v>
      </c>
      <c r="B206">
        <v>44</v>
      </c>
      <c r="C206">
        <v>1102018</v>
      </c>
      <c r="D206">
        <v>341</v>
      </c>
      <c r="E206" t="s">
        <v>25</v>
      </c>
      <c r="F206">
        <v>9938</v>
      </c>
      <c r="G206" t="s">
        <v>2227</v>
      </c>
      <c r="H206" s="2">
        <v>14</v>
      </c>
      <c r="I206" t="s">
        <v>26</v>
      </c>
      <c r="J206" s="2">
        <v>1606552.34</v>
      </c>
      <c r="K206" t="s">
        <v>27</v>
      </c>
      <c r="L206">
        <v>161151</v>
      </c>
      <c r="M206" t="s">
        <v>111</v>
      </c>
      <c r="O206">
        <v>1</v>
      </c>
      <c r="P206" t="s">
        <v>2228</v>
      </c>
    </row>
    <row r="207" spans="1:16" x14ac:dyDescent="0.25">
      <c r="A207">
        <v>8003879954</v>
      </c>
      <c r="B207">
        <v>43</v>
      </c>
      <c r="C207">
        <v>1102018</v>
      </c>
      <c r="D207">
        <v>489</v>
      </c>
      <c r="E207" t="s">
        <v>31</v>
      </c>
      <c r="F207">
        <v>9938</v>
      </c>
      <c r="G207" t="s">
        <v>2227</v>
      </c>
      <c r="H207" s="2">
        <v>0.1</v>
      </c>
      <c r="I207" t="s">
        <v>26</v>
      </c>
      <c r="J207" s="2">
        <v>1606566.34</v>
      </c>
      <c r="K207" t="s">
        <v>27</v>
      </c>
      <c r="L207">
        <v>161151</v>
      </c>
      <c r="M207" t="s">
        <v>2229</v>
      </c>
      <c r="O207">
        <v>1</v>
      </c>
    </row>
    <row r="208" spans="1:16" x14ac:dyDescent="0.25">
      <c r="A208">
        <v>8003879954</v>
      </c>
      <c r="B208">
        <v>42</v>
      </c>
      <c r="C208">
        <v>1102018</v>
      </c>
      <c r="D208">
        <v>341</v>
      </c>
      <c r="E208" t="s">
        <v>25</v>
      </c>
      <c r="F208">
        <v>9938</v>
      </c>
      <c r="G208" t="s">
        <v>2230</v>
      </c>
      <c r="H208" s="2">
        <v>36.799999999999997</v>
      </c>
      <c r="I208" t="s">
        <v>26</v>
      </c>
      <c r="J208" s="2">
        <v>1606566.44</v>
      </c>
      <c r="K208" t="s">
        <v>27</v>
      </c>
      <c r="L208">
        <v>161145</v>
      </c>
      <c r="M208" t="s">
        <v>75</v>
      </c>
      <c r="O208">
        <v>1</v>
      </c>
      <c r="P208" t="s">
        <v>2231</v>
      </c>
    </row>
    <row r="209" spans="1:16" x14ac:dyDescent="0.25">
      <c r="A209">
        <v>8003879954</v>
      </c>
      <c r="B209">
        <v>41</v>
      </c>
      <c r="C209">
        <v>1102018</v>
      </c>
      <c r="D209">
        <v>489</v>
      </c>
      <c r="E209" t="s">
        <v>31</v>
      </c>
      <c r="F209">
        <v>9938</v>
      </c>
      <c r="G209" t="s">
        <v>2230</v>
      </c>
      <c r="H209" s="2">
        <v>0.1</v>
      </c>
      <c r="I209" t="s">
        <v>26</v>
      </c>
      <c r="J209" s="2">
        <v>1606603.24</v>
      </c>
      <c r="K209" t="s">
        <v>27</v>
      </c>
      <c r="L209">
        <v>161145</v>
      </c>
      <c r="M209" t="s">
        <v>2232</v>
      </c>
      <c r="O209">
        <v>1</v>
      </c>
    </row>
    <row r="210" spans="1:16" x14ac:dyDescent="0.25">
      <c r="A210">
        <v>8003879954</v>
      </c>
      <c r="B210">
        <v>40</v>
      </c>
      <c r="C210">
        <v>1102018</v>
      </c>
      <c r="D210">
        <v>341</v>
      </c>
      <c r="E210" t="s">
        <v>25</v>
      </c>
      <c r="F210">
        <v>9938</v>
      </c>
      <c r="G210" t="s">
        <v>2233</v>
      </c>
      <c r="H210" s="2">
        <v>37.799999999999997</v>
      </c>
      <c r="I210" t="s">
        <v>26</v>
      </c>
      <c r="J210" s="2">
        <v>1606603.34</v>
      </c>
      <c r="K210" t="s">
        <v>27</v>
      </c>
      <c r="L210">
        <v>161144</v>
      </c>
      <c r="M210" t="s">
        <v>133</v>
      </c>
      <c r="O210">
        <v>1</v>
      </c>
      <c r="P210" t="s">
        <v>2234</v>
      </c>
    </row>
    <row r="211" spans="1:16" x14ac:dyDescent="0.25">
      <c r="A211">
        <v>8003879954</v>
      </c>
      <c r="B211">
        <v>39</v>
      </c>
      <c r="C211">
        <v>1102018</v>
      </c>
      <c r="D211">
        <v>489</v>
      </c>
      <c r="E211" t="s">
        <v>31</v>
      </c>
      <c r="F211">
        <v>9938</v>
      </c>
      <c r="G211" t="s">
        <v>2233</v>
      </c>
      <c r="H211" s="2">
        <v>0.1</v>
      </c>
      <c r="I211" t="s">
        <v>26</v>
      </c>
      <c r="J211" s="2">
        <v>1606641.14</v>
      </c>
      <c r="K211" t="s">
        <v>27</v>
      </c>
      <c r="L211">
        <v>161144</v>
      </c>
      <c r="M211" t="s">
        <v>2235</v>
      </c>
      <c r="O211">
        <v>1</v>
      </c>
    </row>
    <row r="212" spans="1:16" x14ac:dyDescent="0.25">
      <c r="A212">
        <v>8003879954</v>
      </c>
      <c r="B212">
        <v>38</v>
      </c>
      <c r="C212">
        <v>1102018</v>
      </c>
      <c r="D212">
        <v>341</v>
      </c>
      <c r="E212" t="s">
        <v>25</v>
      </c>
      <c r="F212">
        <v>9938</v>
      </c>
      <c r="G212" t="s">
        <v>2236</v>
      </c>
      <c r="H212" s="2">
        <v>100</v>
      </c>
      <c r="I212" t="s">
        <v>26</v>
      </c>
      <c r="J212" s="2">
        <v>1606641.24</v>
      </c>
      <c r="K212" t="s">
        <v>27</v>
      </c>
      <c r="L212">
        <v>161127</v>
      </c>
      <c r="M212" t="s">
        <v>99</v>
      </c>
      <c r="O212">
        <v>1</v>
      </c>
      <c r="P212" t="s">
        <v>2237</v>
      </c>
    </row>
    <row r="213" spans="1:16" x14ac:dyDescent="0.25">
      <c r="A213">
        <v>8003879954</v>
      </c>
      <c r="B213">
        <v>37</v>
      </c>
      <c r="C213">
        <v>1102018</v>
      </c>
      <c r="D213">
        <v>489</v>
      </c>
      <c r="E213" t="s">
        <v>31</v>
      </c>
      <c r="F213">
        <v>9938</v>
      </c>
      <c r="G213" t="s">
        <v>2236</v>
      </c>
      <c r="H213" s="2">
        <v>0.1</v>
      </c>
      <c r="I213" t="s">
        <v>26</v>
      </c>
      <c r="J213" s="2">
        <v>1606741.24</v>
      </c>
      <c r="K213" t="s">
        <v>27</v>
      </c>
      <c r="L213">
        <v>161127</v>
      </c>
      <c r="M213" t="s">
        <v>2238</v>
      </c>
      <c r="O213">
        <v>1</v>
      </c>
    </row>
    <row r="214" spans="1:16" x14ac:dyDescent="0.25">
      <c r="A214">
        <v>8003879954</v>
      </c>
      <c r="B214">
        <v>36</v>
      </c>
      <c r="C214">
        <v>1102018</v>
      </c>
      <c r="D214">
        <v>341</v>
      </c>
      <c r="E214" t="s">
        <v>25</v>
      </c>
      <c r="F214">
        <v>9938</v>
      </c>
      <c r="G214" t="s">
        <v>2239</v>
      </c>
      <c r="H214" s="2">
        <v>186.4</v>
      </c>
      <c r="I214" t="s">
        <v>26</v>
      </c>
      <c r="J214" s="2">
        <v>1606741.34</v>
      </c>
      <c r="K214" t="s">
        <v>27</v>
      </c>
      <c r="L214">
        <v>161105</v>
      </c>
      <c r="M214" t="s">
        <v>119</v>
      </c>
      <c r="O214">
        <v>1</v>
      </c>
      <c r="P214" t="s">
        <v>2240</v>
      </c>
    </row>
    <row r="215" spans="1:16" x14ac:dyDescent="0.25">
      <c r="A215">
        <v>8003879954</v>
      </c>
      <c r="B215">
        <v>35</v>
      </c>
      <c r="C215">
        <v>1102018</v>
      </c>
      <c r="D215">
        <v>489</v>
      </c>
      <c r="E215" t="s">
        <v>31</v>
      </c>
      <c r="F215">
        <v>9938</v>
      </c>
      <c r="G215" t="s">
        <v>2239</v>
      </c>
      <c r="H215" s="2">
        <v>0.1</v>
      </c>
      <c r="I215" t="s">
        <v>26</v>
      </c>
      <c r="J215" s="2">
        <v>1606927.74</v>
      </c>
      <c r="K215" t="s">
        <v>27</v>
      </c>
      <c r="L215">
        <v>161105</v>
      </c>
      <c r="M215" t="s">
        <v>2241</v>
      </c>
      <c r="O215">
        <v>1</v>
      </c>
    </row>
    <row r="216" spans="1:16" x14ac:dyDescent="0.25">
      <c r="A216">
        <v>8003879954</v>
      </c>
      <c r="B216">
        <v>34</v>
      </c>
      <c r="C216">
        <v>1102018</v>
      </c>
      <c r="D216">
        <v>341</v>
      </c>
      <c r="E216" t="s">
        <v>25</v>
      </c>
      <c r="F216">
        <v>9938</v>
      </c>
      <c r="G216" t="s">
        <v>2242</v>
      </c>
      <c r="H216" s="2">
        <v>203</v>
      </c>
      <c r="I216" t="s">
        <v>26</v>
      </c>
      <c r="J216" s="2">
        <v>1606927.84</v>
      </c>
      <c r="K216" t="s">
        <v>27</v>
      </c>
      <c r="L216">
        <v>161058</v>
      </c>
      <c r="M216" t="s">
        <v>207</v>
      </c>
      <c r="O216">
        <v>1</v>
      </c>
      <c r="P216" t="s">
        <v>2243</v>
      </c>
    </row>
    <row r="217" spans="1:16" x14ac:dyDescent="0.25">
      <c r="A217">
        <v>8003879954</v>
      </c>
      <c r="B217">
        <v>33</v>
      </c>
      <c r="C217">
        <v>1102018</v>
      </c>
      <c r="D217">
        <v>489</v>
      </c>
      <c r="E217" t="s">
        <v>31</v>
      </c>
      <c r="F217">
        <v>9938</v>
      </c>
      <c r="G217" t="s">
        <v>2242</v>
      </c>
      <c r="H217" s="2">
        <v>0.1</v>
      </c>
      <c r="I217" t="s">
        <v>26</v>
      </c>
      <c r="J217" s="2">
        <v>1607130.84</v>
      </c>
      <c r="K217" t="s">
        <v>27</v>
      </c>
      <c r="L217">
        <v>161058</v>
      </c>
      <c r="M217" t="s">
        <v>2244</v>
      </c>
      <c r="O217">
        <v>1</v>
      </c>
    </row>
    <row r="218" spans="1:16" x14ac:dyDescent="0.25">
      <c r="A218">
        <v>8003879954</v>
      </c>
      <c r="B218">
        <v>32</v>
      </c>
      <c r="C218">
        <v>1102018</v>
      </c>
      <c r="D218">
        <v>341</v>
      </c>
      <c r="E218" t="s">
        <v>25</v>
      </c>
      <c r="F218">
        <v>9938</v>
      </c>
      <c r="G218" t="s">
        <v>2245</v>
      </c>
      <c r="H218" s="2">
        <v>339.6</v>
      </c>
      <c r="I218" t="s">
        <v>26</v>
      </c>
      <c r="J218" s="2">
        <v>1607130.94</v>
      </c>
      <c r="K218" t="s">
        <v>27</v>
      </c>
      <c r="L218">
        <v>160952</v>
      </c>
      <c r="M218" t="s">
        <v>967</v>
      </c>
      <c r="O218">
        <v>1</v>
      </c>
      <c r="P218" t="s">
        <v>2246</v>
      </c>
    </row>
    <row r="219" spans="1:16" x14ac:dyDescent="0.25">
      <c r="A219">
        <v>8003879954</v>
      </c>
      <c r="B219">
        <v>31</v>
      </c>
      <c r="C219">
        <v>1102018</v>
      </c>
      <c r="D219">
        <v>489</v>
      </c>
      <c r="E219" t="s">
        <v>31</v>
      </c>
      <c r="F219">
        <v>9938</v>
      </c>
      <c r="G219" t="s">
        <v>2245</v>
      </c>
      <c r="H219" s="2">
        <v>0.1</v>
      </c>
      <c r="I219" t="s">
        <v>26</v>
      </c>
      <c r="J219" s="2">
        <v>1607470.54</v>
      </c>
      <c r="K219" t="s">
        <v>27</v>
      </c>
      <c r="L219">
        <v>160952</v>
      </c>
      <c r="M219" t="s">
        <v>2247</v>
      </c>
      <c r="O219">
        <v>1</v>
      </c>
    </row>
    <row r="220" spans="1:16" x14ac:dyDescent="0.25">
      <c r="A220">
        <v>8003879954</v>
      </c>
      <c r="B220">
        <v>30</v>
      </c>
      <c r="C220">
        <v>1102018</v>
      </c>
      <c r="D220">
        <v>341</v>
      </c>
      <c r="E220" t="s">
        <v>25</v>
      </c>
      <c r="F220">
        <v>9938</v>
      </c>
      <c r="G220" t="s">
        <v>2248</v>
      </c>
      <c r="H220" s="2">
        <v>360</v>
      </c>
      <c r="I220" t="s">
        <v>26</v>
      </c>
      <c r="J220" s="2">
        <v>1607470.64</v>
      </c>
      <c r="K220" t="s">
        <v>27</v>
      </c>
      <c r="L220">
        <v>160945</v>
      </c>
      <c r="M220" t="s">
        <v>47</v>
      </c>
      <c r="O220">
        <v>1</v>
      </c>
      <c r="P220" t="s">
        <v>2249</v>
      </c>
    </row>
    <row r="221" spans="1:16" x14ac:dyDescent="0.25">
      <c r="A221">
        <v>8003879954</v>
      </c>
      <c r="B221">
        <v>29</v>
      </c>
      <c r="C221">
        <v>1102018</v>
      </c>
      <c r="D221">
        <v>489</v>
      </c>
      <c r="E221" t="s">
        <v>31</v>
      </c>
      <c r="F221">
        <v>9938</v>
      </c>
      <c r="G221" t="s">
        <v>2248</v>
      </c>
      <c r="H221" s="2">
        <v>0.1</v>
      </c>
      <c r="I221" t="s">
        <v>26</v>
      </c>
      <c r="J221" s="2">
        <v>1607830.64</v>
      </c>
      <c r="K221" t="s">
        <v>27</v>
      </c>
      <c r="L221">
        <v>160945</v>
      </c>
      <c r="M221" t="s">
        <v>2250</v>
      </c>
      <c r="O221">
        <v>1</v>
      </c>
    </row>
    <row r="222" spans="1:16" x14ac:dyDescent="0.25">
      <c r="A222">
        <v>8003879954</v>
      </c>
      <c r="B222">
        <v>28</v>
      </c>
      <c r="C222">
        <v>1102018</v>
      </c>
      <c r="D222">
        <v>341</v>
      </c>
      <c r="E222" t="s">
        <v>25</v>
      </c>
      <c r="F222">
        <v>9938</v>
      </c>
      <c r="G222" t="s">
        <v>2251</v>
      </c>
      <c r="H222" s="2">
        <v>500</v>
      </c>
      <c r="I222" t="s">
        <v>26</v>
      </c>
      <c r="J222" s="2">
        <v>1607830.74</v>
      </c>
      <c r="K222" t="s">
        <v>27</v>
      </c>
      <c r="L222">
        <v>160911</v>
      </c>
      <c r="M222" t="s">
        <v>1823</v>
      </c>
      <c r="O222">
        <v>1</v>
      </c>
      <c r="P222" t="s">
        <v>2252</v>
      </c>
    </row>
    <row r="223" spans="1:16" x14ac:dyDescent="0.25">
      <c r="A223">
        <v>8003879954</v>
      </c>
      <c r="B223">
        <v>27</v>
      </c>
      <c r="C223">
        <v>1102018</v>
      </c>
      <c r="D223">
        <v>489</v>
      </c>
      <c r="E223" t="s">
        <v>31</v>
      </c>
      <c r="F223">
        <v>9938</v>
      </c>
      <c r="G223" t="s">
        <v>2251</v>
      </c>
      <c r="H223" s="2">
        <v>0.1</v>
      </c>
      <c r="I223" t="s">
        <v>26</v>
      </c>
      <c r="J223" s="2">
        <v>1608330.74</v>
      </c>
      <c r="K223" t="s">
        <v>27</v>
      </c>
      <c r="L223">
        <v>160911</v>
      </c>
      <c r="M223" t="s">
        <v>2253</v>
      </c>
      <c r="O223">
        <v>1</v>
      </c>
    </row>
    <row r="224" spans="1:16" x14ac:dyDescent="0.25">
      <c r="A224">
        <v>8003879954</v>
      </c>
      <c r="B224">
        <v>26</v>
      </c>
      <c r="C224">
        <v>1102018</v>
      </c>
      <c r="D224">
        <v>341</v>
      </c>
      <c r="E224" t="s">
        <v>25</v>
      </c>
      <c r="F224">
        <v>9938</v>
      </c>
      <c r="G224" t="s">
        <v>2254</v>
      </c>
      <c r="H224" s="2">
        <v>1799.21</v>
      </c>
      <c r="I224" t="s">
        <v>26</v>
      </c>
      <c r="J224" s="2">
        <v>1608330.84</v>
      </c>
      <c r="K224" t="s">
        <v>27</v>
      </c>
      <c r="L224">
        <v>160617</v>
      </c>
      <c r="M224" t="s">
        <v>408</v>
      </c>
      <c r="O224">
        <v>1</v>
      </c>
      <c r="P224" t="s">
        <v>2255</v>
      </c>
    </row>
    <row r="225" spans="1:16" x14ac:dyDescent="0.25">
      <c r="A225">
        <v>8003879954</v>
      </c>
      <c r="B225">
        <v>25</v>
      </c>
      <c r="C225">
        <v>1102018</v>
      </c>
      <c r="D225">
        <v>489</v>
      </c>
      <c r="E225" t="s">
        <v>31</v>
      </c>
      <c r="F225">
        <v>9938</v>
      </c>
      <c r="G225" t="s">
        <v>2254</v>
      </c>
      <c r="H225" s="2">
        <v>0.1</v>
      </c>
      <c r="I225" t="s">
        <v>26</v>
      </c>
      <c r="J225" s="2">
        <v>1610130.05</v>
      </c>
      <c r="K225" t="s">
        <v>27</v>
      </c>
      <c r="L225">
        <v>160617</v>
      </c>
      <c r="M225" t="s">
        <v>2256</v>
      </c>
      <c r="O225">
        <v>1</v>
      </c>
    </row>
    <row r="226" spans="1:16" x14ac:dyDescent="0.25">
      <c r="A226">
        <v>8003879954</v>
      </c>
      <c r="B226">
        <v>24</v>
      </c>
      <c r="C226">
        <v>1102018</v>
      </c>
      <c r="D226">
        <v>345</v>
      </c>
      <c r="E226" t="s">
        <v>51</v>
      </c>
      <c r="F226">
        <v>9938</v>
      </c>
      <c r="G226" t="s">
        <v>2257</v>
      </c>
      <c r="H226" s="2">
        <v>166</v>
      </c>
      <c r="I226" t="s">
        <v>26</v>
      </c>
      <c r="J226" s="2">
        <v>1610130.15</v>
      </c>
      <c r="K226" t="s">
        <v>27</v>
      </c>
      <c r="L226">
        <v>160450</v>
      </c>
      <c r="M226" t="s">
        <v>2258</v>
      </c>
      <c r="O226">
        <v>1</v>
      </c>
      <c r="P226" t="s">
        <v>2259</v>
      </c>
    </row>
    <row r="227" spans="1:16" x14ac:dyDescent="0.25">
      <c r="A227">
        <v>8003879954</v>
      </c>
      <c r="B227">
        <v>23</v>
      </c>
      <c r="C227">
        <v>1102018</v>
      </c>
      <c r="D227">
        <v>60</v>
      </c>
      <c r="E227" t="s">
        <v>37</v>
      </c>
      <c r="F227">
        <v>9938</v>
      </c>
      <c r="G227" t="s">
        <v>2260</v>
      </c>
      <c r="H227" s="2">
        <v>242.15</v>
      </c>
      <c r="I227" t="s">
        <v>26</v>
      </c>
      <c r="J227" s="2">
        <v>1610296.15</v>
      </c>
      <c r="K227" t="s">
        <v>27</v>
      </c>
      <c r="L227">
        <v>160430</v>
      </c>
      <c r="M227" t="s">
        <v>2261</v>
      </c>
      <c r="O227">
        <v>1</v>
      </c>
      <c r="P227" t="s">
        <v>2262</v>
      </c>
    </row>
    <row r="228" spans="1:16" x14ac:dyDescent="0.25">
      <c r="A228">
        <v>8003879954</v>
      </c>
      <c r="B228">
        <v>22</v>
      </c>
      <c r="C228">
        <v>1102018</v>
      </c>
      <c r="D228">
        <v>341</v>
      </c>
      <c r="E228" t="s">
        <v>25</v>
      </c>
      <c r="F228">
        <v>9938</v>
      </c>
      <c r="G228" t="s">
        <v>2263</v>
      </c>
      <c r="H228" s="2">
        <v>3710</v>
      </c>
      <c r="I228" t="s">
        <v>26</v>
      </c>
      <c r="J228" s="2">
        <v>1610538.3</v>
      </c>
      <c r="K228" t="s">
        <v>27</v>
      </c>
      <c r="L228">
        <v>160410</v>
      </c>
      <c r="M228" t="s">
        <v>268</v>
      </c>
      <c r="O228">
        <v>1</v>
      </c>
      <c r="P228" t="s">
        <v>2264</v>
      </c>
    </row>
    <row r="229" spans="1:16" x14ac:dyDescent="0.25">
      <c r="A229">
        <v>8003879954</v>
      </c>
      <c r="B229">
        <v>21</v>
      </c>
      <c r="C229">
        <v>1102018</v>
      </c>
      <c r="D229">
        <v>489</v>
      </c>
      <c r="E229" t="s">
        <v>31</v>
      </c>
      <c r="F229">
        <v>9938</v>
      </c>
      <c r="G229" t="s">
        <v>2263</v>
      </c>
      <c r="H229" s="2">
        <v>0.1</v>
      </c>
      <c r="I229" t="s">
        <v>26</v>
      </c>
      <c r="J229" s="2">
        <v>1614248.3</v>
      </c>
      <c r="K229" t="s">
        <v>27</v>
      </c>
      <c r="L229">
        <v>160410</v>
      </c>
      <c r="M229" t="s">
        <v>2265</v>
      </c>
      <c r="O229">
        <v>1</v>
      </c>
    </row>
    <row r="230" spans="1:16" x14ac:dyDescent="0.25">
      <c r="A230">
        <v>8003879954</v>
      </c>
      <c r="B230">
        <v>20</v>
      </c>
      <c r="C230">
        <v>1102018</v>
      </c>
      <c r="D230">
        <v>345</v>
      </c>
      <c r="E230" t="s">
        <v>51</v>
      </c>
      <c r="F230">
        <v>9938</v>
      </c>
      <c r="G230" t="s">
        <v>2266</v>
      </c>
      <c r="H230" s="2">
        <v>400</v>
      </c>
      <c r="I230" t="s">
        <v>26</v>
      </c>
      <c r="J230" s="2">
        <v>1614248.4</v>
      </c>
      <c r="K230" t="s">
        <v>27</v>
      </c>
      <c r="L230">
        <v>160402</v>
      </c>
      <c r="M230" t="s">
        <v>2267</v>
      </c>
      <c r="O230">
        <v>1</v>
      </c>
      <c r="P230" t="s">
        <v>2268</v>
      </c>
    </row>
    <row r="231" spans="1:16" x14ac:dyDescent="0.25">
      <c r="A231">
        <v>8003879954</v>
      </c>
      <c r="B231">
        <v>19</v>
      </c>
      <c r="C231">
        <v>1102018</v>
      </c>
      <c r="D231">
        <v>60</v>
      </c>
      <c r="E231" t="s">
        <v>37</v>
      </c>
      <c r="F231">
        <v>9938</v>
      </c>
      <c r="G231" t="s">
        <v>2269</v>
      </c>
      <c r="H231" s="2">
        <v>450</v>
      </c>
      <c r="I231" t="s">
        <v>26</v>
      </c>
      <c r="J231" s="2">
        <v>1614648.4</v>
      </c>
      <c r="K231" t="s">
        <v>27</v>
      </c>
      <c r="L231">
        <v>160354</v>
      </c>
      <c r="M231" t="s">
        <v>2270</v>
      </c>
      <c r="O231">
        <v>1</v>
      </c>
      <c r="P231" t="s">
        <v>2271</v>
      </c>
    </row>
    <row r="232" spans="1:16" x14ac:dyDescent="0.25">
      <c r="A232">
        <v>8003879954</v>
      </c>
      <c r="B232">
        <v>18</v>
      </c>
      <c r="C232">
        <v>1102018</v>
      </c>
      <c r="D232">
        <v>60</v>
      </c>
      <c r="E232" t="s">
        <v>37</v>
      </c>
      <c r="F232">
        <v>9938</v>
      </c>
      <c r="G232" t="s">
        <v>2272</v>
      </c>
      <c r="H232" s="2">
        <v>540</v>
      </c>
      <c r="I232" t="s">
        <v>26</v>
      </c>
      <c r="J232" s="2">
        <v>1615098.4</v>
      </c>
      <c r="K232" t="s">
        <v>27</v>
      </c>
      <c r="L232">
        <v>160342</v>
      </c>
      <c r="M232" t="s">
        <v>2273</v>
      </c>
      <c r="O232">
        <v>1</v>
      </c>
      <c r="P232" t="s">
        <v>2274</v>
      </c>
    </row>
    <row r="233" spans="1:16" x14ac:dyDescent="0.25">
      <c r="A233">
        <v>8003879954</v>
      </c>
      <c r="B233">
        <v>17</v>
      </c>
      <c r="C233">
        <v>1102018</v>
      </c>
      <c r="D233">
        <v>345</v>
      </c>
      <c r="E233" t="s">
        <v>51</v>
      </c>
      <c r="F233">
        <v>9938</v>
      </c>
      <c r="G233" t="s">
        <v>2275</v>
      </c>
      <c r="H233" s="2">
        <v>1087.8599999999999</v>
      </c>
      <c r="I233" t="s">
        <v>26</v>
      </c>
      <c r="J233" s="2">
        <v>1615638.4</v>
      </c>
      <c r="K233" t="s">
        <v>27</v>
      </c>
      <c r="L233">
        <v>160306</v>
      </c>
      <c r="M233" t="s">
        <v>2276</v>
      </c>
      <c r="O233">
        <v>1</v>
      </c>
      <c r="P233" t="s">
        <v>2277</v>
      </c>
    </row>
    <row r="234" spans="1:16" x14ac:dyDescent="0.25">
      <c r="A234">
        <v>8003879954</v>
      </c>
      <c r="B234">
        <v>16</v>
      </c>
      <c r="C234">
        <v>1102018</v>
      </c>
      <c r="D234">
        <v>345</v>
      </c>
      <c r="E234" t="s">
        <v>51</v>
      </c>
      <c r="F234">
        <v>9938</v>
      </c>
      <c r="G234" t="s">
        <v>2278</v>
      </c>
      <c r="H234" s="2">
        <v>2435.75</v>
      </c>
      <c r="I234" t="s">
        <v>26</v>
      </c>
      <c r="J234" s="2">
        <v>1616726.26</v>
      </c>
      <c r="K234" t="s">
        <v>27</v>
      </c>
      <c r="L234">
        <v>160211</v>
      </c>
      <c r="M234" t="s">
        <v>2279</v>
      </c>
      <c r="O234">
        <v>1</v>
      </c>
      <c r="P234" t="s">
        <v>2280</v>
      </c>
    </row>
    <row r="235" spans="1:16" x14ac:dyDescent="0.25">
      <c r="A235">
        <v>8003879954</v>
      </c>
      <c r="B235">
        <v>15</v>
      </c>
      <c r="C235">
        <v>1102018</v>
      </c>
      <c r="D235">
        <v>60</v>
      </c>
      <c r="E235" t="s">
        <v>37</v>
      </c>
      <c r="F235">
        <v>9938</v>
      </c>
      <c r="G235" t="s">
        <v>2281</v>
      </c>
      <c r="H235" s="2">
        <v>2643.07</v>
      </c>
      <c r="I235" t="s">
        <v>26</v>
      </c>
      <c r="J235" s="2">
        <v>1619162.01</v>
      </c>
      <c r="K235" t="s">
        <v>27</v>
      </c>
      <c r="L235">
        <v>160208</v>
      </c>
      <c r="M235" t="s">
        <v>1287</v>
      </c>
      <c r="O235">
        <v>1</v>
      </c>
      <c r="P235" t="s">
        <v>1288</v>
      </c>
    </row>
    <row r="236" spans="1:16" x14ac:dyDescent="0.25">
      <c r="A236">
        <v>8003879954</v>
      </c>
      <c r="B236">
        <v>14</v>
      </c>
      <c r="C236">
        <v>1102018</v>
      </c>
      <c r="D236">
        <v>60</v>
      </c>
      <c r="E236" t="s">
        <v>37</v>
      </c>
      <c r="F236">
        <v>9938</v>
      </c>
      <c r="G236" t="s">
        <v>2282</v>
      </c>
      <c r="H236" s="2">
        <v>5300</v>
      </c>
      <c r="I236" t="s">
        <v>26</v>
      </c>
      <c r="J236" s="2">
        <v>1621805.08</v>
      </c>
      <c r="K236" t="s">
        <v>27</v>
      </c>
      <c r="L236">
        <v>160130</v>
      </c>
      <c r="M236" t="s">
        <v>2283</v>
      </c>
      <c r="O236">
        <v>1</v>
      </c>
      <c r="P236" t="s">
        <v>2284</v>
      </c>
    </row>
    <row r="237" spans="1:16" x14ac:dyDescent="0.25">
      <c r="A237">
        <v>8003879954</v>
      </c>
      <c r="B237">
        <v>13</v>
      </c>
      <c r="C237">
        <v>1102018</v>
      </c>
      <c r="D237">
        <v>345</v>
      </c>
      <c r="E237" t="s">
        <v>51</v>
      </c>
      <c r="F237">
        <v>9938</v>
      </c>
      <c r="G237" t="s">
        <v>2285</v>
      </c>
      <c r="H237" s="2">
        <v>6459.26</v>
      </c>
      <c r="I237" t="s">
        <v>26</v>
      </c>
      <c r="J237" s="2">
        <v>1627105.08</v>
      </c>
      <c r="K237" t="s">
        <v>27</v>
      </c>
      <c r="L237">
        <v>160123</v>
      </c>
      <c r="M237" t="s">
        <v>2286</v>
      </c>
      <c r="O237">
        <v>1</v>
      </c>
      <c r="P237" t="s">
        <v>2287</v>
      </c>
    </row>
    <row r="238" spans="1:16" x14ac:dyDescent="0.25">
      <c r="A238">
        <v>8003879954</v>
      </c>
      <c r="B238">
        <v>12</v>
      </c>
      <c r="C238">
        <v>1102018</v>
      </c>
      <c r="D238">
        <v>345</v>
      </c>
      <c r="E238" t="s">
        <v>51</v>
      </c>
      <c r="F238">
        <v>9938</v>
      </c>
      <c r="G238" t="s">
        <v>2288</v>
      </c>
      <c r="H238" s="2">
        <v>8752.2900000000009</v>
      </c>
      <c r="I238" t="s">
        <v>26</v>
      </c>
      <c r="J238" s="2">
        <v>1633564.34</v>
      </c>
      <c r="K238" t="s">
        <v>27</v>
      </c>
      <c r="L238">
        <v>160111</v>
      </c>
      <c r="M238" t="s">
        <v>2289</v>
      </c>
      <c r="O238">
        <v>1</v>
      </c>
      <c r="P238" t="s">
        <v>2290</v>
      </c>
    </row>
    <row r="239" spans="1:16" x14ac:dyDescent="0.25">
      <c r="A239">
        <v>8003879954</v>
      </c>
      <c r="B239">
        <v>11</v>
      </c>
      <c r="C239">
        <v>1102018</v>
      </c>
      <c r="D239">
        <v>343</v>
      </c>
      <c r="E239" t="s">
        <v>115</v>
      </c>
      <c r="F239">
        <v>9938</v>
      </c>
      <c r="G239" t="s">
        <v>2291</v>
      </c>
      <c r="H239" s="2">
        <v>798.85</v>
      </c>
      <c r="I239" t="s">
        <v>26</v>
      </c>
      <c r="J239" s="2">
        <v>1642316.63</v>
      </c>
      <c r="K239" t="s">
        <v>27</v>
      </c>
      <c r="L239">
        <v>160035</v>
      </c>
      <c r="M239" t="s">
        <v>336</v>
      </c>
      <c r="O239">
        <v>1</v>
      </c>
    </row>
    <row r="240" spans="1:16" x14ac:dyDescent="0.25">
      <c r="A240">
        <v>8003879954</v>
      </c>
      <c r="B240">
        <v>10</v>
      </c>
      <c r="C240">
        <v>1102018</v>
      </c>
      <c r="D240">
        <v>343</v>
      </c>
      <c r="E240" t="s">
        <v>115</v>
      </c>
      <c r="F240">
        <v>9938</v>
      </c>
      <c r="G240" t="s">
        <v>2292</v>
      </c>
      <c r="H240" s="2">
        <v>15.15</v>
      </c>
      <c r="I240" t="s">
        <v>26</v>
      </c>
      <c r="J240" s="2">
        <v>1643115.48</v>
      </c>
      <c r="K240" t="s">
        <v>27</v>
      </c>
      <c r="L240">
        <v>160034</v>
      </c>
      <c r="M240" t="s">
        <v>334</v>
      </c>
      <c r="O240">
        <v>1</v>
      </c>
    </row>
    <row r="241" spans="1:16" x14ac:dyDescent="0.25">
      <c r="A241">
        <v>8003879954</v>
      </c>
      <c r="B241">
        <v>9</v>
      </c>
      <c r="C241">
        <v>1102018</v>
      </c>
      <c r="D241">
        <v>343</v>
      </c>
      <c r="E241" t="s">
        <v>115</v>
      </c>
      <c r="F241">
        <v>9938</v>
      </c>
      <c r="G241" t="s">
        <v>2293</v>
      </c>
      <c r="H241" s="2">
        <v>1375.25</v>
      </c>
      <c r="I241" t="s">
        <v>26</v>
      </c>
      <c r="J241" s="2">
        <v>1643130.63</v>
      </c>
      <c r="K241" t="s">
        <v>27</v>
      </c>
      <c r="L241">
        <v>160034</v>
      </c>
      <c r="M241" t="s">
        <v>338</v>
      </c>
      <c r="O241">
        <v>1</v>
      </c>
    </row>
    <row r="242" spans="1:16" x14ac:dyDescent="0.25">
      <c r="A242">
        <v>8003879954</v>
      </c>
      <c r="B242">
        <v>8</v>
      </c>
      <c r="C242">
        <v>1102018</v>
      </c>
      <c r="D242">
        <v>341</v>
      </c>
      <c r="E242" t="s">
        <v>25</v>
      </c>
      <c r="F242">
        <v>9938</v>
      </c>
      <c r="G242" t="s">
        <v>2294</v>
      </c>
      <c r="H242" s="2">
        <v>90</v>
      </c>
      <c r="I242" t="s">
        <v>26</v>
      </c>
      <c r="J242" s="2">
        <v>1644505.88</v>
      </c>
      <c r="K242" t="s">
        <v>27</v>
      </c>
      <c r="L242">
        <v>150136</v>
      </c>
      <c r="M242" t="s">
        <v>1337</v>
      </c>
      <c r="O242">
        <v>1</v>
      </c>
      <c r="P242" t="s">
        <v>2295</v>
      </c>
    </row>
    <row r="243" spans="1:16" x14ac:dyDescent="0.25">
      <c r="A243">
        <v>8003879954</v>
      </c>
      <c r="B243">
        <v>7</v>
      </c>
      <c r="C243">
        <v>1102018</v>
      </c>
      <c r="D243">
        <v>489</v>
      </c>
      <c r="E243" t="s">
        <v>31</v>
      </c>
      <c r="F243">
        <v>9938</v>
      </c>
      <c r="G243" t="s">
        <v>2294</v>
      </c>
      <c r="H243" s="2">
        <v>0.1</v>
      </c>
      <c r="I243" t="s">
        <v>26</v>
      </c>
      <c r="J243" s="2">
        <v>1644595.88</v>
      </c>
      <c r="K243" t="s">
        <v>27</v>
      </c>
      <c r="L243">
        <v>150136</v>
      </c>
      <c r="M243" t="s">
        <v>2296</v>
      </c>
      <c r="O243">
        <v>1</v>
      </c>
    </row>
    <row r="244" spans="1:16" x14ac:dyDescent="0.25">
      <c r="A244">
        <v>8003879954</v>
      </c>
      <c r="B244">
        <v>6</v>
      </c>
      <c r="C244">
        <v>1102018</v>
      </c>
      <c r="D244">
        <v>341</v>
      </c>
      <c r="E244" t="s">
        <v>25</v>
      </c>
      <c r="F244">
        <v>9938</v>
      </c>
      <c r="G244" t="s">
        <v>2297</v>
      </c>
      <c r="H244" s="2">
        <v>850</v>
      </c>
      <c r="I244" t="s">
        <v>26</v>
      </c>
      <c r="J244" s="2">
        <v>1644595.98</v>
      </c>
      <c r="K244" t="s">
        <v>27</v>
      </c>
      <c r="L244">
        <v>145416</v>
      </c>
      <c r="M244" t="s">
        <v>747</v>
      </c>
      <c r="O244">
        <v>1</v>
      </c>
      <c r="P244" t="s">
        <v>2298</v>
      </c>
    </row>
    <row r="245" spans="1:16" x14ac:dyDescent="0.25">
      <c r="A245">
        <v>8003879954</v>
      </c>
      <c r="B245">
        <v>5</v>
      </c>
      <c r="C245">
        <v>1102018</v>
      </c>
      <c r="D245">
        <v>489</v>
      </c>
      <c r="E245" t="s">
        <v>31</v>
      </c>
      <c r="F245">
        <v>9938</v>
      </c>
      <c r="G245" t="s">
        <v>2297</v>
      </c>
      <c r="H245" s="2">
        <v>0.1</v>
      </c>
      <c r="I245" t="s">
        <v>26</v>
      </c>
      <c r="J245" s="2">
        <v>1645445.98</v>
      </c>
      <c r="K245" t="s">
        <v>27</v>
      </c>
      <c r="L245">
        <v>145416</v>
      </c>
      <c r="M245" t="s">
        <v>2299</v>
      </c>
      <c r="O245">
        <v>1</v>
      </c>
    </row>
    <row r="246" spans="1:16" x14ac:dyDescent="0.25">
      <c r="A246">
        <v>8003879954</v>
      </c>
      <c r="B246">
        <v>4</v>
      </c>
      <c r="C246">
        <v>1102018</v>
      </c>
      <c r="D246">
        <v>345</v>
      </c>
      <c r="E246" t="s">
        <v>51</v>
      </c>
      <c r="F246">
        <v>9938</v>
      </c>
      <c r="G246" t="s">
        <v>2300</v>
      </c>
      <c r="H246" s="2">
        <v>3000</v>
      </c>
      <c r="I246" t="s">
        <v>26</v>
      </c>
      <c r="J246" s="2">
        <v>1645446.08</v>
      </c>
      <c r="K246" t="s">
        <v>27</v>
      </c>
      <c r="L246">
        <v>145415</v>
      </c>
      <c r="M246" t="s">
        <v>2301</v>
      </c>
      <c r="O246">
        <v>1</v>
      </c>
      <c r="P246" t="s">
        <v>2302</v>
      </c>
    </row>
    <row r="247" spans="1:16" x14ac:dyDescent="0.25">
      <c r="A247">
        <v>8003879954</v>
      </c>
      <c r="B247">
        <v>3</v>
      </c>
      <c r="C247">
        <v>1102018</v>
      </c>
      <c r="D247">
        <v>341</v>
      </c>
      <c r="E247" t="s">
        <v>25</v>
      </c>
      <c r="F247">
        <v>9938</v>
      </c>
      <c r="G247" t="s">
        <v>2303</v>
      </c>
      <c r="H247" s="2">
        <v>2500</v>
      </c>
      <c r="I247" t="s">
        <v>26</v>
      </c>
      <c r="J247" s="2">
        <v>1648446.08</v>
      </c>
      <c r="K247" t="s">
        <v>27</v>
      </c>
      <c r="L247">
        <v>145413</v>
      </c>
      <c r="M247" t="s">
        <v>658</v>
      </c>
      <c r="O247">
        <v>1</v>
      </c>
      <c r="P247" t="s">
        <v>2304</v>
      </c>
    </row>
    <row r="248" spans="1:16" x14ac:dyDescent="0.25">
      <c r="A248">
        <v>8003879954</v>
      </c>
      <c r="B248">
        <v>2</v>
      </c>
      <c r="C248">
        <v>1102018</v>
      </c>
      <c r="D248">
        <v>489</v>
      </c>
      <c r="E248" t="s">
        <v>31</v>
      </c>
      <c r="F248">
        <v>9938</v>
      </c>
      <c r="G248" t="s">
        <v>2303</v>
      </c>
      <c r="H248" s="2">
        <v>0.1</v>
      </c>
      <c r="I248" t="s">
        <v>26</v>
      </c>
      <c r="J248" s="2">
        <v>1650946.08</v>
      </c>
      <c r="K248" t="s">
        <v>27</v>
      </c>
      <c r="L248">
        <v>145413</v>
      </c>
      <c r="M248" t="s">
        <v>2305</v>
      </c>
      <c r="O248">
        <v>1</v>
      </c>
    </row>
    <row r="249" spans="1:16" x14ac:dyDescent="0.25">
      <c r="A249">
        <v>8003879954</v>
      </c>
      <c r="B249">
        <v>1</v>
      </c>
      <c r="C249">
        <v>1102018</v>
      </c>
      <c r="D249">
        <v>141</v>
      </c>
      <c r="E249" t="s">
        <v>53</v>
      </c>
      <c r="F249">
        <v>6385</v>
      </c>
      <c r="G249" t="s">
        <v>2306</v>
      </c>
      <c r="H249" s="2">
        <v>200</v>
      </c>
      <c r="I249" t="s">
        <v>27</v>
      </c>
      <c r="J249" s="2">
        <v>1650946.18</v>
      </c>
      <c r="K249" t="s">
        <v>27</v>
      </c>
      <c r="L249">
        <v>95759</v>
      </c>
      <c r="M249" t="s">
        <v>32</v>
      </c>
      <c r="O249">
        <v>1</v>
      </c>
      <c r="P249" t="s">
        <v>2307</v>
      </c>
    </row>
    <row r="252" spans="1:16" x14ac:dyDescent="0.25">
      <c r="H252" s="2">
        <f>SUBTOTAL(9,H10:H250)</f>
        <v>3621115.4100000029</v>
      </c>
    </row>
    <row r="254" spans="1:16" x14ac:dyDescent="0.25">
      <c r="H254" s="2">
        <v>892707.36</v>
      </c>
    </row>
    <row r="256" spans="1:16" x14ac:dyDescent="0.25">
      <c r="H256" s="2">
        <f>H252-H254</f>
        <v>2728408.0500000031</v>
      </c>
    </row>
  </sheetData>
  <autoFilter ref="A8:M249" xr:uid="{B1B85419-5780-47F1-BFBD-D8C471736851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182A-7492-4BA6-9244-91C227A9150A}">
  <dimension ref="A1:R113"/>
  <sheetViews>
    <sheetView workbookViewId="0">
      <selection activeCell="E30" sqref="E30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2" bestFit="1" customWidth="1"/>
    <col min="9" max="9" width="14.140625" customWidth="1"/>
    <col min="10" max="10" width="13.28515625" style="2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2308</v>
      </c>
    </row>
    <row r="5" spans="1:18" x14ac:dyDescent="0.25">
      <c r="A5" t="s">
        <v>2309</v>
      </c>
    </row>
    <row r="6" spans="1:18" x14ac:dyDescent="0.25">
      <c r="A6" t="s">
        <v>2310</v>
      </c>
    </row>
    <row r="8" spans="1:18" s="15" customFormat="1" ht="49.5" customHeight="1" x14ac:dyDescent="0.25">
      <c r="A8" s="15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4" t="s">
        <v>14</v>
      </c>
      <c r="I8" s="15" t="s">
        <v>15</v>
      </c>
      <c r="J8" s="4" t="s">
        <v>16</v>
      </c>
      <c r="K8" s="15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</row>
    <row r="10" spans="1:18" s="16" customFormat="1" x14ac:dyDescent="0.25">
      <c r="A10" s="16">
        <v>8003879954</v>
      </c>
      <c r="B10" s="16">
        <v>6</v>
      </c>
      <c r="C10" s="16">
        <v>30112018</v>
      </c>
      <c r="D10" s="16">
        <v>345</v>
      </c>
      <c r="E10" s="16" t="s">
        <v>51</v>
      </c>
      <c r="F10" s="16">
        <v>9938</v>
      </c>
      <c r="G10" s="16" t="s">
        <v>2311</v>
      </c>
      <c r="H10" s="10">
        <v>3000</v>
      </c>
      <c r="I10" s="16" t="s">
        <v>26</v>
      </c>
      <c r="J10" s="10">
        <v>6079800.8099999996</v>
      </c>
      <c r="K10" s="16" t="s">
        <v>27</v>
      </c>
      <c r="L10" s="16">
        <v>81304</v>
      </c>
      <c r="M10" s="16" t="s">
        <v>2312</v>
      </c>
      <c r="O10" s="16">
        <v>1</v>
      </c>
      <c r="P10" s="16" t="s">
        <v>2313</v>
      </c>
      <c r="Q10" s="16" t="s">
        <v>1126</v>
      </c>
    </row>
    <row r="11" spans="1:18" s="16" customFormat="1" x14ac:dyDescent="0.25">
      <c r="A11" s="16">
        <v>8003879954</v>
      </c>
      <c r="B11" s="16">
        <v>5</v>
      </c>
      <c r="C11" s="16">
        <v>30112018</v>
      </c>
      <c r="D11" s="16">
        <v>343</v>
      </c>
      <c r="E11" s="16" t="s">
        <v>115</v>
      </c>
      <c r="F11" s="16">
        <v>9938</v>
      </c>
      <c r="G11" s="16" t="s">
        <v>2314</v>
      </c>
      <c r="H11" s="10">
        <v>1408.3</v>
      </c>
      <c r="I11" s="16" t="s">
        <v>26</v>
      </c>
      <c r="J11" s="10">
        <v>6082800.8099999996</v>
      </c>
      <c r="K11" s="16" t="s">
        <v>27</v>
      </c>
      <c r="L11" s="16">
        <v>80144</v>
      </c>
      <c r="M11" s="16" t="s">
        <v>2315</v>
      </c>
      <c r="O11" s="16">
        <v>1</v>
      </c>
    </row>
    <row r="12" spans="1:18" s="16" customFormat="1" x14ac:dyDescent="0.25">
      <c r="A12" s="16">
        <v>8003879954</v>
      </c>
      <c r="B12" s="16">
        <v>4</v>
      </c>
      <c r="C12" s="16">
        <v>30112018</v>
      </c>
      <c r="D12" s="16">
        <v>343</v>
      </c>
      <c r="E12" s="16" t="s">
        <v>115</v>
      </c>
      <c r="F12" s="16">
        <v>9938</v>
      </c>
      <c r="G12" s="16" t="s">
        <v>2316</v>
      </c>
      <c r="H12" s="10">
        <v>4426.3</v>
      </c>
      <c r="I12" s="16" t="s">
        <v>26</v>
      </c>
      <c r="J12" s="10">
        <v>6084209.1100000003</v>
      </c>
      <c r="K12" s="16" t="s">
        <v>27</v>
      </c>
      <c r="L12" s="16">
        <v>80126</v>
      </c>
      <c r="M12" s="16" t="s">
        <v>1331</v>
      </c>
      <c r="O12" s="16">
        <v>1</v>
      </c>
    </row>
    <row r="13" spans="1:18" s="16" customFormat="1" x14ac:dyDescent="0.25">
      <c r="A13" s="16">
        <v>8003879954</v>
      </c>
      <c r="B13" s="16">
        <v>3</v>
      </c>
      <c r="C13" s="16">
        <v>30112018</v>
      </c>
      <c r="D13" s="16">
        <v>343</v>
      </c>
      <c r="E13" s="16" t="s">
        <v>115</v>
      </c>
      <c r="F13" s="16">
        <v>9938</v>
      </c>
      <c r="G13" s="16" t="s">
        <v>2317</v>
      </c>
      <c r="H13" s="10">
        <v>20282</v>
      </c>
      <c r="I13" s="16" t="s">
        <v>26</v>
      </c>
      <c r="J13" s="10">
        <v>6088635.4100000001</v>
      </c>
      <c r="K13" s="16" t="s">
        <v>27</v>
      </c>
      <c r="L13" s="16">
        <v>80103</v>
      </c>
      <c r="M13" s="16" t="s">
        <v>1325</v>
      </c>
      <c r="O13" s="16">
        <v>1</v>
      </c>
    </row>
    <row r="14" spans="1:18" s="16" customFormat="1" x14ac:dyDescent="0.25">
      <c r="A14" s="16">
        <v>8003879954</v>
      </c>
      <c r="B14" s="16">
        <v>2</v>
      </c>
      <c r="C14" s="16">
        <v>30112018</v>
      </c>
      <c r="D14" s="16">
        <v>489</v>
      </c>
      <c r="E14" s="16" t="s">
        <v>56</v>
      </c>
      <c r="F14" s="16">
        <v>3471</v>
      </c>
      <c r="G14" s="16" t="s">
        <v>2318</v>
      </c>
      <c r="H14" s="10">
        <v>2.1</v>
      </c>
      <c r="I14" s="16" t="s">
        <v>26</v>
      </c>
      <c r="J14" s="10">
        <v>6108917.4100000001</v>
      </c>
      <c r="K14" s="16" t="s">
        <v>27</v>
      </c>
      <c r="L14" s="16">
        <v>44650</v>
      </c>
      <c r="M14" s="16" t="s">
        <v>32</v>
      </c>
      <c r="O14" s="16">
        <v>1</v>
      </c>
    </row>
    <row r="15" spans="1:18" s="16" customFormat="1" x14ac:dyDescent="0.25">
      <c r="A15" s="16">
        <v>8003879954</v>
      </c>
      <c r="B15" s="16">
        <v>1</v>
      </c>
      <c r="C15" s="16">
        <v>30112018</v>
      </c>
      <c r="D15" s="16">
        <v>669</v>
      </c>
      <c r="E15" s="16" t="s">
        <v>33</v>
      </c>
      <c r="F15" s="16">
        <v>1811</v>
      </c>
      <c r="G15" s="16" t="s">
        <v>2319</v>
      </c>
      <c r="H15" s="10">
        <v>76433.53</v>
      </c>
      <c r="I15" s="16" t="s">
        <v>26</v>
      </c>
      <c r="J15" s="10">
        <v>6108919.5099999998</v>
      </c>
      <c r="K15" s="16" t="s">
        <v>27</v>
      </c>
      <c r="L15" s="16">
        <v>43959</v>
      </c>
      <c r="M15" s="16" t="s">
        <v>2320</v>
      </c>
      <c r="O15" s="16">
        <v>1</v>
      </c>
      <c r="P15" s="16" t="s">
        <v>2321</v>
      </c>
      <c r="R15" s="16" t="s">
        <v>34</v>
      </c>
    </row>
    <row r="16" spans="1:18" s="16" customFormat="1" x14ac:dyDescent="0.25">
      <c r="A16" s="16">
        <v>8003879954</v>
      </c>
      <c r="B16" s="16">
        <v>3</v>
      </c>
      <c r="C16" s="16">
        <v>29112018</v>
      </c>
      <c r="D16" s="16">
        <v>415</v>
      </c>
      <c r="E16" s="16" t="s">
        <v>48</v>
      </c>
      <c r="F16" s="16">
        <v>72</v>
      </c>
      <c r="G16" s="16" t="s">
        <v>2322</v>
      </c>
      <c r="H16" s="10">
        <v>10</v>
      </c>
      <c r="I16" s="16" t="s">
        <v>26</v>
      </c>
      <c r="J16" s="10">
        <v>6185353.04</v>
      </c>
      <c r="K16" s="16" t="s">
        <v>27</v>
      </c>
      <c r="L16" s="16">
        <v>154548</v>
      </c>
      <c r="M16" s="16" t="s">
        <v>2323</v>
      </c>
      <c r="O16" s="16">
        <v>1</v>
      </c>
    </row>
    <row r="17" spans="1:18" s="16" customFormat="1" x14ac:dyDescent="0.25">
      <c r="A17" s="16">
        <v>8003879954</v>
      </c>
      <c r="B17" s="16">
        <v>2</v>
      </c>
      <c r="C17" s="16">
        <v>29112018</v>
      </c>
      <c r="D17" s="16">
        <v>349</v>
      </c>
      <c r="E17" s="16" t="s">
        <v>49</v>
      </c>
      <c r="F17" s="16">
        <v>72</v>
      </c>
      <c r="G17" s="16" t="s">
        <v>2322</v>
      </c>
      <c r="H17" s="10">
        <v>42611.64</v>
      </c>
      <c r="I17" s="16" t="s">
        <v>26</v>
      </c>
      <c r="J17" s="10">
        <v>6185363.04</v>
      </c>
      <c r="K17" s="16" t="s">
        <v>27</v>
      </c>
      <c r="L17" s="16">
        <v>154548</v>
      </c>
      <c r="M17" s="16" t="s">
        <v>2323</v>
      </c>
      <c r="O17" s="16">
        <v>1</v>
      </c>
    </row>
    <row r="18" spans="1:18" s="16" customFormat="1" x14ac:dyDescent="0.25">
      <c r="A18" s="16">
        <v>8003879954</v>
      </c>
      <c r="B18" s="16">
        <v>1</v>
      </c>
      <c r="C18" s="16">
        <v>29112018</v>
      </c>
      <c r="D18" s="16">
        <v>174</v>
      </c>
      <c r="E18" s="16" t="s">
        <v>159</v>
      </c>
      <c r="F18" s="16">
        <v>2001</v>
      </c>
      <c r="G18" s="16" t="s">
        <v>2324</v>
      </c>
      <c r="H18" s="10">
        <v>2000</v>
      </c>
      <c r="I18" s="16" t="s">
        <v>27</v>
      </c>
      <c r="J18" s="10">
        <v>6227974.6799999997</v>
      </c>
      <c r="K18" s="16" t="s">
        <v>27</v>
      </c>
      <c r="L18" s="16">
        <v>121337</v>
      </c>
      <c r="M18" s="16" t="s">
        <v>2325</v>
      </c>
      <c r="O18" s="16">
        <v>1</v>
      </c>
      <c r="P18" s="16" t="s">
        <v>2325</v>
      </c>
      <c r="Q18" s="16" t="s">
        <v>2326</v>
      </c>
      <c r="R18" s="16" t="s">
        <v>2327</v>
      </c>
    </row>
    <row r="19" spans="1:18" s="16" customFormat="1" x14ac:dyDescent="0.25">
      <c r="A19" s="16">
        <v>8003879954</v>
      </c>
      <c r="B19" s="16">
        <v>40</v>
      </c>
      <c r="C19" s="16">
        <v>22112018</v>
      </c>
      <c r="D19" s="16">
        <v>60</v>
      </c>
      <c r="E19" s="16" t="s">
        <v>37</v>
      </c>
      <c r="F19" s="16">
        <v>9938</v>
      </c>
      <c r="G19" s="16" t="s">
        <v>2328</v>
      </c>
      <c r="H19" s="10">
        <v>341.55</v>
      </c>
      <c r="I19" s="16" t="s">
        <v>26</v>
      </c>
      <c r="J19" s="10">
        <v>6225974.6799999997</v>
      </c>
      <c r="K19" s="16" t="s">
        <v>27</v>
      </c>
      <c r="L19" s="16">
        <v>80250</v>
      </c>
      <c r="M19" s="16" t="s">
        <v>2329</v>
      </c>
      <c r="O19" s="16">
        <v>1</v>
      </c>
      <c r="P19" s="16" t="s">
        <v>2330</v>
      </c>
      <c r="Q19" s="16" t="s">
        <v>52</v>
      </c>
    </row>
    <row r="20" spans="1:18" s="16" customFormat="1" x14ac:dyDescent="0.25">
      <c r="A20" s="16">
        <v>8003879954</v>
      </c>
      <c r="B20" s="16">
        <v>39</v>
      </c>
      <c r="C20" s="16">
        <v>22112018</v>
      </c>
      <c r="D20" s="16">
        <v>60</v>
      </c>
      <c r="E20" s="16" t="s">
        <v>37</v>
      </c>
      <c r="F20" s="16">
        <v>9938</v>
      </c>
      <c r="G20" s="16" t="s">
        <v>2331</v>
      </c>
      <c r="H20" s="10">
        <v>390</v>
      </c>
      <c r="I20" s="16" t="s">
        <v>26</v>
      </c>
      <c r="J20" s="10">
        <v>6226316.2300000004</v>
      </c>
      <c r="K20" s="16" t="s">
        <v>27</v>
      </c>
      <c r="L20" s="16">
        <v>80247</v>
      </c>
      <c r="M20" s="16" t="s">
        <v>2332</v>
      </c>
      <c r="O20" s="16">
        <v>1</v>
      </c>
      <c r="P20" s="16" t="s">
        <v>2333</v>
      </c>
      <c r="Q20" s="16" t="s">
        <v>2334</v>
      </c>
    </row>
    <row r="21" spans="1:18" s="16" customFormat="1" x14ac:dyDescent="0.25">
      <c r="A21" s="16">
        <v>8003879954</v>
      </c>
      <c r="B21" s="16">
        <v>38</v>
      </c>
      <c r="C21" s="16">
        <v>22112018</v>
      </c>
      <c r="D21" s="16">
        <v>60</v>
      </c>
      <c r="E21" s="16" t="s">
        <v>37</v>
      </c>
      <c r="F21" s="16">
        <v>9938</v>
      </c>
      <c r="G21" s="16" t="s">
        <v>2335</v>
      </c>
      <c r="H21" s="10">
        <v>1170</v>
      </c>
      <c r="I21" s="16" t="s">
        <v>26</v>
      </c>
      <c r="J21" s="10">
        <v>6226706.2300000004</v>
      </c>
      <c r="K21" s="16" t="s">
        <v>27</v>
      </c>
      <c r="L21" s="16">
        <v>80214</v>
      </c>
      <c r="M21" s="16" t="s">
        <v>2336</v>
      </c>
      <c r="O21" s="16">
        <v>1</v>
      </c>
      <c r="P21" s="16" t="s">
        <v>2337</v>
      </c>
      <c r="Q21" s="16" t="s">
        <v>1391</v>
      </c>
    </row>
    <row r="22" spans="1:18" s="16" customFormat="1" x14ac:dyDescent="0.25">
      <c r="A22" s="16">
        <v>8003879954</v>
      </c>
      <c r="B22" s="16">
        <v>37</v>
      </c>
      <c r="C22" s="16">
        <v>22112018</v>
      </c>
      <c r="D22" s="16">
        <v>345</v>
      </c>
      <c r="E22" s="16" t="s">
        <v>51</v>
      </c>
      <c r="F22" s="16">
        <v>9938</v>
      </c>
      <c r="G22" s="16" t="s">
        <v>2338</v>
      </c>
      <c r="H22" s="10">
        <v>1181.3800000000001</v>
      </c>
      <c r="I22" s="16" t="s">
        <v>26</v>
      </c>
      <c r="J22" s="10">
        <v>6227876.2300000004</v>
      </c>
      <c r="K22" s="16" t="s">
        <v>27</v>
      </c>
      <c r="L22" s="16">
        <v>80214</v>
      </c>
      <c r="M22" s="16" t="s">
        <v>2339</v>
      </c>
      <c r="O22" s="16">
        <v>1</v>
      </c>
      <c r="P22" s="16" t="s">
        <v>2340</v>
      </c>
      <c r="Q22" s="16" t="s">
        <v>52</v>
      </c>
    </row>
    <row r="23" spans="1:18" s="16" customFormat="1" x14ac:dyDescent="0.25">
      <c r="A23" s="16">
        <v>8003879954</v>
      </c>
      <c r="B23" s="16">
        <v>36</v>
      </c>
      <c r="C23" s="16">
        <v>22112018</v>
      </c>
      <c r="D23" s="16">
        <v>345</v>
      </c>
      <c r="E23" s="16" t="s">
        <v>51</v>
      </c>
      <c r="F23" s="16">
        <v>9938</v>
      </c>
      <c r="G23" s="16" t="s">
        <v>2341</v>
      </c>
      <c r="H23" s="10">
        <v>2941.51</v>
      </c>
      <c r="I23" s="16" t="s">
        <v>26</v>
      </c>
      <c r="J23" s="10">
        <v>6229057.6100000003</v>
      </c>
      <c r="K23" s="16" t="s">
        <v>27</v>
      </c>
      <c r="L23" s="16">
        <v>80140</v>
      </c>
      <c r="M23" s="16" t="s">
        <v>2342</v>
      </c>
      <c r="O23" s="16">
        <v>1</v>
      </c>
      <c r="P23" s="16" t="s">
        <v>2343</v>
      </c>
      <c r="Q23" s="16" t="s">
        <v>52</v>
      </c>
    </row>
    <row r="24" spans="1:18" s="16" customFormat="1" x14ac:dyDescent="0.25">
      <c r="A24" s="16">
        <v>8003879954</v>
      </c>
      <c r="B24" s="16">
        <v>35</v>
      </c>
      <c r="C24" s="16">
        <v>22112018</v>
      </c>
      <c r="D24" s="16">
        <v>345</v>
      </c>
      <c r="E24" s="16" t="s">
        <v>51</v>
      </c>
      <c r="F24" s="16">
        <v>9938</v>
      </c>
      <c r="G24" s="16" t="s">
        <v>2344</v>
      </c>
      <c r="H24" s="10">
        <v>4124.59</v>
      </c>
      <c r="I24" s="16" t="s">
        <v>26</v>
      </c>
      <c r="J24" s="10">
        <v>6231999.1200000001</v>
      </c>
      <c r="K24" s="16" t="s">
        <v>27</v>
      </c>
      <c r="L24" s="16">
        <v>80129</v>
      </c>
      <c r="M24" s="16" t="s">
        <v>2345</v>
      </c>
      <c r="O24" s="16">
        <v>1</v>
      </c>
      <c r="P24" s="16" t="s">
        <v>2346</v>
      </c>
      <c r="Q24" s="16" t="s">
        <v>52</v>
      </c>
    </row>
    <row r="25" spans="1:18" s="16" customFormat="1" x14ac:dyDescent="0.25">
      <c r="A25" s="16">
        <v>8003879954</v>
      </c>
      <c r="B25" s="16">
        <v>34</v>
      </c>
      <c r="C25" s="16">
        <v>22112018</v>
      </c>
      <c r="D25" s="16">
        <v>60</v>
      </c>
      <c r="E25" s="16" t="s">
        <v>37</v>
      </c>
      <c r="F25" s="16">
        <v>9938</v>
      </c>
      <c r="G25" s="16" t="s">
        <v>2347</v>
      </c>
      <c r="H25" s="10">
        <v>5300</v>
      </c>
      <c r="I25" s="16" t="s">
        <v>26</v>
      </c>
      <c r="J25" s="10">
        <v>6236123.71</v>
      </c>
      <c r="K25" s="16" t="s">
        <v>27</v>
      </c>
      <c r="L25" s="16">
        <v>80121</v>
      </c>
      <c r="M25" s="16" t="s">
        <v>2348</v>
      </c>
      <c r="O25" s="16">
        <v>1</v>
      </c>
      <c r="P25" s="16" t="s">
        <v>2349</v>
      </c>
      <c r="Q25" s="16" t="s">
        <v>2350</v>
      </c>
    </row>
    <row r="26" spans="1:18" s="16" customFormat="1" x14ac:dyDescent="0.25">
      <c r="A26" s="16">
        <v>8003879954</v>
      </c>
      <c r="B26" s="16">
        <v>33</v>
      </c>
      <c r="C26" s="16">
        <v>22112018</v>
      </c>
      <c r="D26" s="16">
        <v>60</v>
      </c>
      <c r="E26" s="16" t="s">
        <v>37</v>
      </c>
      <c r="F26" s="16">
        <v>9938</v>
      </c>
      <c r="G26" s="16" t="s">
        <v>2351</v>
      </c>
      <c r="H26" s="10">
        <v>6213.02</v>
      </c>
      <c r="I26" s="16" t="s">
        <v>26</v>
      </c>
      <c r="J26" s="10">
        <v>6241423.71</v>
      </c>
      <c r="K26" s="16" t="s">
        <v>27</v>
      </c>
      <c r="L26" s="16">
        <v>80117</v>
      </c>
      <c r="M26" s="16" t="s">
        <v>1287</v>
      </c>
      <c r="O26" s="16">
        <v>1</v>
      </c>
      <c r="P26" s="16" t="s">
        <v>1288</v>
      </c>
      <c r="Q26" s="16" t="s">
        <v>606</v>
      </c>
    </row>
    <row r="27" spans="1:18" s="16" customFormat="1" x14ac:dyDescent="0.25">
      <c r="A27" s="16">
        <v>8003879954</v>
      </c>
      <c r="B27" s="16">
        <v>32</v>
      </c>
      <c r="C27" s="16">
        <v>22112018</v>
      </c>
      <c r="D27" s="16">
        <v>60</v>
      </c>
      <c r="E27" s="16" t="s">
        <v>37</v>
      </c>
      <c r="F27" s="16">
        <v>9938</v>
      </c>
      <c r="G27" s="16" t="s">
        <v>2352</v>
      </c>
      <c r="H27" s="10">
        <v>6904</v>
      </c>
      <c r="I27" s="16" t="s">
        <v>26</v>
      </c>
      <c r="J27" s="10">
        <v>6247636.7300000004</v>
      </c>
      <c r="K27" s="16" t="s">
        <v>27</v>
      </c>
      <c r="L27" s="16">
        <v>80114</v>
      </c>
      <c r="M27" s="16" t="s">
        <v>2353</v>
      </c>
      <c r="O27" s="16">
        <v>1</v>
      </c>
      <c r="P27" s="16" t="s">
        <v>2354</v>
      </c>
      <c r="Q27" s="16" t="s">
        <v>2355</v>
      </c>
    </row>
    <row r="28" spans="1:18" s="16" customFormat="1" x14ac:dyDescent="0.25">
      <c r="A28" s="16">
        <v>8003879954</v>
      </c>
      <c r="B28" s="16">
        <v>31</v>
      </c>
      <c r="C28" s="16">
        <v>22112018</v>
      </c>
      <c r="D28" s="16">
        <v>343</v>
      </c>
      <c r="E28" s="16" t="s">
        <v>115</v>
      </c>
      <c r="F28" s="16">
        <v>9938</v>
      </c>
      <c r="G28" s="16" t="s">
        <v>2356</v>
      </c>
      <c r="H28" s="10">
        <v>597.85</v>
      </c>
      <c r="I28" s="16" t="s">
        <v>26</v>
      </c>
      <c r="J28" s="10">
        <v>6254540.7300000004</v>
      </c>
      <c r="K28" s="16" t="s">
        <v>27</v>
      </c>
      <c r="L28" s="16">
        <v>80035</v>
      </c>
      <c r="M28" s="16" t="s">
        <v>117</v>
      </c>
      <c r="O28" s="16">
        <v>1</v>
      </c>
    </row>
    <row r="29" spans="1:18" s="16" customFormat="1" x14ac:dyDescent="0.25">
      <c r="A29" s="16">
        <v>8003879954</v>
      </c>
      <c r="B29" s="16">
        <v>30</v>
      </c>
      <c r="C29" s="16">
        <v>22112018</v>
      </c>
      <c r="D29" s="16">
        <v>341</v>
      </c>
      <c r="E29" s="16" t="s">
        <v>25</v>
      </c>
      <c r="F29" s="16">
        <v>9938</v>
      </c>
      <c r="G29" s="16" t="s">
        <v>2357</v>
      </c>
      <c r="H29" s="10">
        <v>32.549999999999997</v>
      </c>
      <c r="I29" s="16" t="s">
        <v>26</v>
      </c>
      <c r="J29" s="10">
        <v>6255138.5800000001</v>
      </c>
      <c r="K29" s="16" t="s">
        <v>27</v>
      </c>
      <c r="L29" s="16">
        <v>43305</v>
      </c>
      <c r="M29" s="16" t="s">
        <v>75</v>
      </c>
      <c r="O29" s="16">
        <v>1</v>
      </c>
      <c r="P29" s="16" t="s">
        <v>2358</v>
      </c>
      <c r="Q29" s="16" t="s">
        <v>77</v>
      </c>
    </row>
    <row r="30" spans="1:18" s="16" customFormat="1" x14ac:dyDescent="0.25">
      <c r="A30" s="16">
        <v>8003879954</v>
      </c>
      <c r="B30" s="16">
        <v>29</v>
      </c>
      <c r="C30" s="16">
        <v>22112018</v>
      </c>
      <c r="D30" s="16">
        <v>489</v>
      </c>
      <c r="E30" s="16" t="s">
        <v>31</v>
      </c>
      <c r="F30" s="16">
        <v>9938</v>
      </c>
      <c r="G30" s="16" t="s">
        <v>2357</v>
      </c>
      <c r="H30" s="10">
        <v>0.1</v>
      </c>
      <c r="I30" s="16" t="s">
        <v>26</v>
      </c>
      <c r="J30" s="10">
        <v>6255171.1299999999</v>
      </c>
      <c r="K30" s="16" t="s">
        <v>27</v>
      </c>
      <c r="L30" s="16">
        <v>43305</v>
      </c>
      <c r="M30" s="16" t="s">
        <v>2359</v>
      </c>
      <c r="O30" s="16">
        <v>1</v>
      </c>
    </row>
    <row r="31" spans="1:18" s="16" customFormat="1" x14ac:dyDescent="0.25">
      <c r="A31" s="16">
        <v>8003879954</v>
      </c>
      <c r="B31" s="16">
        <v>28</v>
      </c>
      <c r="C31" s="16">
        <v>22112018</v>
      </c>
      <c r="D31" s="16">
        <v>341</v>
      </c>
      <c r="E31" s="16" t="s">
        <v>25</v>
      </c>
      <c r="F31" s="16">
        <v>9938</v>
      </c>
      <c r="G31" s="16" t="s">
        <v>2360</v>
      </c>
      <c r="H31" s="10">
        <v>90</v>
      </c>
      <c r="I31" s="16" t="s">
        <v>26</v>
      </c>
      <c r="J31" s="10">
        <v>6255171.2300000004</v>
      </c>
      <c r="K31" s="16" t="s">
        <v>27</v>
      </c>
      <c r="L31" s="16">
        <v>43300</v>
      </c>
      <c r="M31" s="16" t="s">
        <v>47</v>
      </c>
      <c r="O31" s="16">
        <v>1</v>
      </c>
      <c r="P31" s="16" t="s">
        <v>2361</v>
      </c>
      <c r="Q31" s="16" t="s">
        <v>2362</v>
      </c>
    </row>
    <row r="32" spans="1:18" s="16" customFormat="1" x14ac:dyDescent="0.25">
      <c r="A32" s="16">
        <v>8003879954</v>
      </c>
      <c r="B32" s="16">
        <v>27</v>
      </c>
      <c r="C32" s="16">
        <v>22112018</v>
      </c>
      <c r="D32" s="16">
        <v>489</v>
      </c>
      <c r="E32" s="16" t="s">
        <v>31</v>
      </c>
      <c r="F32" s="16">
        <v>9938</v>
      </c>
      <c r="G32" s="16" t="s">
        <v>2360</v>
      </c>
      <c r="H32" s="10">
        <v>0.1</v>
      </c>
      <c r="I32" s="16" t="s">
        <v>26</v>
      </c>
      <c r="J32" s="10">
        <v>6255261.2300000004</v>
      </c>
      <c r="K32" s="16" t="s">
        <v>27</v>
      </c>
      <c r="L32" s="16">
        <v>43300</v>
      </c>
      <c r="M32" s="16" t="s">
        <v>2363</v>
      </c>
      <c r="O32" s="16">
        <v>1</v>
      </c>
    </row>
    <row r="33" spans="1:17" s="16" customFormat="1" x14ac:dyDescent="0.25">
      <c r="A33" s="16">
        <v>8003879954</v>
      </c>
      <c r="B33" s="16">
        <v>26</v>
      </c>
      <c r="C33" s="16">
        <v>22112018</v>
      </c>
      <c r="D33" s="16">
        <v>341</v>
      </c>
      <c r="E33" s="16" t="s">
        <v>25</v>
      </c>
      <c r="F33" s="16">
        <v>9938</v>
      </c>
      <c r="G33" s="16" t="s">
        <v>2364</v>
      </c>
      <c r="H33" s="10">
        <v>240</v>
      </c>
      <c r="I33" s="16" t="s">
        <v>26</v>
      </c>
      <c r="J33" s="10">
        <v>6255261.3300000001</v>
      </c>
      <c r="K33" s="16" t="s">
        <v>27</v>
      </c>
      <c r="L33" s="16">
        <v>43252</v>
      </c>
      <c r="M33" s="16" t="s">
        <v>40</v>
      </c>
      <c r="O33" s="16">
        <v>1</v>
      </c>
      <c r="P33" s="16" t="s">
        <v>2365</v>
      </c>
      <c r="Q33" s="16" t="s">
        <v>44</v>
      </c>
    </row>
    <row r="34" spans="1:17" s="16" customFormat="1" x14ac:dyDescent="0.25">
      <c r="A34" s="16">
        <v>8003879954</v>
      </c>
      <c r="B34" s="16">
        <v>25</v>
      </c>
      <c r="C34" s="16">
        <v>22112018</v>
      </c>
      <c r="D34" s="16">
        <v>489</v>
      </c>
      <c r="E34" s="16" t="s">
        <v>31</v>
      </c>
      <c r="F34" s="16">
        <v>9938</v>
      </c>
      <c r="G34" s="16" t="s">
        <v>2364</v>
      </c>
      <c r="H34" s="10">
        <v>0.1</v>
      </c>
      <c r="I34" s="16" t="s">
        <v>26</v>
      </c>
      <c r="J34" s="10">
        <v>6255501.3300000001</v>
      </c>
      <c r="K34" s="16" t="s">
        <v>27</v>
      </c>
      <c r="L34" s="16">
        <v>43252</v>
      </c>
      <c r="M34" s="16" t="s">
        <v>2366</v>
      </c>
      <c r="O34" s="16">
        <v>1</v>
      </c>
    </row>
    <row r="35" spans="1:17" s="16" customFormat="1" x14ac:dyDescent="0.25">
      <c r="A35" s="16">
        <v>8003879954</v>
      </c>
      <c r="B35" s="16">
        <v>24</v>
      </c>
      <c r="C35" s="16">
        <v>22112018</v>
      </c>
      <c r="D35" s="16">
        <v>341</v>
      </c>
      <c r="E35" s="16" t="s">
        <v>25</v>
      </c>
      <c r="F35" s="16">
        <v>9938</v>
      </c>
      <c r="G35" s="16" t="s">
        <v>2367</v>
      </c>
      <c r="H35" s="10">
        <v>240</v>
      </c>
      <c r="I35" s="16" t="s">
        <v>26</v>
      </c>
      <c r="J35" s="10">
        <v>6255501.4299999997</v>
      </c>
      <c r="K35" s="16" t="s">
        <v>27</v>
      </c>
      <c r="L35" s="16">
        <v>43251</v>
      </c>
      <c r="M35" s="16" t="s">
        <v>722</v>
      </c>
      <c r="O35" s="16">
        <v>1</v>
      </c>
      <c r="P35" s="16" t="s">
        <v>2368</v>
      </c>
      <c r="Q35" s="16" t="s">
        <v>44</v>
      </c>
    </row>
    <row r="36" spans="1:17" s="16" customFormat="1" x14ac:dyDescent="0.25">
      <c r="A36" s="16">
        <v>8003879954</v>
      </c>
      <c r="B36" s="16">
        <v>23</v>
      </c>
      <c r="C36" s="16">
        <v>22112018</v>
      </c>
      <c r="D36" s="16">
        <v>489</v>
      </c>
      <c r="E36" s="16" t="s">
        <v>31</v>
      </c>
      <c r="F36" s="16">
        <v>9938</v>
      </c>
      <c r="G36" s="16" t="s">
        <v>2367</v>
      </c>
      <c r="H36" s="10">
        <v>0.1</v>
      </c>
      <c r="I36" s="16" t="s">
        <v>26</v>
      </c>
      <c r="J36" s="10">
        <v>6255741.4299999997</v>
      </c>
      <c r="K36" s="16" t="s">
        <v>27</v>
      </c>
      <c r="L36" s="16">
        <v>43251</v>
      </c>
      <c r="M36" s="16" t="s">
        <v>2369</v>
      </c>
      <c r="O36" s="16">
        <v>1</v>
      </c>
    </row>
    <row r="37" spans="1:17" s="16" customFormat="1" x14ac:dyDescent="0.25">
      <c r="A37" s="16">
        <v>8003879954</v>
      </c>
      <c r="B37" s="16">
        <v>22</v>
      </c>
      <c r="C37" s="16">
        <v>22112018</v>
      </c>
      <c r="D37" s="16">
        <v>341</v>
      </c>
      <c r="E37" s="16" t="s">
        <v>25</v>
      </c>
      <c r="F37" s="16">
        <v>9938</v>
      </c>
      <c r="G37" s="16" t="s">
        <v>2370</v>
      </c>
      <c r="H37" s="10">
        <v>595</v>
      </c>
      <c r="I37" s="16" t="s">
        <v>26</v>
      </c>
      <c r="J37" s="10">
        <v>6255741.5300000003</v>
      </c>
      <c r="K37" s="16" t="s">
        <v>27</v>
      </c>
      <c r="L37" s="16">
        <v>43228</v>
      </c>
      <c r="M37" s="16" t="s">
        <v>1178</v>
      </c>
      <c r="O37" s="16">
        <v>1</v>
      </c>
      <c r="P37" s="16" t="s">
        <v>2371</v>
      </c>
      <c r="Q37" s="16" t="s">
        <v>2372</v>
      </c>
    </row>
    <row r="38" spans="1:17" s="16" customFormat="1" x14ac:dyDescent="0.25">
      <c r="A38" s="16">
        <v>8003879954</v>
      </c>
      <c r="B38" s="16">
        <v>21</v>
      </c>
      <c r="C38" s="16">
        <v>22112018</v>
      </c>
      <c r="D38" s="16">
        <v>489</v>
      </c>
      <c r="E38" s="16" t="s">
        <v>31</v>
      </c>
      <c r="F38" s="16">
        <v>9938</v>
      </c>
      <c r="G38" s="16" t="s">
        <v>2370</v>
      </c>
      <c r="H38" s="10">
        <v>0.1</v>
      </c>
      <c r="I38" s="16" t="s">
        <v>26</v>
      </c>
      <c r="J38" s="10">
        <v>6256336.5300000003</v>
      </c>
      <c r="K38" s="16" t="s">
        <v>27</v>
      </c>
      <c r="L38" s="16">
        <v>43228</v>
      </c>
      <c r="M38" s="16" t="s">
        <v>2373</v>
      </c>
      <c r="O38" s="16">
        <v>1</v>
      </c>
    </row>
    <row r="39" spans="1:17" s="16" customFormat="1" x14ac:dyDescent="0.25">
      <c r="A39" s="16">
        <v>8003879954</v>
      </c>
      <c r="B39" s="16">
        <v>20</v>
      </c>
      <c r="C39" s="16">
        <v>22112018</v>
      </c>
      <c r="D39" s="16">
        <v>341</v>
      </c>
      <c r="E39" s="16" t="s">
        <v>25</v>
      </c>
      <c r="F39" s="16">
        <v>9938</v>
      </c>
      <c r="G39" s="16" t="s">
        <v>2374</v>
      </c>
      <c r="H39" s="10">
        <v>1000</v>
      </c>
      <c r="I39" s="16" t="s">
        <v>26</v>
      </c>
      <c r="J39" s="10">
        <v>6256336.6299999999</v>
      </c>
      <c r="K39" s="16" t="s">
        <v>27</v>
      </c>
      <c r="L39" s="16">
        <v>43209</v>
      </c>
      <c r="M39" s="16" t="s">
        <v>319</v>
      </c>
      <c r="O39" s="16">
        <v>1</v>
      </c>
      <c r="P39" s="16" t="s">
        <v>2375</v>
      </c>
      <c r="Q39" s="16" t="s">
        <v>2376</v>
      </c>
    </row>
    <row r="40" spans="1:17" s="16" customFormat="1" x14ac:dyDescent="0.25">
      <c r="A40" s="16">
        <v>8003879954</v>
      </c>
      <c r="B40" s="16">
        <v>19</v>
      </c>
      <c r="C40" s="16">
        <v>22112018</v>
      </c>
      <c r="D40" s="16">
        <v>489</v>
      </c>
      <c r="E40" s="16" t="s">
        <v>31</v>
      </c>
      <c r="F40" s="16">
        <v>9938</v>
      </c>
      <c r="G40" s="16" t="s">
        <v>2374</v>
      </c>
      <c r="H40" s="10">
        <v>0.1</v>
      </c>
      <c r="I40" s="16" t="s">
        <v>26</v>
      </c>
      <c r="J40" s="10">
        <v>6257336.6299999999</v>
      </c>
      <c r="K40" s="16" t="s">
        <v>27</v>
      </c>
      <c r="L40" s="16">
        <v>43209</v>
      </c>
      <c r="M40" s="16" t="s">
        <v>2377</v>
      </c>
      <c r="O40" s="16">
        <v>1</v>
      </c>
    </row>
    <row r="41" spans="1:17" s="16" customFormat="1" x14ac:dyDescent="0.25">
      <c r="A41" s="16">
        <v>8003879954</v>
      </c>
      <c r="B41" s="16">
        <v>18</v>
      </c>
      <c r="C41" s="16">
        <v>22112018</v>
      </c>
      <c r="D41" s="16">
        <v>341</v>
      </c>
      <c r="E41" s="16" t="s">
        <v>25</v>
      </c>
      <c r="F41" s="16">
        <v>9938</v>
      </c>
      <c r="G41" s="16" t="s">
        <v>2378</v>
      </c>
      <c r="H41" s="10">
        <v>2000</v>
      </c>
      <c r="I41" s="16" t="s">
        <v>26</v>
      </c>
      <c r="J41" s="10">
        <v>6257336.7300000004</v>
      </c>
      <c r="K41" s="16" t="s">
        <v>27</v>
      </c>
      <c r="L41" s="16">
        <v>43140</v>
      </c>
      <c r="M41" s="16" t="s">
        <v>314</v>
      </c>
      <c r="O41" s="16">
        <v>1</v>
      </c>
      <c r="P41" s="16" t="s">
        <v>2379</v>
      </c>
      <c r="Q41" s="16" t="s">
        <v>1410</v>
      </c>
    </row>
    <row r="42" spans="1:17" s="16" customFormat="1" x14ac:dyDescent="0.25">
      <c r="A42" s="16">
        <v>8003879954</v>
      </c>
      <c r="B42" s="16">
        <v>17</v>
      </c>
      <c r="C42" s="16">
        <v>22112018</v>
      </c>
      <c r="D42" s="16">
        <v>489</v>
      </c>
      <c r="E42" s="16" t="s">
        <v>31</v>
      </c>
      <c r="F42" s="16">
        <v>9938</v>
      </c>
      <c r="G42" s="16" t="s">
        <v>2378</v>
      </c>
      <c r="H42" s="10">
        <v>0.1</v>
      </c>
      <c r="I42" s="16" t="s">
        <v>26</v>
      </c>
      <c r="J42" s="10">
        <v>6259336.7300000004</v>
      </c>
      <c r="K42" s="16" t="s">
        <v>27</v>
      </c>
      <c r="L42" s="16">
        <v>43140</v>
      </c>
      <c r="M42" s="16" t="s">
        <v>2380</v>
      </c>
      <c r="O42" s="16">
        <v>1</v>
      </c>
    </row>
    <row r="43" spans="1:17" s="16" customFormat="1" x14ac:dyDescent="0.25">
      <c r="A43" s="16">
        <v>8003879954</v>
      </c>
      <c r="B43" s="16">
        <v>16</v>
      </c>
      <c r="C43" s="16">
        <v>22112018</v>
      </c>
      <c r="D43" s="16">
        <v>341</v>
      </c>
      <c r="E43" s="16" t="s">
        <v>25</v>
      </c>
      <c r="F43" s="16">
        <v>9938</v>
      </c>
      <c r="G43" s="16" t="s">
        <v>2381</v>
      </c>
      <c r="H43" s="10">
        <v>2968</v>
      </c>
      <c r="I43" s="16" t="s">
        <v>26</v>
      </c>
      <c r="J43" s="10">
        <v>6259336.8300000001</v>
      </c>
      <c r="K43" s="16" t="s">
        <v>27</v>
      </c>
      <c r="L43" s="16">
        <v>43128</v>
      </c>
      <c r="M43" s="16" t="s">
        <v>2382</v>
      </c>
      <c r="O43" s="16">
        <v>1</v>
      </c>
      <c r="P43" s="16" t="s">
        <v>2383</v>
      </c>
      <c r="Q43" s="16" t="s">
        <v>2384</v>
      </c>
    </row>
    <row r="44" spans="1:17" s="16" customFormat="1" x14ac:dyDescent="0.25">
      <c r="A44" s="16">
        <v>8003879954</v>
      </c>
      <c r="B44" s="16">
        <v>15</v>
      </c>
      <c r="C44" s="16">
        <v>22112018</v>
      </c>
      <c r="D44" s="16">
        <v>489</v>
      </c>
      <c r="E44" s="16" t="s">
        <v>31</v>
      </c>
      <c r="F44" s="16">
        <v>9938</v>
      </c>
      <c r="G44" s="16" t="s">
        <v>2381</v>
      </c>
      <c r="H44" s="10">
        <v>0.1</v>
      </c>
      <c r="I44" s="16" t="s">
        <v>26</v>
      </c>
      <c r="J44" s="10">
        <v>6262304.8300000001</v>
      </c>
      <c r="K44" s="16" t="s">
        <v>27</v>
      </c>
      <c r="L44" s="16">
        <v>43128</v>
      </c>
      <c r="M44" s="16" t="s">
        <v>2385</v>
      </c>
      <c r="O44" s="16">
        <v>1</v>
      </c>
    </row>
    <row r="45" spans="1:17" s="16" customFormat="1" x14ac:dyDescent="0.25">
      <c r="A45" s="16">
        <v>8003879954</v>
      </c>
      <c r="B45" s="16">
        <v>14</v>
      </c>
      <c r="C45" s="16">
        <v>22112018</v>
      </c>
      <c r="D45" s="16">
        <v>341</v>
      </c>
      <c r="E45" s="16" t="s">
        <v>25</v>
      </c>
      <c r="F45" s="16">
        <v>9938</v>
      </c>
      <c r="G45" s="16" t="s">
        <v>2386</v>
      </c>
      <c r="H45" s="10">
        <v>3180</v>
      </c>
      <c r="I45" s="16" t="s">
        <v>26</v>
      </c>
      <c r="J45" s="10">
        <v>6262304.9299999997</v>
      </c>
      <c r="K45" s="16" t="s">
        <v>27</v>
      </c>
      <c r="L45" s="16">
        <v>43124</v>
      </c>
      <c r="M45" s="16" t="s">
        <v>782</v>
      </c>
      <c r="O45" s="16">
        <v>1</v>
      </c>
      <c r="P45" s="16" t="s">
        <v>2387</v>
      </c>
      <c r="Q45" s="16" t="s">
        <v>2388</v>
      </c>
    </row>
    <row r="46" spans="1:17" s="16" customFormat="1" x14ac:dyDescent="0.25">
      <c r="A46" s="16">
        <v>8003879954</v>
      </c>
      <c r="B46" s="16">
        <v>13</v>
      </c>
      <c r="C46" s="16">
        <v>22112018</v>
      </c>
      <c r="D46" s="16">
        <v>489</v>
      </c>
      <c r="E46" s="16" t="s">
        <v>31</v>
      </c>
      <c r="F46" s="16">
        <v>9938</v>
      </c>
      <c r="G46" s="16" t="s">
        <v>2386</v>
      </c>
      <c r="H46" s="10">
        <v>0.1</v>
      </c>
      <c r="I46" s="16" t="s">
        <v>26</v>
      </c>
      <c r="J46" s="10">
        <v>6265484.9299999997</v>
      </c>
      <c r="K46" s="16" t="s">
        <v>27</v>
      </c>
      <c r="L46" s="16">
        <v>43124</v>
      </c>
      <c r="M46" s="16" t="s">
        <v>2389</v>
      </c>
      <c r="O46" s="16">
        <v>1</v>
      </c>
    </row>
    <row r="47" spans="1:17" s="16" customFormat="1" x14ac:dyDescent="0.25">
      <c r="A47" s="16">
        <v>8003879954</v>
      </c>
      <c r="B47" s="16">
        <v>12</v>
      </c>
      <c r="C47" s="16">
        <v>22112018</v>
      </c>
      <c r="D47" s="16">
        <v>341</v>
      </c>
      <c r="E47" s="16" t="s">
        <v>25</v>
      </c>
      <c r="F47" s="16">
        <v>9938</v>
      </c>
      <c r="G47" s="16" t="s">
        <v>2390</v>
      </c>
      <c r="H47" s="10">
        <v>3710</v>
      </c>
      <c r="I47" s="16" t="s">
        <v>26</v>
      </c>
      <c r="J47" s="10">
        <v>6265485.0300000003</v>
      </c>
      <c r="K47" s="16" t="s">
        <v>27</v>
      </c>
      <c r="L47" s="16">
        <v>43118</v>
      </c>
      <c r="M47" s="16" t="s">
        <v>268</v>
      </c>
      <c r="O47" s="16">
        <v>1</v>
      </c>
      <c r="P47" s="16" t="s">
        <v>2391</v>
      </c>
      <c r="Q47" s="16" t="s">
        <v>2392</v>
      </c>
    </row>
    <row r="48" spans="1:17" s="16" customFormat="1" x14ac:dyDescent="0.25">
      <c r="A48" s="16">
        <v>8003879954</v>
      </c>
      <c r="B48" s="16">
        <v>11</v>
      </c>
      <c r="C48" s="16">
        <v>22112018</v>
      </c>
      <c r="D48" s="16">
        <v>489</v>
      </c>
      <c r="E48" s="16" t="s">
        <v>31</v>
      </c>
      <c r="F48" s="16">
        <v>9938</v>
      </c>
      <c r="G48" s="16" t="s">
        <v>2390</v>
      </c>
      <c r="H48" s="10">
        <v>0.1</v>
      </c>
      <c r="I48" s="16" t="s">
        <v>26</v>
      </c>
      <c r="J48" s="10">
        <v>6269195.0300000003</v>
      </c>
      <c r="K48" s="16" t="s">
        <v>27</v>
      </c>
      <c r="L48" s="16">
        <v>43118</v>
      </c>
      <c r="M48" s="16" t="s">
        <v>2393</v>
      </c>
      <c r="O48" s="16">
        <v>1</v>
      </c>
    </row>
    <row r="49" spans="1:18" s="16" customFormat="1" x14ac:dyDescent="0.25">
      <c r="A49" s="16">
        <v>8003879954</v>
      </c>
      <c r="B49" s="16">
        <v>10</v>
      </c>
      <c r="C49" s="16">
        <v>22112018</v>
      </c>
      <c r="D49" s="16">
        <v>341</v>
      </c>
      <c r="E49" s="16" t="s">
        <v>25</v>
      </c>
      <c r="F49" s="16">
        <v>9938</v>
      </c>
      <c r="G49" s="16" t="s">
        <v>2394</v>
      </c>
      <c r="H49" s="10">
        <v>4243</v>
      </c>
      <c r="I49" s="16" t="s">
        <v>26</v>
      </c>
      <c r="J49" s="10">
        <v>6269195.1299999999</v>
      </c>
      <c r="K49" s="16" t="s">
        <v>27</v>
      </c>
      <c r="L49" s="16">
        <v>43111</v>
      </c>
      <c r="M49" s="16" t="s">
        <v>408</v>
      </c>
      <c r="O49" s="16">
        <v>1</v>
      </c>
      <c r="P49" s="16" t="s">
        <v>2395</v>
      </c>
      <c r="Q49" s="16" t="s">
        <v>410</v>
      </c>
    </row>
    <row r="50" spans="1:18" s="16" customFormat="1" x14ac:dyDescent="0.25">
      <c r="A50" s="16">
        <v>8003879954</v>
      </c>
      <c r="B50" s="16">
        <v>9</v>
      </c>
      <c r="C50" s="16">
        <v>22112018</v>
      </c>
      <c r="D50" s="16">
        <v>489</v>
      </c>
      <c r="E50" s="16" t="s">
        <v>31</v>
      </c>
      <c r="F50" s="16">
        <v>9938</v>
      </c>
      <c r="G50" s="16" t="s">
        <v>2394</v>
      </c>
      <c r="H50" s="10">
        <v>0.1</v>
      </c>
      <c r="I50" s="16" t="s">
        <v>26</v>
      </c>
      <c r="J50" s="10">
        <v>6273438.1299999999</v>
      </c>
      <c r="K50" s="16" t="s">
        <v>27</v>
      </c>
      <c r="L50" s="16">
        <v>43111</v>
      </c>
      <c r="M50" s="16" t="s">
        <v>2396</v>
      </c>
      <c r="O50" s="16">
        <v>1</v>
      </c>
    </row>
    <row r="51" spans="1:18" s="16" customFormat="1" x14ac:dyDescent="0.25">
      <c r="A51" s="16">
        <v>8003879954</v>
      </c>
      <c r="B51" s="16">
        <v>8</v>
      </c>
      <c r="C51" s="16">
        <v>22112018</v>
      </c>
      <c r="D51" s="16">
        <v>341</v>
      </c>
      <c r="E51" s="16" t="s">
        <v>25</v>
      </c>
      <c r="F51" s="16">
        <v>9938</v>
      </c>
      <c r="G51" s="16" t="s">
        <v>2397</v>
      </c>
      <c r="H51" s="10">
        <v>5065</v>
      </c>
      <c r="I51" s="16" t="s">
        <v>26</v>
      </c>
      <c r="J51" s="10">
        <v>6273438.2300000004</v>
      </c>
      <c r="K51" s="16" t="s">
        <v>27</v>
      </c>
      <c r="L51" s="16">
        <v>43103</v>
      </c>
      <c r="M51" s="16" t="s">
        <v>714</v>
      </c>
      <c r="O51" s="16">
        <v>1</v>
      </c>
      <c r="P51" s="16" t="s">
        <v>2398</v>
      </c>
      <c r="Q51" s="16" t="s">
        <v>2399</v>
      </c>
    </row>
    <row r="52" spans="1:18" s="16" customFormat="1" x14ac:dyDescent="0.25">
      <c r="A52" s="16">
        <v>8003879954</v>
      </c>
      <c r="B52" s="16">
        <v>7</v>
      </c>
      <c r="C52" s="16">
        <v>22112018</v>
      </c>
      <c r="D52" s="16">
        <v>489</v>
      </c>
      <c r="E52" s="16" t="s">
        <v>31</v>
      </c>
      <c r="F52" s="16">
        <v>9938</v>
      </c>
      <c r="G52" s="16" t="s">
        <v>2397</v>
      </c>
      <c r="H52" s="10">
        <v>0.1</v>
      </c>
      <c r="I52" s="16" t="s">
        <v>26</v>
      </c>
      <c r="J52" s="10">
        <v>6278503.2300000004</v>
      </c>
      <c r="K52" s="16" t="s">
        <v>27</v>
      </c>
      <c r="L52" s="16">
        <v>43103</v>
      </c>
      <c r="M52" s="16" t="s">
        <v>2400</v>
      </c>
      <c r="O52" s="16">
        <v>1</v>
      </c>
    </row>
    <row r="53" spans="1:18" s="16" customFormat="1" x14ac:dyDescent="0.25">
      <c r="A53" s="16">
        <v>8003879954</v>
      </c>
      <c r="B53" s="16">
        <v>6</v>
      </c>
      <c r="C53" s="16">
        <v>22112018</v>
      </c>
      <c r="D53" s="16">
        <v>341</v>
      </c>
      <c r="E53" s="16" t="s">
        <v>25</v>
      </c>
      <c r="F53" s="16">
        <v>9938</v>
      </c>
      <c r="G53" s="16" t="s">
        <v>2401</v>
      </c>
      <c r="H53" s="10">
        <v>6002</v>
      </c>
      <c r="I53" s="16" t="s">
        <v>26</v>
      </c>
      <c r="J53" s="10">
        <v>6278503.3300000001</v>
      </c>
      <c r="K53" s="16" t="s">
        <v>27</v>
      </c>
      <c r="L53" s="16">
        <v>43058</v>
      </c>
      <c r="M53" s="16" t="s">
        <v>263</v>
      </c>
      <c r="O53" s="16">
        <v>1</v>
      </c>
      <c r="P53" s="16" t="s">
        <v>2402</v>
      </c>
      <c r="Q53" s="16" t="s">
        <v>2403</v>
      </c>
    </row>
    <row r="54" spans="1:18" s="16" customFormat="1" x14ac:dyDescent="0.25">
      <c r="A54" s="16">
        <v>8003879954</v>
      </c>
      <c r="B54" s="16">
        <v>5</v>
      </c>
      <c r="C54" s="16">
        <v>22112018</v>
      </c>
      <c r="D54" s="16">
        <v>489</v>
      </c>
      <c r="E54" s="16" t="s">
        <v>31</v>
      </c>
      <c r="F54" s="16">
        <v>9938</v>
      </c>
      <c r="G54" s="16" t="s">
        <v>2401</v>
      </c>
      <c r="H54" s="10">
        <v>0.1</v>
      </c>
      <c r="I54" s="16" t="s">
        <v>26</v>
      </c>
      <c r="J54" s="10">
        <v>6284505.3300000001</v>
      </c>
      <c r="K54" s="16" t="s">
        <v>27</v>
      </c>
      <c r="L54" s="16">
        <v>43058</v>
      </c>
      <c r="M54" s="16" t="s">
        <v>2404</v>
      </c>
      <c r="O54" s="16">
        <v>1</v>
      </c>
    </row>
    <row r="55" spans="1:18" s="16" customFormat="1" x14ac:dyDescent="0.25">
      <c r="A55" s="16">
        <v>8003879954</v>
      </c>
      <c r="B55" s="16">
        <v>4</v>
      </c>
      <c r="C55" s="16">
        <v>22112018</v>
      </c>
      <c r="D55" s="16">
        <v>341</v>
      </c>
      <c r="E55" s="16" t="s">
        <v>25</v>
      </c>
      <c r="F55" s="16">
        <v>9938</v>
      </c>
      <c r="G55" s="16" t="s">
        <v>2405</v>
      </c>
      <c r="H55" s="10">
        <v>6496</v>
      </c>
      <c r="I55" s="16" t="s">
        <v>26</v>
      </c>
      <c r="J55" s="10">
        <v>6284505.4299999997</v>
      </c>
      <c r="K55" s="16" t="s">
        <v>27</v>
      </c>
      <c r="L55" s="16">
        <v>43053</v>
      </c>
      <c r="M55" s="16" t="s">
        <v>2406</v>
      </c>
      <c r="O55" s="16">
        <v>1</v>
      </c>
      <c r="P55" s="16" t="s">
        <v>2407</v>
      </c>
      <c r="Q55" s="16" t="s">
        <v>2408</v>
      </c>
    </row>
    <row r="56" spans="1:18" s="16" customFormat="1" x14ac:dyDescent="0.25">
      <c r="A56" s="16">
        <v>8003879954</v>
      </c>
      <c r="B56" s="16">
        <v>3</v>
      </c>
      <c r="C56" s="16">
        <v>22112018</v>
      </c>
      <c r="D56" s="16">
        <v>489</v>
      </c>
      <c r="E56" s="16" t="s">
        <v>31</v>
      </c>
      <c r="F56" s="16">
        <v>9938</v>
      </c>
      <c r="G56" s="16" t="s">
        <v>2405</v>
      </c>
      <c r="H56" s="10">
        <v>0.1</v>
      </c>
      <c r="I56" s="16" t="s">
        <v>26</v>
      </c>
      <c r="J56" s="10">
        <v>6291001.4299999997</v>
      </c>
      <c r="K56" s="16" t="s">
        <v>27</v>
      </c>
      <c r="L56" s="16">
        <v>43053</v>
      </c>
      <c r="M56" s="16" t="s">
        <v>2409</v>
      </c>
      <c r="O56" s="16">
        <v>1</v>
      </c>
    </row>
    <row r="57" spans="1:18" s="16" customFormat="1" x14ac:dyDescent="0.25">
      <c r="A57" s="16">
        <v>8003879954</v>
      </c>
      <c r="B57" s="16">
        <v>2</v>
      </c>
      <c r="C57" s="16">
        <v>22112018</v>
      </c>
      <c r="D57" s="16">
        <v>341</v>
      </c>
      <c r="E57" s="16" t="s">
        <v>25</v>
      </c>
      <c r="F57" s="16">
        <v>9938</v>
      </c>
      <c r="G57" s="16" t="s">
        <v>2410</v>
      </c>
      <c r="H57" s="10">
        <v>9964</v>
      </c>
      <c r="I57" s="16" t="s">
        <v>26</v>
      </c>
      <c r="J57" s="10">
        <v>6291001.5300000003</v>
      </c>
      <c r="K57" s="16" t="s">
        <v>27</v>
      </c>
      <c r="L57" s="16">
        <v>43040</v>
      </c>
      <c r="M57" s="16" t="s">
        <v>2201</v>
      </c>
      <c r="O57" s="16">
        <v>1</v>
      </c>
      <c r="P57" s="16" t="s">
        <v>2411</v>
      </c>
      <c r="Q57" s="16" t="s">
        <v>2412</v>
      </c>
    </row>
    <row r="58" spans="1:18" s="16" customFormat="1" x14ac:dyDescent="0.25">
      <c r="A58" s="16">
        <v>8003879954</v>
      </c>
      <c r="B58" s="16">
        <v>1</v>
      </c>
      <c r="C58" s="16">
        <v>22112018</v>
      </c>
      <c r="D58" s="16">
        <v>489</v>
      </c>
      <c r="E58" s="16" t="s">
        <v>31</v>
      </c>
      <c r="F58" s="16">
        <v>9938</v>
      </c>
      <c r="G58" s="16" t="s">
        <v>2410</v>
      </c>
      <c r="H58" s="10">
        <v>0.1</v>
      </c>
      <c r="I58" s="16" t="s">
        <v>26</v>
      </c>
      <c r="J58" s="10">
        <v>6300965.5300000003</v>
      </c>
      <c r="K58" s="16" t="s">
        <v>27</v>
      </c>
      <c r="L58" s="16">
        <v>43040</v>
      </c>
      <c r="M58" s="16" t="s">
        <v>2413</v>
      </c>
      <c r="O58" s="16">
        <v>1</v>
      </c>
    </row>
    <row r="59" spans="1:18" s="16" customFormat="1" x14ac:dyDescent="0.25">
      <c r="A59" s="16">
        <v>8003879954</v>
      </c>
      <c r="B59" s="16">
        <v>1</v>
      </c>
      <c r="C59" s="16">
        <v>19112018</v>
      </c>
      <c r="D59" s="16">
        <v>174</v>
      </c>
      <c r="E59" s="16" t="s">
        <v>159</v>
      </c>
      <c r="F59" s="16">
        <v>2001</v>
      </c>
      <c r="G59" s="16" t="s">
        <v>2414</v>
      </c>
      <c r="H59" s="10">
        <v>1039</v>
      </c>
      <c r="I59" s="16" t="s">
        <v>27</v>
      </c>
      <c r="J59" s="10">
        <v>6300965.6299999999</v>
      </c>
      <c r="K59" s="16" t="s">
        <v>27</v>
      </c>
      <c r="L59" s="16">
        <v>191257</v>
      </c>
      <c r="M59" s="16" t="s">
        <v>2415</v>
      </c>
      <c r="O59" s="16">
        <v>1</v>
      </c>
      <c r="P59" s="16" t="s">
        <v>2415</v>
      </c>
      <c r="Q59" s="16" t="s">
        <v>2416</v>
      </c>
      <c r="R59" s="16" t="s">
        <v>2417</v>
      </c>
    </row>
    <row r="60" spans="1:18" s="16" customFormat="1" x14ac:dyDescent="0.25">
      <c r="A60" s="16">
        <v>8003879954</v>
      </c>
      <c r="B60" s="16">
        <v>2</v>
      </c>
      <c r="C60" s="16">
        <v>15112018</v>
      </c>
      <c r="D60" s="16">
        <v>819</v>
      </c>
      <c r="E60" s="16" t="s">
        <v>35</v>
      </c>
      <c r="H60" s="10">
        <v>0.5</v>
      </c>
      <c r="I60" s="16" t="s">
        <v>26</v>
      </c>
      <c r="J60" s="10">
        <v>6299926.6299999999</v>
      </c>
      <c r="K60" s="16" t="s">
        <v>27</v>
      </c>
      <c r="L60" s="16">
        <v>11038</v>
      </c>
      <c r="M60" s="16" t="s">
        <v>32</v>
      </c>
      <c r="O60" s="16">
        <v>1</v>
      </c>
    </row>
    <row r="61" spans="1:18" s="16" customFormat="1" x14ac:dyDescent="0.25">
      <c r="A61" s="16">
        <v>8003879954</v>
      </c>
      <c r="B61" s="16">
        <v>1</v>
      </c>
      <c r="C61" s="16">
        <v>15112018</v>
      </c>
      <c r="D61" s="16">
        <v>321</v>
      </c>
      <c r="E61" s="16" t="s">
        <v>36</v>
      </c>
      <c r="F61" s="16">
        <v>0</v>
      </c>
      <c r="G61" s="16" t="s">
        <v>2418</v>
      </c>
      <c r="H61" s="10">
        <v>11491.7</v>
      </c>
      <c r="I61" s="16" t="s">
        <v>26</v>
      </c>
      <c r="J61" s="10">
        <v>6299927.1299999999</v>
      </c>
      <c r="K61" s="16" t="s">
        <v>27</v>
      </c>
      <c r="L61" s="16">
        <v>11000</v>
      </c>
      <c r="M61" s="16" t="s">
        <v>32</v>
      </c>
      <c r="O61" s="16">
        <v>1</v>
      </c>
    </row>
    <row r="62" spans="1:18" s="16" customFormat="1" x14ac:dyDescent="0.25">
      <c r="A62" s="16">
        <v>8003879954</v>
      </c>
      <c r="B62" s="16">
        <v>4</v>
      </c>
      <c r="C62" s="16">
        <v>14112018</v>
      </c>
      <c r="D62" s="16">
        <v>819</v>
      </c>
      <c r="E62" s="16" t="s">
        <v>35</v>
      </c>
      <c r="H62" s="10">
        <v>1</v>
      </c>
      <c r="I62" s="16" t="s">
        <v>26</v>
      </c>
      <c r="J62" s="10">
        <v>6311418.8300000001</v>
      </c>
      <c r="K62" s="16" t="s">
        <v>27</v>
      </c>
      <c r="L62" s="16">
        <v>5856</v>
      </c>
      <c r="M62" s="16" t="s">
        <v>32</v>
      </c>
      <c r="O62" s="16">
        <v>1</v>
      </c>
    </row>
    <row r="63" spans="1:18" s="16" customFormat="1" x14ac:dyDescent="0.25">
      <c r="A63" s="16">
        <v>8003879954</v>
      </c>
      <c r="B63" s="16">
        <v>3</v>
      </c>
      <c r="C63" s="16">
        <v>14112018</v>
      </c>
      <c r="D63" s="16">
        <v>323</v>
      </c>
      <c r="E63" s="16" t="s">
        <v>50</v>
      </c>
      <c r="F63" s="16">
        <v>0</v>
      </c>
      <c r="G63" s="16" t="s">
        <v>2419</v>
      </c>
      <c r="H63" s="10">
        <v>170</v>
      </c>
      <c r="I63" s="16" t="s">
        <v>26</v>
      </c>
      <c r="J63" s="10">
        <v>6311419.8300000001</v>
      </c>
      <c r="K63" s="16" t="s">
        <v>27</v>
      </c>
      <c r="L63" s="16">
        <v>5759</v>
      </c>
      <c r="M63" s="16" t="s">
        <v>32</v>
      </c>
      <c r="O63" s="16">
        <v>1</v>
      </c>
    </row>
    <row r="64" spans="1:18" s="16" customFormat="1" x14ac:dyDescent="0.25">
      <c r="A64" s="16">
        <v>8003879954</v>
      </c>
      <c r="B64" s="16">
        <v>2</v>
      </c>
      <c r="C64" s="16">
        <v>14112018</v>
      </c>
      <c r="D64" s="16">
        <v>323</v>
      </c>
      <c r="E64" s="16" t="s">
        <v>50</v>
      </c>
      <c r="F64" s="16">
        <v>0</v>
      </c>
      <c r="G64" s="16" t="s">
        <v>2420</v>
      </c>
      <c r="H64" s="10">
        <v>14950</v>
      </c>
      <c r="I64" s="16" t="s">
        <v>26</v>
      </c>
      <c r="J64" s="10">
        <v>6311589.8300000001</v>
      </c>
      <c r="K64" s="16" t="s">
        <v>27</v>
      </c>
      <c r="L64" s="16">
        <v>5759</v>
      </c>
      <c r="M64" s="16" t="s">
        <v>32</v>
      </c>
      <c r="O64" s="16">
        <v>1</v>
      </c>
    </row>
    <row r="65" spans="1:18" s="16" customFormat="1" x14ac:dyDescent="0.25">
      <c r="A65" s="16">
        <v>8003879954</v>
      </c>
      <c r="B65" s="16">
        <v>1</v>
      </c>
      <c r="C65" s="16">
        <v>14112018</v>
      </c>
      <c r="D65" s="16">
        <v>101</v>
      </c>
      <c r="E65" s="16" t="s">
        <v>1216</v>
      </c>
      <c r="F65" s="16">
        <v>722</v>
      </c>
      <c r="G65" s="16" t="s">
        <v>2421</v>
      </c>
      <c r="H65" s="10">
        <v>145.6</v>
      </c>
      <c r="I65" s="16" t="s">
        <v>27</v>
      </c>
      <c r="J65" s="10">
        <v>6326539.8300000001</v>
      </c>
      <c r="K65" s="16" t="s">
        <v>27</v>
      </c>
      <c r="L65" s="16">
        <v>114219</v>
      </c>
      <c r="M65" s="16" t="s">
        <v>2422</v>
      </c>
      <c r="O65" s="16">
        <v>1</v>
      </c>
    </row>
    <row r="66" spans="1:18" s="16" customFormat="1" x14ac:dyDescent="0.25">
      <c r="A66" s="16">
        <v>8003879954</v>
      </c>
      <c r="B66" s="16">
        <v>1</v>
      </c>
      <c r="C66" s="16">
        <v>12112018</v>
      </c>
      <c r="D66" s="16">
        <v>5</v>
      </c>
      <c r="E66" s="16" t="s">
        <v>54</v>
      </c>
      <c r="H66" s="10">
        <v>1200000</v>
      </c>
      <c r="I66" s="16" t="s">
        <v>27</v>
      </c>
      <c r="J66" s="10">
        <v>6326394.2300000004</v>
      </c>
      <c r="K66" s="16" t="s">
        <v>27</v>
      </c>
      <c r="L66" s="16">
        <v>103344</v>
      </c>
      <c r="M66" s="16" t="s">
        <v>2423</v>
      </c>
      <c r="O66" s="16">
        <v>1</v>
      </c>
      <c r="P66" s="16" t="s">
        <v>2424</v>
      </c>
      <c r="Q66" s="16" t="s">
        <v>381</v>
      </c>
      <c r="R66" s="16" t="s">
        <v>382</v>
      </c>
    </row>
    <row r="67" spans="1:18" s="16" customFormat="1" x14ac:dyDescent="0.25">
      <c r="A67" s="16">
        <v>8003879954</v>
      </c>
      <c r="B67" s="16">
        <v>6</v>
      </c>
      <c r="C67" s="16">
        <v>9112018</v>
      </c>
      <c r="D67" s="16">
        <v>415</v>
      </c>
      <c r="E67" s="16" t="s">
        <v>48</v>
      </c>
      <c r="F67" s="16">
        <v>72</v>
      </c>
      <c r="G67" s="16" t="s">
        <v>2425</v>
      </c>
      <c r="H67" s="10">
        <v>10</v>
      </c>
      <c r="I67" s="16" t="s">
        <v>26</v>
      </c>
      <c r="J67" s="10">
        <v>5126394.2300000004</v>
      </c>
      <c r="K67" s="16" t="s">
        <v>27</v>
      </c>
      <c r="L67" s="16">
        <v>162237</v>
      </c>
      <c r="M67" s="16" t="s">
        <v>2426</v>
      </c>
      <c r="O67" s="16">
        <v>1</v>
      </c>
    </row>
    <row r="68" spans="1:18" s="16" customFormat="1" x14ac:dyDescent="0.25">
      <c r="A68" s="16">
        <v>8003879954</v>
      </c>
      <c r="B68" s="16">
        <v>5</v>
      </c>
      <c r="C68" s="16">
        <v>9112018</v>
      </c>
      <c r="D68" s="16">
        <v>349</v>
      </c>
      <c r="E68" s="16" t="s">
        <v>49</v>
      </c>
      <c r="F68" s="16">
        <v>72</v>
      </c>
      <c r="G68" s="16" t="s">
        <v>2425</v>
      </c>
      <c r="H68" s="10">
        <v>66972.02</v>
      </c>
      <c r="I68" s="16" t="s">
        <v>26</v>
      </c>
      <c r="J68" s="10">
        <v>5126404.2300000004</v>
      </c>
      <c r="K68" s="16" t="s">
        <v>27</v>
      </c>
      <c r="L68" s="16">
        <v>162237</v>
      </c>
      <c r="M68" s="16" t="s">
        <v>2426</v>
      </c>
      <c r="O68" s="16">
        <v>1</v>
      </c>
    </row>
    <row r="69" spans="1:18" s="16" customFormat="1" x14ac:dyDescent="0.25">
      <c r="A69" s="16">
        <v>8003879954</v>
      </c>
      <c r="B69" s="16">
        <v>4</v>
      </c>
      <c r="C69" s="16">
        <v>9112018</v>
      </c>
      <c r="D69" s="16">
        <v>5</v>
      </c>
      <c r="E69" s="16" t="s">
        <v>54</v>
      </c>
      <c r="H69" s="10">
        <v>800000</v>
      </c>
      <c r="I69" s="16" t="s">
        <v>27</v>
      </c>
      <c r="J69" s="10">
        <v>5193376.25</v>
      </c>
      <c r="K69" s="16" t="s">
        <v>27</v>
      </c>
      <c r="L69" s="16">
        <v>93224</v>
      </c>
      <c r="M69" s="16" t="s">
        <v>2423</v>
      </c>
      <c r="O69" s="16">
        <v>1</v>
      </c>
      <c r="P69" s="16" t="s">
        <v>2427</v>
      </c>
      <c r="Q69" s="16" t="s">
        <v>381</v>
      </c>
      <c r="R69" s="16" t="s">
        <v>382</v>
      </c>
    </row>
    <row r="70" spans="1:18" s="16" customFormat="1" x14ac:dyDescent="0.25">
      <c r="A70" s="16">
        <v>8003879954</v>
      </c>
      <c r="B70" s="16">
        <v>3</v>
      </c>
      <c r="C70" s="16">
        <v>9112018</v>
      </c>
      <c r="D70" s="16">
        <v>5</v>
      </c>
      <c r="E70" s="16" t="s">
        <v>54</v>
      </c>
      <c r="H70" s="10">
        <v>1500000</v>
      </c>
      <c r="I70" s="16" t="s">
        <v>27</v>
      </c>
      <c r="J70" s="10">
        <v>4393376.25</v>
      </c>
      <c r="K70" s="16" t="s">
        <v>27</v>
      </c>
      <c r="L70" s="16">
        <v>93210</v>
      </c>
      <c r="M70" s="16" t="s">
        <v>2423</v>
      </c>
      <c r="O70" s="16">
        <v>1</v>
      </c>
      <c r="P70" s="16" t="s">
        <v>2428</v>
      </c>
      <c r="Q70" s="16" t="s">
        <v>381</v>
      </c>
      <c r="R70" s="16" t="s">
        <v>382</v>
      </c>
    </row>
    <row r="71" spans="1:18" s="16" customFormat="1" x14ac:dyDescent="0.25">
      <c r="A71" s="16">
        <v>8003879954</v>
      </c>
      <c r="B71" s="16">
        <v>2</v>
      </c>
      <c r="C71" s="16">
        <v>9112018</v>
      </c>
      <c r="D71" s="16">
        <v>5</v>
      </c>
      <c r="E71" s="16" t="s">
        <v>54</v>
      </c>
      <c r="H71" s="10">
        <v>400000</v>
      </c>
      <c r="I71" s="16" t="s">
        <v>27</v>
      </c>
      <c r="J71" s="10">
        <v>2893376.25</v>
      </c>
      <c r="K71" s="16" t="s">
        <v>27</v>
      </c>
      <c r="L71" s="16">
        <v>83910</v>
      </c>
      <c r="M71" s="16" t="s">
        <v>490</v>
      </c>
      <c r="O71" s="16">
        <v>1</v>
      </c>
      <c r="P71" s="16" t="s">
        <v>491</v>
      </c>
      <c r="Q71" s="16" t="s">
        <v>176</v>
      </c>
      <c r="R71" s="16" t="s">
        <v>55</v>
      </c>
    </row>
    <row r="72" spans="1:18" s="16" customFormat="1" x14ac:dyDescent="0.25">
      <c r="A72" s="16">
        <v>8003879954</v>
      </c>
      <c r="B72" s="16">
        <v>1</v>
      </c>
      <c r="C72" s="16">
        <v>9112018</v>
      </c>
      <c r="D72" s="16">
        <v>345</v>
      </c>
      <c r="E72" s="16" t="s">
        <v>51</v>
      </c>
      <c r="F72" s="16">
        <v>9938</v>
      </c>
      <c r="G72" s="16" t="s">
        <v>2429</v>
      </c>
      <c r="H72" s="10">
        <v>1053.3</v>
      </c>
      <c r="I72" s="16" t="s">
        <v>26</v>
      </c>
      <c r="J72" s="10">
        <v>2493376.25</v>
      </c>
      <c r="K72" s="16" t="s">
        <v>27</v>
      </c>
      <c r="L72" s="16">
        <v>80232</v>
      </c>
      <c r="M72" s="16" t="s">
        <v>2430</v>
      </c>
      <c r="O72" s="16">
        <v>1</v>
      </c>
      <c r="P72" s="16" t="s">
        <v>2431</v>
      </c>
      <c r="Q72" s="16" t="s">
        <v>2432</v>
      </c>
    </row>
    <row r="73" spans="1:18" s="16" customFormat="1" x14ac:dyDescent="0.25">
      <c r="A73" s="16">
        <v>8003879954</v>
      </c>
      <c r="B73" s="16">
        <v>2</v>
      </c>
      <c r="C73" s="16">
        <v>8112018</v>
      </c>
      <c r="D73" s="16">
        <v>819</v>
      </c>
      <c r="E73" s="16" t="s">
        <v>35</v>
      </c>
      <c r="H73" s="10">
        <v>0.5</v>
      </c>
      <c r="I73" s="16" t="s">
        <v>26</v>
      </c>
      <c r="J73" s="10">
        <v>2494429.5499999998</v>
      </c>
      <c r="K73" s="16" t="s">
        <v>27</v>
      </c>
      <c r="L73" s="16">
        <v>10203</v>
      </c>
      <c r="M73" s="16" t="s">
        <v>32</v>
      </c>
      <c r="O73" s="16">
        <v>1</v>
      </c>
    </row>
    <row r="74" spans="1:18" s="16" customFormat="1" x14ac:dyDescent="0.25">
      <c r="A74" s="16">
        <v>8003879954</v>
      </c>
      <c r="B74" s="16">
        <v>1</v>
      </c>
      <c r="C74" s="16">
        <v>8112018</v>
      </c>
      <c r="D74" s="16">
        <v>323</v>
      </c>
      <c r="E74" s="16" t="s">
        <v>50</v>
      </c>
      <c r="F74" s="16">
        <v>0</v>
      </c>
      <c r="G74" s="16" t="s">
        <v>2433</v>
      </c>
      <c r="H74" s="10">
        <v>231.4</v>
      </c>
      <c r="I74" s="16" t="s">
        <v>26</v>
      </c>
      <c r="J74" s="10">
        <v>2494430.0499999998</v>
      </c>
      <c r="K74" s="16" t="s">
        <v>27</v>
      </c>
      <c r="L74" s="16">
        <v>10117</v>
      </c>
      <c r="M74" s="16" t="s">
        <v>32</v>
      </c>
      <c r="O74" s="16">
        <v>1</v>
      </c>
    </row>
    <row r="75" spans="1:18" s="16" customFormat="1" x14ac:dyDescent="0.25">
      <c r="A75" s="16">
        <v>8003879954</v>
      </c>
      <c r="B75" s="16">
        <v>4</v>
      </c>
      <c r="C75" s="16">
        <v>5112018</v>
      </c>
      <c r="D75" s="16">
        <v>341</v>
      </c>
      <c r="E75" s="16" t="s">
        <v>25</v>
      </c>
      <c r="F75" s="16">
        <v>9938</v>
      </c>
      <c r="G75" s="16" t="s">
        <v>2434</v>
      </c>
      <c r="H75" s="10">
        <v>2500</v>
      </c>
      <c r="I75" s="16" t="s">
        <v>26</v>
      </c>
      <c r="J75" s="10">
        <v>2494661.4500000002</v>
      </c>
      <c r="K75" s="16" t="s">
        <v>27</v>
      </c>
      <c r="L75" s="16">
        <v>173502</v>
      </c>
      <c r="M75" s="16" t="s">
        <v>658</v>
      </c>
      <c r="O75" s="16">
        <v>1</v>
      </c>
      <c r="P75" s="16" t="s">
        <v>2435</v>
      </c>
      <c r="Q75" s="16" t="s">
        <v>2436</v>
      </c>
    </row>
    <row r="76" spans="1:18" s="16" customFormat="1" x14ac:dyDescent="0.25">
      <c r="A76" s="16">
        <v>8003879954</v>
      </c>
      <c r="B76" s="16">
        <v>3</v>
      </c>
      <c r="C76" s="16">
        <v>5112018</v>
      </c>
      <c r="D76" s="16">
        <v>489</v>
      </c>
      <c r="E76" s="16" t="s">
        <v>31</v>
      </c>
      <c r="F76" s="16">
        <v>9938</v>
      </c>
      <c r="G76" s="16" t="s">
        <v>2434</v>
      </c>
      <c r="H76" s="10">
        <v>0.1</v>
      </c>
      <c r="I76" s="16" t="s">
        <v>26</v>
      </c>
      <c r="J76" s="10">
        <v>2497161.4500000002</v>
      </c>
      <c r="K76" s="16" t="s">
        <v>27</v>
      </c>
      <c r="L76" s="16">
        <v>173502</v>
      </c>
      <c r="M76" s="16" t="s">
        <v>2437</v>
      </c>
      <c r="O76" s="16">
        <v>1</v>
      </c>
    </row>
    <row r="77" spans="1:18" s="16" customFormat="1" x14ac:dyDescent="0.25">
      <c r="A77" s="16">
        <v>8003879954</v>
      </c>
      <c r="B77" s="16">
        <v>2</v>
      </c>
      <c r="C77" s="16">
        <v>5112018</v>
      </c>
      <c r="D77" s="16">
        <v>415</v>
      </c>
      <c r="E77" s="16" t="s">
        <v>48</v>
      </c>
      <c r="F77" s="16">
        <v>72</v>
      </c>
      <c r="G77" s="16" t="s">
        <v>2438</v>
      </c>
      <c r="H77" s="10">
        <v>30</v>
      </c>
      <c r="I77" s="16" t="s">
        <v>26</v>
      </c>
      <c r="J77" s="10">
        <v>2497161.5499999998</v>
      </c>
      <c r="K77" s="16" t="s">
        <v>27</v>
      </c>
      <c r="L77" s="16">
        <v>171356</v>
      </c>
      <c r="M77" s="16" t="s">
        <v>2439</v>
      </c>
      <c r="O77" s="16">
        <v>1</v>
      </c>
    </row>
    <row r="78" spans="1:18" s="16" customFormat="1" x14ac:dyDescent="0.25">
      <c r="A78" s="16">
        <v>8003879954</v>
      </c>
      <c r="B78" s="16">
        <v>1</v>
      </c>
      <c r="C78" s="16">
        <v>5112018</v>
      </c>
      <c r="D78" s="16">
        <v>349</v>
      </c>
      <c r="E78" s="16" t="s">
        <v>49</v>
      </c>
      <c r="F78" s="16">
        <v>72</v>
      </c>
      <c r="G78" s="16" t="s">
        <v>2438</v>
      </c>
      <c r="H78" s="10">
        <v>3632.52</v>
      </c>
      <c r="I78" s="16" t="s">
        <v>26</v>
      </c>
      <c r="J78" s="10">
        <v>2497191.5499999998</v>
      </c>
      <c r="K78" s="16" t="s">
        <v>27</v>
      </c>
      <c r="L78" s="16">
        <v>171356</v>
      </c>
      <c r="M78" s="16" t="s">
        <v>2439</v>
      </c>
      <c r="O78" s="16">
        <v>1</v>
      </c>
    </row>
    <row r="79" spans="1:18" s="16" customFormat="1" x14ac:dyDescent="0.25">
      <c r="A79" s="16">
        <v>8003879954</v>
      </c>
      <c r="B79" s="16">
        <v>21</v>
      </c>
      <c r="C79" s="16">
        <v>2112018</v>
      </c>
      <c r="D79" s="16">
        <v>819</v>
      </c>
      <c r="E79" s="16" t="s">
        <v>35</v>
      </c>
      <c r="H79" s="10">
        <v>1</v>
      </c>
      <c r="I79" s="16" t="s">
        <v>26</v>
      </c>
      <c r="J79" s="10">
        <v>2500824.0699999998</v>
      </c>
      <c r="K79" s="16" t="s">
        <v>27</v>
      </c>
      <c r="L79" s="16">
        <v>10155</v>
      </c>
      <c r="M79" s="16" t="s">
        <v>32</v>
      </c>
      <c r="O79" s="16">
        <v>1</v>
      </c>
    </row>
    <row r="80" spans="1:18" s="16" customFormat="1" x14ac:dyDescent="0.25">
      <c r="A80" s="16">
        <v>8003879954</v>
      </c>
      <c r="B80" s="16">
        <v>20</v>
      </c>
      <c r="C80" s="16">
        <v>2112018</v>
      </c>
      <c r="D80" s="16">
        <v>321</v>
      </c>
      <c r="E80" s="16" t="s">
        <v>36</v>
      </c>
      <c r="F80" s="16">
        <v>0</v>
      </c>
      <c r="G80" s="16" t="s">
        <v>2440</v>
      </c>
      <c r="H80" s="10">
        <v>501.6</v>
      </c>
      <c r="I80" s="16" t="s">
        <v>26</v>
      </c>
      <c r="J80" s="10">
        <v>2500825.0699999998</v>
      </c>
      <c r="K80" s="16" t="s">
        <v>27</v>
      </c>
      <c r="L80" s="16">
        <v>10038</v>
      </c>
      <c r="M80" s="16" t="s">
        <v>32</v>
      </c>
      <c r="O80" s="16">
        <v>1</v>
      </c>
    </row>
    <row r="81" spans="1:17" s="16" customFormat="1" x14ac:dyDescent="0.25">
      <c r="A81" s="16">
        <v>8003879954</v>
      </c>
      <c r="B81" s="16">
        <v>19</v>
      </c>
      <c r="C81" s="16">
        <v>2112018</v>
      </c>
      <c r="D81" s="16">
        <v>321</v>
      </c>
      <c r="E81" s="16" t="s">
        <v>36</v>
      </c>
      <c r="F81" s="16">
        <v>0</v>
      </c>
      <c r="G81" s="16" t="s">
        <v>2441</v>
      </c>
      <c r="H81" s="10">
        <v>170.15</v>
      </c>
      <c r="I81" s="16" t="s">
        <v>26</v>
      </c>
      <c r="J81" s="10">
        <v>2501326.67</v>
      </c>
      <c r="K81" s="16" t="s">
        <v>27</v>
      </c>
      <c r="L81" s="16">
        <v>10038</v>
      </c>
      <c r="M81" s="16" t="s">
        <v>32</v>
      </c>
      <c r="O81" s="16">
        <v>1</v>
      </c>
    </row>
    <row r="82" spans="1:17" s="16" customFormat="1" x14ac:dyDescent="0.25">
      <c r="A82" s="16">
        <v>8003879954</v>
      </c>
      <c r="B82" s="16">
        <v>18</v>
      </c>
      <c r="C82" s="16">
        <v>2112018</v>
      </c>
      <c r="D82" s="16">
        <v>415</v>
      </c>
      <c r="E82" s="16" t="s">
        <v>48</v>
      </c>
      <c r="F82" s="16">
        <v>72</v>
      </c>
      <c r="G82" s="16" t="s">
        <v>2442</v>
      </c>
      <c r="H82" s="10">
        <v>30</v>
      </c>
      <c r="I82" s="16" t="s">
        <v>26</v>
      </c>
      <c r="J82" s="10">
        <v>2501496.8199999998</v>
      </c>
      <c r="K82" s="16" t="s">
        <v>27</v>
      </c>
      <c r="L82" s="16">
        <v>164037</v>
      </c>
      <c r="M82" s="16" t="s">
        <v>2443</v>
      </c>
      <c r="O82" s="16">
        <v>1</v>
      </c>
    </row>
    <row r="83" spans="1:17" s="16" customFormat="1" x14ac:dyDescent="0.25">
      <c r="A83" s="16">
        <v>8003879954</v>
      </c>
      <c r="B83" s="16">
        <v>17</v>
      </c>
      <c r="C83" s="16">
        <v>2112018</v>
      </c>
      <c r="D83" s="16">
        <v>349</v>
      </c>
      <c r="E83" s="16" t="s">
        <v>49</v>
      </c>
      <c r="F83" s="16">
        <v>72</v>
      </c>
      <c r="G83" s="16" t="s">
        <v>2442</v>
      </c>
      <c r="H83" s="10">
        <v>34601.22</v>
      </c>
      <c r="I83" s="16" t="s">
        <v>26</v>
      </c>
      <c r="J83" s="10">
        <v>2501526.8199999998</v>
      </c>
      <c r="K83" s="16" t="s">
        <v>27</v>
      </c>
      <c r="L83" s="16">
        <v>164037</v>
      </c>
      <c r="M83" s="16" t="s">
        <v>2443</v>
      </c>
      <c r="O83" s="16">
        <v>1</v>
      </c>
    </row>
    <row r="84" spans="1:17" s="16" customFormat="1" x14ac:dyDescent="0.25">
      <c r="A84" s="16">
        <v>8003879954</v>
      </c>
      <c r="B84" s="16">
        <v>16</v>
      </c>
      <c r="C84" s="16">
        <v>2112018</v>
      </c>
      <c r="D84" s="16">
        <v>341</v>
      </c>
      <c r="E84" s="16" t="s">
        <v>25</v>
      </c>
      <c r="F84" s="16">
        <v>9938</v>
      </c>
      <c r="G84" s="16" t="s">
        <v>2444</v>
      </c>
      <c r="H84" s="10">
        <v>180</v>
      </c>
      <c r="I84" s="16" t="s">
        <v>26</v>
      </c>
      <c r="J84" s="10">
        <v>2536128.04</v>
      </c>
      <c r="K84" s="16" t="s">
        <v>27</v>
      </c>
      <c r="L84" s="16">
        <v>161731</v>
      </c>
      <c r="M84" s="16" t="s">
        <v>2445</v>
      </c>
      <c r="O84" s="16">
        <v>1</v>
      </c>
      <c r="P84" s="16" t="s">
        <v>2446</v>
      </c>
      <c r="Q84" s="16" t="s">
        <v>2447</v>
      </c>
    </row>
    <row r="85" spans="1:17" s="16" customFormat="1" x14ac:dyDescent="0.25">
      <c r="A85" s="16">
        <v>8003879954</v>
      </c>
      <c r="B85" s="16">
        <v>15</v>
      </c>
      <c r="C85" s="16">
        <v>2112018</v>
      </c>
      <c r="D85" s="16">
        <v>489</v>
      </c>
      <c r="E85" s="16" t="s">
        <v>31</v>
      </c>
      <c r="F85" s="16">
        <v>9938</v>
      </c>
      <c r="G85" s="16" t="s">
        <v>2444</v>
      </c>
      <c r="H85" s="10">
        <v>0.1</v>
      </c>
      <c r="I85" s="16" t="s">
        <v>26</v>
      </c>
      <c r="J85" s="10">
        <v>2536308.04</v>
      </c>
      <c r="K85" s="16" t="s">
        <v>27</v>
      </c>
      <c r="L85" s="16">
        <v>161731</v>
      </c>
      <c r="M85" s="16" t="s">
        <v>2448</v>
      </c>
      <c r="O85" s="16">
        <v>1</v>
      </c>
    </row>
    <row r="86" spans="1:17" s="16" customFormat="1" x14ac:dyDescent="0.25">
      <c r="A86" s="16">
        <v>8003879954</v>
      </c>
      <c r="B86" s="16">
        <v>14</v>
      </c>
      <c r="C86" s="16">
        <v>2112018</v>
      </c>
      <c r="D86" s="16">
        <v>341</v>
      </c>
      <c r="E86" s="16" t="s">
        <v>25</v>
      </c>
      <c r="F86" s="16">
        <v>9938</v>
      </c>
      <c r="G86" s="16" t="s">
        <v>2449</v>
      </c>
      <c r="H86" s="10">
        <v>240</v>
      </c>
      <c r="I86" s="16" t="s">
        <v>26</v>
      </c>
      <c r="J86" s="10">
        <v>2536308.14</v>
      </c>
      <c r="K86" s="16" t="s">
        <v>27</v>
      </c>
      <c r="L86" s="16">
        <v>161719</v>
      </c>
      <c r="M86" s="16" t="s">
        <v>245</v>
      </c>
      <c r="O86" s="16">
        <v>1</v>
      </c>
      <c r="P86" s="16" t="s">
        <v>2450</v>
      </c>
      <c r="Q86" s="16" t="s">
        <v>44</v>
      </c>
    </row>
    <row r="87" spans="1:17" s="16" customFormat="1" x14ac:dyDescent="0.25">
      <c r="A87" s="16">
        <v>8003879954</v>
      </c>
      <c r="B87" s="16">
        <v>13</v>
      </c>
      <c r="C87" s="16">
        <v>2112018</v>
      </c>
      <c r="D87" s="16">
        <v>489</v>
      </c>
      <c r="E87" s="16" t="s">
        <v>31</v>
      </c>
      <c r="F87" s="16">
        <v>9938</v>
      </c>
      <c r="G87" s="16" t="s">
        <v>2449</v>
      </c>
      <c r="H87" s="10">
        <v>0.1</v>
      </c>
      <c r="I87" s="16" t="s">
        <v>26</v>
      </c>
      <c r="J87" s="10">
        <v>2536548.14</v>
      </c>
      <c r="K87" s="16" t="s">
        <v>27</v>
      </c>
      <c r="L87" s="16">
        <v>161719</v>
      </c>
      <c r="M87" s="16" t="s">
        <v>2451</v>
      </c>
      <c r="O87" s="16">
        <v>1</v>
      </c>
    </row>
    <row r="88" spans="1:17" s="16" customFormat="1" x14ac:dyDescent="0.25">
      <c r="A88" s="16">
        <v>8003879954</v>
      </c>
      <c r="B88" s="16">
        <v>12</v>
      </c>
      <c r="C88" s="16">
        <v>2112018</v>
      </c>
      <c r="D88" s="16">
        <v>341</v>
      </c>
      <c r="E88" s="16" t="s">
        <v>25</v>
      </c>
      <c r="F88" s="16">
        <v>9938</v>
      </c>
      <c r="G88" s="16" t="s">
        <v>2452</v>
      </c>
      <c r="H88" s="10">
        <v>340</v>
      </c>
      <c r="I88" s="16" t="s">
        <v>26</v>
      </c>
      <c r="J88" s="10">
        <v>2536548.2400000002</v>
      </c>
      <c r="K88" s="16" t="s">
        <v>27</v>
      </c>
      <c r="L88" s="16">
        <v>161619</v>
      </c>
      <c r="M88" s="16" t="s">
        <v>47</v>
      </c>
      <c r="O88" s="16">
        <v>1</v>
      </c>
      <c r="P88" s="16" t="s">
        <v>2453</v>
      </c>
      <c r="Q88" s="16" t="s">
        <v>2454</v>
      </c>
    </row>
    <row r="89" spans="1:17" s="16" customFormat="1" x14ac:dyDescent="0.25">
      <c r="A89" s="16">
        <v>8003879954</v>
      </c>
      <c r="B89" s="16">
        <v>11</v>
      </c>
      <c r="C89" s="16">
        <v>2112018</v>
      </c>
      <c r="D89" s="16">
        <v>489</v>
      </c>
      <c r="E89" s="16" t="s">
        <v>31</v>
      </c>
      <c r="F89" s="16">
        <v>9938</v>
      </c>
      <c r="G89" s="16" t="s">
        <v>2452</v>
      </c>
      <c r="H89" s="10">
        <v>0.1</v>
      </c>
      <c r="I89" s="16" t="s">
        <v>26</v>
      </c>
      <c r="J89" s="10">
        <v>2536888.2400000002</v>
      </c>
      <c r="K89" s="16" t="s">
        <v>27</v>
      </c>
      <c r="L89" s="16">
        <v>161619</v>
      </c>
      <c r="M89" s="16" t="s">
        <v>2455</v>
      </c>
      <c r="O89" s="16">
        <v>1</v>
      </c>
    </row>
    <row r="90" spans="1:17" s="16" customFormat="1" x14ac:dyDescent="0.25">
      <c r="A90" s="16">
        <v>8003879954</v>
      </c>
      <c r="B90" s="16">
        <v>10</v>
      </c>
      <c r="C90" s="16">
        <v>2112018</v>
      </c>
      <c r="D90" s="16">
        <v>341</v>
      </c>
      <c r="E90" s="16" t="s">
        <v>25</v>
      </c>
      <c r="F90" s="16">
        <v>9938</v>
      </c>
      <c r="G90" s="16" t="s">
        <v>2456</v>
      </c>
      <c r="H90" s="10">
        <v>424</v>
      </c>
      <c r="I90" s="16" t="s">
        <v>26</v>
      </c>
      <c r="J90" s="10">
        <v>2536888.34</v>
      </c>
      <c r="K90" s="16" t="s">
        <v>27</v>
      </c>
      <c r="L90" s="16">
        <v>161546</v>
      </c>
      <c r="M90" s="16" t="s">
        <v>701</v>
      </c>
      <c r="O90" s="16">
        <v>1</v>
      </c>
      <c r="P90" s="16" t="s">
        <v>2457</v>
      </c>
      <c r="Q90" s="16" t="s">
        <v>2458</v>
      </c>
    </row>
    <row r="91" spans="1:17" s="16" customFormat="1" x14ac:dyDescent="0.25">
      <c r="A91" s="16">
        <v>8003879954</v>
      </c>
      <c r="B91" s="16">
        <v>9</v>
      </c>
      <c r="C91" s="16">
        <v>2112018</v>
      </c>
      <c r="D91" s="16">
        <v>489</v>
      </c>
      <c r="E91" s="16" t="s">
        <v>31</v>
      </c>
      <c r="F91" s="16">
        <v>9938</v>
      </c>
      <c r="G91" s="16" t="s">
        <v>2456</v>
      </c>
      <c r="H91" s="10">
        <v>0.1</v>
      </c>
      <c r="I91" s="16" t="s">
        <v>26</v>
      </c>
      <c r="J91" s="10">
        <v>2537312.34</v>
      </c>
      <c r="K91" s="16" t="s">
        <v>27</v>
      </c>
      <c r="L91" s="16">
        <v>161546</v>
      </c>
      <c r="M91" s="16" t="s">
        <v>2459</v>
      </c>
      <c r="O91" s="16">
        <v>1</v>
      </c>
    </row>
    <row r="92" spans="1:17" s="16" customFormat="1" x14ac:dyDescent="0.25">
      <c r="A92" s="16">
        <v>8003879954</v>
      </c>
      <c r="B92" s="16">
        <v>8</v>
      </c>
      <c r="C92" s="16">
        <v>2112018</v>
      </c>
      <c r="D92" s="16">
        <v>341</v>
      </c>
      <c r="E92" s="16" t="s">
        <v>25</v>
      </c>
      <c r="F92" s="16">
        <v>9938</v>
      </c>
      <c r="G92" s="16" t="s">
        <v>2460</v>
      </c>
      <c r="H92" s="10">
        <v>2000</v>
      </c>
      <c r="I92" s="16" t="s">
        <v>26</v>
      </c>
      <c r="J92" s="10">
        <v>2537312.44</v>
      </c>
      <c r="K92" s="16" t="s">
        <v>27</v>
      </c>
      <c r="L92" s="16">
        <v>160615</v>
      </c>
      <c r="M92" s="16" t="s">
        <v>1370</v>
      </c>
      <c r="O92" s="16">
        <v>1</v>
      </c>
      <c r="P92" s="16" t="s">
        <v>2461</v>
      </c>
      <c r="Q92" s="16" t="s">
        <v>2462</v>
      </c>
    </row>
    <row r="93" spans="1:17" s="16" customFormat="1" x14ac:dyDescent="0.25">
      <c r="A93" s="16">
        <v>8003879954</v>
      </c>
      <c r="B93" s="16">
        <v>7</v>
      </c>
      <c r="C93" s="16">
        <v>2112018</v>
      </c>
      <c r="D93" s="16">
        <v>489</v>
      </c>
      <c r="E93" s="16" t="s">
        <v>31</v>
      </c>
      <c r="F93" s="16">
        <v>9938</v>
      </c>
      <c r="G93" s="16" t="s">
        <v>2460</v>
      </c>
      <c r="H93" s="10">
        <v>0.1</v>
      </c>
      <c r="I93" s="16" t="s">
        <v>26</v>
      </c>
      <c r="J93" s="10">
        <v>2539312.44</v>
      </c>
      <c r="K93" s="16" t="s">
        <v>27</v>
      </c>
      <c r="L93" s="16">
        <v>160615</v>
      </c>
      <c r="M93" s="16" t="s">
        <v>2463</v>
      </c>
      <c r="O93" s="16">
        <v>1</v>
      </c>
    </row>
    <row r="94" spans="1:17" s="16" customFormat="1" x14ac:dyDescent="0.25">
      <c r="A94" s="16">
        <v>8003879954</v>
      </c>
      <c r="B94" s="16">
        <v>6</v>
      </c>
      <c r="C94" s="16">
        <v>2112018</v>
      </c>
      <c r="D94" s="16">
        <v>345</v>
      </c>
      <c r="E94" s="16" t="s">
        <v>51</v>
      </c>
      <c r="F94" s="16">
        <v>9938</v>
      </c>
      <c r="G94" s="16" t="s">
        <v>2464</v>
      </c>
      <c r="H94" s="10">
        <v>309.14999999999998</v>
      </c>
      <c r="I94" s="16" t="s">
        <v>26</v>
      </c>
      <c r="J94" s="10">
        <v>2539312.54</v>
      </c>
      <c r="K94" s="16" t="s">
        <v>27</v>
      </c>
      <c r="L94" s="16">
        <v>160410</v>
      </c>
      <c r="M94" s="16" t="s">
        <v>528</v>
      </c>
      <c r="O94" s="16">
        <v>1</v>
      </c>
      <c r="P94" s="16" t="s">
        <v>2465</v>
      </c>
      <c r="Q94" s="16" t="s">
        <v>2466</v>
      </c>
    </row>
    <row r="95" spans="1:17" s="16" customFormat="1" x14ac:dyDescent="0.25">
      <c r="A95" s="16">
        <v>8003879954</v>
      </c>
      <c r="B95" s="16">
        <v>5</v>
      </c>
      <c r="C95" s="16">
        <v>2112018</v>
      </c>
      <c r="D95" s="16">
        <v>60</v>
      </c>
      <c r="E95" s="16" t="s">
        <v>37</v>
      </c>
      <c r="F95" s="16">
        <v>9938</v>
      </c>
      <c r="G95" s="16" t="s">
        <v>2467</v>
      </c>
      <c r="H95" s="10">
        <v>360</v>
      </c>
      <c r="I95" s="16" t="s">
        <v>26</v>
      </c>
      <c r="J95" s="10">
        <v>2539621.69</v>
      </c>
      <c r="K95" s="16" t="s">
        <v>27</v>
      </c>
      <c r="L95" s="16">
        <v>160405</v>
      </c>
      <c r="M95" s="16" t="s">
        <v>1962</v>
      </c>
      <c r="O95" s="16">
        <v>1</v>
      </c>
      <c r="P95" s="16" t="s">
        <v>2468</v>
      </c>
      <c r="Q95" s="16" t="s">
        <v>2469</v>
      </c>
    </row>
    <row r="96" spans="1:17" s="16" customFormat="1" x14ac:dyDescent="0.25">
      <c r="A96" s="16">
        <v>8003879954</v>
      </c>
      <c r="B96" s="16">
        <v>4</v>
      </c>
      <c r="C96" s="16">
        <v>2112018</v>
      </c>
      <c r="D96" s="16">
        <v>345</v>
      </c>
      <c r="E96" s="16" t="s">
        <v>51</v>
      </c>
      <c r="F96" s="16">
        <v>9938</v>
      </c>
      <c r="G96" s="16" t="s">
        <v>2470</v>
      </c>
      <c r="H96" s="10">
        <v>656.38</v>
      </c>
      <c r="I96" s="16" t="s">
        <v>26</v>
      </c>
      <c r="J96" s="10">
        <v>2539981.69</v>
      </c>
      <c r="K96" s="16" t="s">
        <v>27</v>
      </c>
      <c r="L96" s="16">
        <v>160339</v>
      </c>
      <c r="M96" s="16" t="s">
        <v>2471</v>
      </c>
      <c r="O96" s="16">
        <v>1</v>
      </c>
      <c r="P96" s="16" t="s">
        <v>2472</v>
      </c>
      <c r="Q96" s="16" t="s">
        <v>52</v>
      </c>
    </row>
    <row r="97" spans="1:18" s="16" customFormat="1" x14ac:dyDescent="0.25">
      <c r="A97" s="16">
        <v>8003879954</v>
      </c>
      <c r="B97" s="16">
        <v>3</v>
      </c>
      <c r="C97" s="16">
        <v>2112018</v>
      </c>
      <c r="D97" s="16">
        <v>60</v>
      </c>
      <c r="E97" s="16" t="s">
        <v>37</v>
      </c>
      <c r="F97" s="16">
        <v>9938</v>
      </c>
      <c r="G97" s="16" t="s">
        <v>2473</v>
      </c>
      <c r="H97" s="10">
        <v>2934</v>
      </c>
      <c r="I97" s="16" t="s">
        <v>26</v>
      </c>
      <c r="J97" s="10">
        <v>2540638.0699999998</v>
      </c>
      <c r="K97" s="16" t="s">
        <v>27</v>
      </c>
      <c r="L97" s="16">
        <v>160201</v>
      </c>
      <c r="M97" s="16" t="s">
        <v>2474</v>
      </c>
      <c r="O97" s="16">
        <v>1</v>
      </c>
      <c r="P97" s="16" t="s">
        <v>2475</v>
      </c>
      <c r="Q97" s="16" t="s">
        <v>260</v>
      </c>
    </row>
    <row r="98" spans="1:18" s="16" customFormat="1" x14ac:dyDescent="0.25">
      <c r="A98" s="16">
        <v>8003879954</v>
      </c>
      <c r="B98" s="16">
        <v>2</v>
      </c>
      <c r="C98" s="16">
        <v>2112018</v>
      </c>
      <c r="D98" s="16">
        <v>345</v>
      </c>
      <c r="E98" s="16" t="s">
        <v>51</v>
      </c>
      <c r="F98" s="16">
        <v>9938</v>
      </c>
      <c r="G98" s="16" t="s">
        <v>2476</v>
      </c>
      <c r="H98" s="10">
        <v>4047.74</v>
      </c>
      <c r="I98" s="16" t="s">
        <v>26</v>
      </c>
      <c r="J98" s="10">
        <v>2543572.0699999998</v>
      </c>
      <c r="K98" s="16" t="s">
        <v>27</v>
      </c>
      <c r="L98" s="16">
        <v>160148</v>
      </c>
      <c r="M98" s="16" t="s">
        <v>2477</v>
      </c>
      <c r="O98" s="16">
        <v>1</v>
      </c>
      <c r="P98" s="16" t="s">
        <v>2478</v>
      </c>
      <c r="Q98" s="16" t="s">
        <v>52</v>
      </c>
    </row>
    <row r="99" spans="1:18" s="16" customFormat="1" x14ac:dyDescent="0.25">
      <c r="A99" s="16">
        <v>8003879954</v>
      </c>
      <c r="B99" s="16">
        <v>1</v>
      </c>
      <c r="C99" s="16">
        <v>2112018</v>
      </c>
      <c r="D99" s="16">
        <v>345</v>
      </c>
      <c r="E99" s="16" t="s">
        <v>51</v>
      </c>
      <c r="F99" s="16">
        <v>9938</v>
      </c>
      <c r="G99" s="16" t="s">
        <v>2479</v>
      </c>
      <c r="H99" s="10">
        <v>5954.53</v>
      </c>
      <c r="I99" s="16" t="s">
        <v>26</v>
      </c>
      <c r="J99" s="10">
        <v>2547619.81</v>
      </c>
      <c r="K99" s="16" t="s">
        <v>27</v>
      </c>
      <c r="L99" s="16">
        <v>160133</v>
      </c>
      <c r="M99" s="16" t="s">
        <v>2480</v>
      </c>
      <c r="O99" s="16">
        <v>1</v>
      </c>
      <c r="P99" s="16" t="s">
        <v>2481</v>
      </c>
      <c r="Q99" s="16" t="s">
        <v>52</v>
      </c>
    </row>
    <row r="100" spans="1:18" s="16" customFormat="1" x14ac:dyDescent="0.25">
      <c r="A100" s="16">
        <v>8003879954</v>
      </c>
      <c r="B100" s="16">
        <v>8</v>
      </c>
      <c r="C100" s="16">
        <v>1112018</v>
      </c>
      <c r="D100" s="16">
        <v>415</v>
      </c>
      <c r="E100" s="16" t="s">
        <v>48</v>
      </c>
      <c r="F100" s="16">
        <v>72</v>
      </c>
      <c r="G100" s="16" t="s">
        <v>2482</v>
      </c>
      <c r="H100" s="10">
        <v>10</v>
      </c>
      <c r="I100" s="16" t="s">
        <v>26</v>
      </c>
      <c r="J100" s="10">
        <v>2553574.34</v>
      </c>
      <c r="K100" s="16" t="s">
        <v>27</v>
      </c>
      <c r="L100" s="16">
        <v>164108</v>
      </c>
      <c r="M100" s="16" t="s">
        <v>2483</v>
      </c>
      <c r="O100" s="16">
        <v>1</v>
      </c>
    </row>
    <row r="101" spans="1:18" s="16" customFormat="1" x14ac:dyDescent="0.25">
      <c r="A101" s="16">
        <v>8003879954</v>
      </c>
      <c r="B101" s="16">
        <v>7</v>
      </c>
      <c r="C101" s="16">
        <v>1112018</v>
      </c>
      <c r="D101" s="16">
        <v>349</v>
      </c>
      <c r="E101" s="16" t="s">
        <v>49</v>
      </c>
      <c r="F101" s="16">
        <v>72</v>
      </c>
      <c r="G101" s="16" t="s">
        <v>2482</v>
      </c>
      <c r="H101" s="10">
        <v>91839</v>
      </c>
      <c r="I101" s="16" t="s">
        <v>26</v>
      </c>
      <c r="J101" s="10">
        <v>2553584.34</v>
      </c>
      <c r="K101" s="16" t="s">
        <v>27</v>
      </c>
      <c r="L101" s="16">
        <v>164108</v>
      </c>
      <c r="M101" s="16" t="s">
        <v>2483</v>
      </c>
      <c r="O101" s="16">
        <v>1</v>
      </c>
    </row>
    <row r="102" spans="1:18" s="16" customFormat="1" x14ac:dyDescent="0.25">
      <c r="A102" s="16">
        <v>8003879954</v>
      </c>
      <c r="B102" s="16">
        <v>6</v>
      </c>
      <c r="C102" s="16">
        <v>1112018</v>
      </c>
      <c r="D102" s="16">
        <v>415</v>
      </c>
      <c r="E102" s="16" t="s">
        <v>48</v>
      </c>
      <c r="F102" s="16">
        <v>72</v>
      </c>
      <c r="G102" s="16" t="s">
        <v>2484</v>
      </c>
      <c r="H102" s="10">
        <v>30</v>
      </c>
      <c r="I102" s="16" t="s">
        <v>26</v>
      </c>
      <c r="J102" s="10">
        <v>2645423.34</v>
      </c>
      <c r="K102" s="16" t="s">
        <v>27</v>
      </c>
      <c r="L102" s="16">
        <v>153036</v>
      </c>
      <c r="M102" s="16" t="s">
        <v>2485</v>
      </c>
      <c r="O102" s="16">
        <v>1</v>
      </c>
    </row>
    <row r="103" spans="1:18" s="16" customFormat="1" x14ac:dyDescent="0.25">
      <c r="A103" s="16">
        <v>8003879954</v>
      </c>
      <c r="B103" s="16">
        <v>5</v>
      </c>
      <c r="C103" s="16">
        <v>1112018</v>
      </c>
      <c r="D103" s="16">
        <v>349</v>
      </c>
      <c r="E103" s="16" t="s">
        <v>49</v>
      </c>
      <c r="F103" s="16">
        <v>72</v>
      </c>
      <c r="G103" s="16" t="s">
        <v>2484</v>
      </c>
      <c r="H103" s="10">
        <v>35692.43</v>
      </c>
      <c r="I103" s="16" t="s">
        <v>26</v>
      </c>
      <c r="J103" s="10">
        <v>2645453.34</v>
      </c>
      <c r="K103" s="16" t="s">
        <v>27</v>
      </c>
      <c r="L103" s="16">
        <v>153036</v>
      </c>
      <c r="M103" s="16" t="s">
        <v>2485</v>
      </c>
      <c r="O103" s="16">
        <v>1</v>
      </c>
    </row>
    <row r="104" spans="1:18" s="16" customFormat="1" x14ac:dyDescent="0.25">
      <c r="A104" s="16">
        <v>8003879954</v>
      </c>
      <c r="B104" s="16">
        <v>4</v>
      </c>
      <c r="C104" s="16">
        <v>1112018</v>
      </c>
      <c r="D104" s="16">
        <v>141</v>
      </c>
      <c r="E104" s="16" t="s">
        <v>53</v>
      </c>
      <c r="F104" s="16">
        <v>6589</v>
      </c>
      <c r="G104" s="16" t="s">
        <v>2486</v>
      </c>
      <c r="H104" s="10">
        <v>607</v>
      </c>
      <c r="I104" s="16" t="s">
        <v>27</v>
      </c>
      <c r="J104" s="10">
        <v>2681145.77</v>
      </c>
      <c r="K104" s="16" t="s">
        <v>27</v>
      </c>
      <c r="L104" s="16">
        <v>142231</v>
      </c>
      <c r="M104" s="16" t="s">
        <v>32</v>
      </c>
      <c r="O104" s="16">
        <v>1</v>
      </c>
      <c r="P104" s="16" t="s">
        <v>2487</v>
      </c>
      <c r="Q104" s="16" t="s">
        <v>2488</v>
      </c>
      <c r="R104" s="16" t="s">
        <v>528</v>
      </c>
    </row>
    <row r="105" spans="1:18" s="16" customFormat="1" x14ac:dyDescent="0.25">
      <c r="A105" s="16">
        <v>8003879954</v>
      </c>
      <c r="B105" s="16">
        <v>3</v>
      </c>
      <c r="C105" s="16">
        <v>1112018</v>
      </c>
      <c r="D105" s="16">
        <v>60</v>
      </c>
      <c r="E105" s="16" t="s">
        <v>37</v>
      </c>
      <c r="F105" s="16">
        <v>9938</v>
      </c>
      <c r="G105" s="16" t="s">
        <v>2489</v>
      </c>
      <c r="H105" s="10">
        <v>155</v>
      </c>
      <c r="I105" s="16" t="s">
        <v>26</v>
      </c>
      <c r="J105" s="10">
        <v>2680538.77</v>
      </c>
      <c r="K105" s="16" t="s">
        <v>27</v>
      </c>
      <c r="L105" s="16">
        <v>81812</v>
      </c>
      <c r="M105" s="16" t="s">
        <v>2490</v>
      </c>
      <c r="O105" s="16">
        <v>1</v>
      </c>
      <c r="P105" s="16" t="s">
        <v>2491</v>
      </c>
      <c r="Q105" s="16" t="s">
        <v>835</v>
      </c>
    </row>
    <row r="106" spans="1:18" s="16" customFormat="1" x14ac:dyDescent="0.25">
      <c r="A106" s="16">
        <v>8003879954</v>
      </c>
      <c r="B106" s="16">
        <v>2</v>
      </c>
      <c r="C106" s="16">
        <v>1112018</v>
      </c>
      <c r="D106" s="16">
        <v>341</v>
      </c>
      <c r="E106" s="16" t="s">
        <v>25</v>
      </c>
      <c r="F106" s="16">
        <v>9938</v>
      </c>
      <c r="G106" s="16" t="s">
        <v>2492</v>
      </c>
      <c r="H106" s="10">
        <v>10064</v>
      </c>
      <c r="I106" s="16" t="s">
        <v>26</v>
      </c>
      <c r="J106" s="10">
        <v>2680693.77</v>
      </c>
      <c r="K106" s="16" t="s">
        <v>27</v>
      </c>
      <c r="L106" s="16">
        <v>43112</v>
      </c>
      <c r="M106" s="16" t="s">
        <v>1451</v>
      </c>
      <c r="O106" s="16">
        <v>1</v>
      </c>
      <c r="P106" s="16" t="s">
        <v>2493</v>
      </c>
      <c r="Q106" s="16" t="s">
        <v>2494</v>
      </c>
    </row>
    <row r="107" spans="1:18" s="16" customFormat="1" x14ac:dyDescent="0.25">
      <c r="A107" s="16">
        <v>8003879954</v>
      </c>
      <c r="B107" s="16">
        <v>1</v>
      </c>
      <c r="C107" s="16">
        <v>1112018</v>
      </c>
      <c r="D107" s="16">
        <v>489</v>
      </c>
      <c r="E107" s="16" t="s">
        <v>31</v>
      </c>
      <c r="F107" s="16">
        <v>9938</v>
      </c>
      <c r="G107" s="16" t="s">
        <v>2492</v>
      </c>
      <c r="H107" s="10">
        <v>0.1</v>
      </c>
      <c r="I107" s="16" t="s">
        <v>26</v>
      </c>
      <c r="J107" s="10">
        <v>2690757.77</v>
      </c>
      <c r="K107" s="16" t="s">
        <v>27</v>
      </c>
      <c r="L107" s="16">
        <v>43112</v>
      </c>
      <c r="M107" s="16" t="s">
        <v>2495</v>
      </c>
      <c r="O107" s="16">
        <v>1</v>
      </c>
    </row>
    <row r="109" spans="1:18" x14ac:dyDescent="0.25">
      <c r="H109" s="2">
        <f>SUBTOTAL(9,H10:H107)</f>
        <v>4418540.2599999979</v>
      </c>
    </row>
    <row r="111" spans="1:18" x14ac:dyDescent="0.25">
      <c r="H111" s="2">
        <v>892707.36</v>
      </c>
    </row>
    <row r="113" spans="8:8" x14ac:dyDescent="0.25">
      <c r="H113" s="2">
        <f>H109-H111</f>
        <v>3525832.899999998</v>
      </c>
    </row>
  </sheetData>
  <autoFilter ref="A8:M107" xr:uid="{B1B85419-5780-47F1-BFBD-D8C471736851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B887-3C9E-4647-B90A-D6DE5FB1D9CD}">
  <dimension ref="A1:R261"/>
  <sheetViews>
    <sheetView tabSelected="1" workbookViewId="0">
      <selection activeCell="H261" sqref="H261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2" bestFit="1" customWidth="1"/>
    <col min="9" max="9" width="14.140625" customWidth="1"/>
    <col min="10" max="10" width="13.28515625" style="2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2496</v>
      </c>
    </row>
    <row r="5" spans="1:18" x14ac:dyDescent="0.25">
      <c r="A5" t="s">
        <v>2497</v>
      </c>
    </row>
    <row r="6" spans="1:18" x14ac:dyDescent="0.25">
      <c r="A6" t="s">
        <v>2498</v>
      </c>
    </row>
    <row r="8" spans="1:18" s="15" customFormat="1" ht="49.5" customHeight="1" x14ac:dyDescent="0.25">
      <c r="A8" s="15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4" t="s">
        <v>14</v>
      </c>
      <c r="I8" s="15" t="s">
        <v>15</v>
      </c>
      <c r="J8" s="4" t="s">
        <v>16</v>
      </c>
      <c r="K8" s="15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</row>
    <row r="10" spans="1:18" s="16" customFormat="1" x14ac:dyDescent="0.25">
      <c r="A10" s="16">
        <v>8003879954</v>
      </c>
      <c r="B10" s="16">
        <v>8</v>
      </c>
      <c r="C10" s="16">
        <v>31122018</v>
      </c>
      <c r="D10" s="16">
        <v>343</v>
      </c>
      <c r="E10" s="16" t="s">
        <v>115</v>
      </c>
      <c r="F10" s="16">
        <v>9938</v>
      </c>
      <c r="G10" s="16" t="s">
        <v>2499</v>
      </c>
      <c r="H10" s="10">
        <v>1410.6</v>
      </c>
      <c r="I10" s="16" t="s">
        <v>26</v>
      </c>
      <c r="J10" s="10">
        <v>870123.69</v>
      </c>
      <c r="K10" s="16" t="s">
        <v>27</v>
      </c>
      <c r="L10" s="16">
        <v>192910</v>
      </c>
      <c r="M10" s="16" t="s">
        <v>2500</v>
      </c>
      <c r="O10" s="16">
        <v>1</v>
      </c>
    </row>
    <row r="11" spans="1:18" s="16" customFormat="1" x14ac:dyDescent="0.25">
      <c r="A11" s="16">
        <v>8003879954</v>
      </c>
      <c r="B11" s="16">
        <v>7</v>
      </c>
      <c r="C11" s="16">
        <v>31122018</v>
      </c>
      <c r="D11" s="16">
        <v>343</v>
      </c>
      <c r="E11" s="16" t="s">
        <v>115</v>
      </c>
      <c r="F11" s="16">
        <v>9938</v>
      </c>
      <c r="G11" s="16" t="s">
        <v>2501</v>
      </c>
      <c r="H11" s="10">
        <v>4498.95</v>
      </c>
      <c r="I11" s="16" t="s">
        <v>26</v>
      </c>
      <c r="J11" s="10">
        <v>871534.29</v>
      </c>
      <c r="K11" s="16" t="s">
        <v>27</v>
      </c>
      <c r="L11" s="16">
        <v>192910</v>
      </c>
      <c r="M11" s="16" t="s">
        <v>1331</v>
      </c>
      <c r="O11" s="16">
        <v>1</v>
      </c>
    </row>
    <row r="12" spans="1:18" s="16" customFormat="1" x14ac:dyDescent="0.25">
      <c r="A12" s="16">
        <v>8003879954</v>
      </c>
      <c r="B12" s="16">
        <v>6</v>
      </c>
      <c r="C12" s="16">
        <v>31122018</v>
      </c>
      <c r="D12" s="16">
        <v>343</v>
      </c>
      <c r="E12" s="16" t="s">
        <v>115</v>
      </c>
      <c r="F12" s="16">
        <v>9938</v>
      </c>
      <c r="G12" s="16" t="s">
        <v>2502</v>
      </c>
      <c r="H12" s="10">
        <v>20449</v>
      </c>
      <c r="I12" s="16" t="s">
        <v>26</v>
      </c>
      <c r="J12" s="10">
        <v>876033.24</v>
      </c>
      <c r="K12" s="16" t="s">
        <v>27</v>
      </c>
      <c r="L12" s="16">
        <v>192909</v>
      </c>
      <c r="M12" s="16" t="s">
        <v>1325</v>
      </c>
      <c r="O12" s="16">
        <v>1</v>
      </c>
    </row>
    <row r="13" spans="1:18" s="16" customFormat="1" x14ac:dyDescent="0.25">
      <c r="A13" s="16">
        <v>8003879954</v>
      </c>
      <c r="B13" s="16">
        <v>5</v>
      </c>
      <c r="C13" s="16">
        <v>31122018</v>
      </c>
      <c r="D13" s="16">
        <v>341</v>
      </c>
      <c r="E13" s="16" t="s">
        <v>25</v>
      </c>
      <c r="F13" s="16">
        <v>9938</v>
      </c>
      <c r="G13" s="16" t="s">
        <v>2503</v>
      </c>
      <c r="H13" s="10">
        <v>2500</v>
      </c>
      <c r="I13" s="16" t="s">
        <v>26</v>
      </c>
      <c r="J13" s="10">
        <v>896482.24</v>
      </c>
      <c r="K13" s="16" t="s">
        <v>27</v>
      </c>
      <c r="L13" s="16">
        <v>161146</v>
      </c>
      <c r="M13" s="16" t="s">
        <v>658</v>
      </c>
      <c r="O13" s="16">
        <v>1</v>
      </c>
      <c r="P13" s="16" t="s">
        <v>2504</v>
      </c>
      <c r="Q13" s="16" t="s">
        <v>2505</v>
      </c>
    </row>
    <row r="14" spans="1:18" s="16" customFormat="1" x14ac:dyDescent="0.25">
      <c r="A14" s="16">
        <v>8003879954</v>
      </c>
      <c r="B14" s="16">
        <v>4</v>
      </c>
      <c r="C14" s="16">
        <v>31122018</v>
      </c>
      <c r="D14" s="16">
        <v>489</v>
      </c>
      <c r="E14" s="16" t="s">
        <v>31</v>
      </c>
      <c r="F14" s="16">
        <v>9938</v>
      </c>
      <c r="G14" s="16" t="s">
        <v>2503</v>
      </c>
      <c r="H14" s="10">
        <v>0.1</v>
      </c>
      <c r="I14" s="16" t="s">
        <v>26</v>
      </c>
      <c r="J14" s="10">
        <v>898982.24</v>
      </c>
      <c r="K14" s="16" t="s">
        <v>27</v>
      </c>
      <c r="L14" s="16">
        <v>161146</v>
      </c>
      <c r="M14" s="16" t="s">
        <v>2506</v>
      </c>
      <c r="O14" s="16">
        <v>1</v>
      </c>
    </row>
    <row r="15" spans="1:18" s="16" customFormat="1" x14ac:dyDescent="0.25">
      <c r="A15" s="16">
        <v>8003879954</v>
      </c>
      <c r="B15" s="16">
        <v>3</v>
      </c>
      <c r="C15" s="16">
        <v>31122018</v>
      </c>
      <c r="D15" s="16">
        <v>341</v>
      </c>
      <c r="E15" s="16" t="s">
        <v>25</v>
      </c>
      <c r="F15" s="16">
        <v>9938</v>
      </c>
      <c r="G15" s="16" t="s">
        <v>2507</v>
      </c>
      <c r="H15" s="10">
        <v>850</v>
      </c>
      <c r="I15" s="16" t="s">
        <v>26</v>
      </c>
      <c r="J15" s="10">
        <v>898982.34</v>
      </c>
      <c r="K15" s="16" t="s">
        <v>27</v>
      </c>
      <c r="L15" s="16">
        <v>131125</v>
      </c>
      <c r="M15" s="16" t="s">
        <v>747</v>
      </c>
      <c r="O15" s="16">
        <v>1</v>
      </c>
      <c r="P15" s="16" t="s">
        <v>2508</v>
      </c>
      <c r="Q15" s="16" t="s">
        <v>749</v>
      </c>
    </row>
    <row r="16" spans="1:18" s="16" customFormat="1" x14ac:dyDescent="0.25">
      <c r="A16" s="16">
        <v>8003879954</v>
      </c>
      <c r="B16" s="16">
        <v>2</v>
      </c>
      <c r="C16" s="16">
        <v>31122018</v>
      </c>
      <c r="D16" s="16">
        <v>489</v>
      </c>
      <c r="E16" s="16" t="s">
        <v>31</v>
      </c>
      <c r="F16" s="16">
        <v>9938</v>
      </c>
      <c r="G16" s="16" t="s">
        <v>2507</v>
      </c>
      <c r="H16" s="10">
        <v>0.1</v>
      </c>
      <c r="I16" s="16" t="s">
        <v>26</v>
      </c>
      <c r="J16" s="10">
        <v>899832.34</v>
      </c>
      <c r="K16" s="16" t="s">
        <v>27</v>
      </c>
      <c r="L16" s="16">
        <v>131125</v>
      </c>
      <c r="M16" s="16" t="s">
        <v>2509</v>
      </c>
      <c r="O16" s="16">
        <v>1</v>
      </c>
    </row>
    <row r="17" spans="1:17" s="16" customFormat="1" x14ac:dyDescent="0.25">
      <c r="A17" s="16">
        <v>8003879954</v>
      </c>
      <c r="B17" s="16">
        <v>1</v>
      </c>
      <c r="C17" s="16">
        <v>31122018</v>
      </c>
      <c r="D17" s="16">
        <v>345</v>
      </c>
      <c r="E17" s="16" t="s">
        <v>51</v>
      </c>
      <c r="F17" s="16">
        <v>9938</v>
      </c>
      <c r="G17" s="16" t="s">
        <v>2510</v>
      </c>
      <c r="H17" s="10">
        <v>725.81</v>
      </c>
      <c r="I17" s="16" t="s">
        <v>26</v>
      </c>
      <c r="J17" s="10">
        <v>899832.44</v>
      </c>
      <c r="K17" s="16" t="s">
        <v>27</v>
      </c>
      <c r="L17" s="16">
        <v>80927</v>
      </c>
      <c r="M17" s="16" t="s">
        <v>2511</v>
      </c>
      <c r="O17" s="16">
        <v>1</v>
      </c>
      <c r="P17" s="16" t="s">
        <v>2512</v>
      </c>
      <c r="Q17" s="16" t="s">
        <v>2513</v>
      </c>
    </row>
    <row r="18" spans="1:17" s="16" customFormat="1" x14ac:dyDescent="0.25">
      <c r="A18" s="16">
        <v>8003879954</v>
      </c>
      <c r="B18" s="16">
        <v>19</v>
      </c>
      <c r="C18" s="16">
        <v>28122018</v>
      </c>
      <c r="D18" s="16">
        <v>819</v>
      </c>
      <c r="E18" s="16" t="s">
        <v>35</v>
      </c>
      <c r="H18" s="10">
        <v>0.5</v>
      </c>
      <c r="I18" s="16" t="s">
        <v>26</v>
      </c>
      <c r="J18" s="10">
        <v>900558.25</v>
      </c>
      <c r="K18" s="16" t="s">
        <v>27</v>
      </c>
      <c r="L18" s="16">
        <v>10531</v>
      </c>
      <c r="M18" s="16" t="s">
        <v>32</v>
      </c>
      <c r="O18" s="16">
        <v>1</v>
      </c>
    </row>
    <row r="19" spans="1:17" s="16" customFormat="1" x14ac:dyDescent="0.25">
      <c r="A19" s="16">
        <v>8003879954</v>
      </c>
      <c r="B19" s="16">
        <v>18</v>
      </c>
      <c r="C19" s="16">
        <v>28122018</v>
      </c>
      <c r="D19" s="16">
        <v>323</v>
      </c>
      <c r="E19" s="16" t="s">
        <v>50</v>
      </c>
      <c r="F19" s="16">
        <v>0</v>
      </c>
      <c r="G19" s="16" t="s">
        <v>2514</v>
      </c>
      <c r="H19" s="10">
        <v>1000</v>
      </c>
      <c r="I19" s="16" t="s">
        <v>26</v>
      </c>
      <c r="J19" s="10">
        <v>900558.75</v>
      </c>
      <c r="K19" s="16" t="s">
        <v>27</v>
      </c>
      <c r="L19" s="16">
        <v>10432</v>
      </c>
      <c r="M19" s="16" t="s">
        <v>32</v>
      </c>
      <c r="O19" s="16">
        <v>1</v>
      </c>
    </row>
    <row r="20" spans="1:17" s="16" customFormat="1" x14ac:dyDescent="0.25">
      <c r="A20" s="16">
        <v>8003879954</v>
      </c>
      <c r="B20" s="16">
        <v>17</v>
      </c>
      <c r="C20" s="16">
        <v>28122018</v>
      </c>
      <c r="D20" s="16">
        <v>341</v>
      </c>
      <c r="E20" s="16" t="s">
        <v>25</v>
      </c>
      <c r="F20" s="16">
        <v>9938</v>
      </c>
      <c r="G20" s="16" t="s">
        <v>2515</v>
      </c>
      <c r="H20" s="10">
        <v>530</v>
      </c>
      <c r="I20" s="16" t="s">
        <v>26</v>
      </c>
      <c r="J20" s="10">
        <v>901558.75</v>
      </c>
      <c r="K20" s="16" t="s">
        <v>27</v>
      </c>
      <c r="L20" s="16">
        <v>183854</v>
      </c>
      <c r="M20" s="16" t="s">
        <v>235</v>
      </c>
      <c r="O20" s="16">
        <v>1</v>
      </c>
      <c r="P20" s="16" t="s">
        <v>2516</v>
      </c>
      <c r="Q20" s="16" t="s">
        <v>2517</v>
      </c>
    </row>
    <row r="21" spans="1:17" s="16" customFormat="1" x14ac:dyDescent="0.25">
      <c r="A21" s="16">
        <v>8003879954</v>
      </c>
      <c r="B21" s="16">
        <v>16</v>
      </c>
      <c r="C21" s="16">
        <v>28122018</v>
      </c>
      <c r="D21" s="16">
        <v>489</v>
      </c>
      <c r="E21" s="16" t="s">
        <v>31</v>
      </c>
      <c r="F21" s="16">
        <v>9938</v>
      </c>
      <c r="G21" s="16" t="s">
        <v>2515</v>
      </c>
      <c r="H21" s="10">
        <v>0.1</v>
      </c>
      <c r="I21" s="16" t="s">
        <v>26</v>
      </c>
      <c r="J21" s="10">
        <v>902088.75</v>
      </c>
      <c r="K21" s="16" t="s">
        <v>27</v>
      </c>
      <c r="L21" s="16">
        <v>183854</v>
      </c>
      <c r="M21" s="16" t="s">
        <v>2518</v>
      </c>
      <c r="O21" s="16">
        <v>1</v>
      </c>
    </row>
    <row r="22" spans="1:17" s="16" customFormat="1" x14ac:dyDescent="0.25">
      <c r="A22" s="16">
        <v>8003879954</v>
      </c>
      <c r="B22" s="16">
        <v>15</v>
      </c>
      <c r="C22" s="16">
        <v>28122018</v>
      </c>
      <c r="D22" s="16">
        <v>60</v>
      </c>
      <c r="E22" s="16" t="s">
        <v>37</v>
      </c>
      <c r="F22" s="16">
        <v>9938</v>
      </c>
      <c r="G22" s="16" t="s">
        <v>2519</v>
      </c>
      <c r="H22" s="10">
        <v>6130</v>
      </c>
      <c r="I22" s="16" t="s">
        <v>26</v>
      </c>
      <c r="J22" s="10">
        <v>902088.85</v>
      </c>
      <c r="K22" s="16" t="s">
        <v>27</v>
      </c>
      <c r="L22" s="16">
        <v>183854</v>
      </c>
      <c r="M22" s="16" t="s">
        <v>2520</v>
      </c>
      <c r="O22" s="16">
        <v>1</v>
      </c>
      <c r="P22" s="16" t="s">
        <v>2521</v>
      </c>
      <c r="Q22" s="16" t="s">
        <v>2522</v>
      </c>
    </row>
    <row r="23" spans="1:17" s="16" customFormat="1" x14ac:dyDescent="0.25">
      <c r="A23" s="16">
        <v>8003879954</v>
      </c>
      <c r="B23" s="16">
        <v>14</v>
      </c>
      <c r="C23" s="16">
        <v>28122018</v>
      </c>
      <c r="D23" s="16">
        <v>60</v>
      </c>
      <c r="E23" s="16" t="s">
        <v>37</v>
      </c>
      <c r="F23" s="16">
        <v>9938</v>
      </c>
      <c r="G23" s="16" t="s">
        <v>2523</v>
      </c>
      <c r="H23" s="10">
        <v>7941.47</v>
      </c>
      <c r="I23" s="16" t="s">
        <v>26</v>
      </c>
      <c r="J23" s="10">
        <v>908218.85</v>
      </c>
      <c r="K23" s="16" t="s">
        <v>27</v>
      </c>
      <c r="L23" s="16">
        <v>183854</v>
      </c>
      <c r="M23" s="16" t="s">
        <v>2524</v>
      </c>
      <c r="O23" s="16">
        <v>1</v>
      </c>
      <c r="P23" s="16" t="s">
        <v>2525</v>
      </c>
      <c r="Q23" s="16" t="s">
        <v>2526</v>
      </c>
    </row>
    <row r="24" spans="1:17" s="16" customFormat="1" x14ac:dyDescent="0.25">
      <c r="A24" s="16">
        <v>8003879954</v>
      </c>
      <c r="B24" s="16">
        <v>13</v>
      </c>
      <c r="C24" s="16">
        <v>28122018</v>
      </c>
      <c r="D24" s="16">
        <v>341</v>
      </c>
      <c r="E24" s="16" t="s">
        <v>25</v>
      </c>
      <c r="F24" s="16">
        <v>9938</v>
      </c>
      <c r="G24" s="16" t="s">
        <v>2527</v>
      </c>
      <c r="H24" s="10">
        <v>360</v>
      </c>
      <c r="I24" s="16" t="s">
        <v>26</v>
      </c>
      <c r="J24" s="10">
        <v>916160.32</v>
      </c>
      <c r="K24" s="16" t="s">
        <v>27</v>
      </c>
      <c r="L24" s="16">
        <v>183852</v>
      </c>
      <c r="M24" s="16" t="s">
        <v>47</v>
      </c>
      <c r="O24" s="16">
        <v>1</v>
      </c>
      <c r="P24" s="16" t="s">
        <v>2508</v>
      </c>
      <c r="Q24" s="16" t="s">
        <v>2528</v>
      </c>
    </row>
    <row r="25" spans="1:17" s="16" customFormat="1" x14ac:dyDescent="0.25">
      <c r="A25" s="16">
        <v>8003879954</v>
      </c>
      <c r="B25" s="16">
        <v>12</v>
      </c>
      <c r="C25" s="16">
        <v>28122018</v>
      </c>
      <c r="D25" s="16">
        <v>489</v>
      </c>
      <c r="E25" s="16" t="s">
        <v>31</v>
      </c>
      <c r="F25" s="16">
        <v>9938</v>
      </c>
      <c r="G25" s="16" t="s">
        <v>2527</v>
      </c>
      <c r="H25" s="10">
        <v>0.1</v>
      </c>
      <c r="I25" s="16" t="s">
        <v>26</v>
      </c>
      <c r="J25" s="10">
        <v>916520.32</v>
      </c>
      <c r="K25" s="16" t="s">
        <v>27</v>
      </c>
      <c r="L25" s="16">
        <v>183852</v>
      </c>
      <c r="M25" s="16" t="s">
        <v>2529</v>
      </c>
      <c r="O25" s="16">
        <v>1</v>
      </c>
    </row>
    <row r="26" spans="1:17" s="16" customFormat="1" x14ac:dyDescent="0.25">
      <c r="A26" s="16">
        <v>8003879954</v>
      </c>
      <c r="B26" s="16">
        <v>11</v>
      </c>
      <c r="C26" s="16">
        <v>28122018</v>
      </c>
      <c r="D26" s="16">
        <v>341</v>
      </c>
      <c r="E26" s="16" t="s">
        <v>25</v>
      </c>
      <c r="F26" s="16">
        <v>9938</v>
      </c>
      <c r="G26" s="16" t="s">
        <v>2530</v>
      </c>
      <c r="H26" s="10">
        <v>2800</v>
      </c>
      <c r="I26" s="16" t="s">
        <v>26</v>
      </c>
      <c r="J26" s="10">
        <v>916520.42</v>
      </c>
      <c r="K26" s="16" t="s">
        <v>27</v>
      </c>
      <c r="L26" s="16">
        <v>183852</v>
      </c>
      <c r="M26" s="16" t="s">
        <v>314</v>
      </c>
      <c r="O26" s="16">
        <v>1</v>
      </c>
      <c r="P26" s="16" t="s">
        <v>2531</v>
      </c>
      <c r="Q26" s="16" t="s">
        <v>2532</v>
      </c>
    </row>
    <row r="27" spans="1:17" s="16" customFormat="1" x14ac:dyDescent="0.25">
      <c r="A27" s="16">
        <v>8003879954</v>
      </c>
      <c r="B27" s="16">
        <v>10</v>
      </c>
      <c r="C27" s="16">
        <v>28122018</v>
      </c>
      <c r="D27" s="16">
        <v>489</v>
      </c>
      <c r="E27" s="16" t="s">
        <v>31</v>
      </c>
      <c r="F27" s="16">
        <v>9938</v>
      </c>
      <c r="G27" s="16" t="s">
        <v>2530</v>
      </c>
      <c r="H27" s="10">
        <v>0.1</v>
      </c>
      <c r="I27" s="16" t="s">
        <v>26</v>
      </c>
      <c r="J27" s="10">
        <v>919320.42</v>
      </c>
      <c r="K27" s="16" t="s">
        <v>27</v>
      </c>
      <c r="L27" s="16">
        <v>183852</v>
      </c>
      <c r="M27" s="16" t="s">
        <v>2533</v>
      </c>
      <c r="O27" s="16">
        <v>1</v>
      </c>
    </row>
    <row r="28" spans="1:17" s="16" customFormat="1" x14ac:dyDescent="0.25">
      <c r="A28" s="16">
        <v>8003879954</v>
      </c>
      <c r="B28" s="16">
        <v>9</v>
      </c>
      <c r="C28" s="16">
        <v>28122018</v>
      </c>
      <c r="D28" s="16">
        <v>60</v>
      </c>
      <c r="E28" s="16" t="s">
        <v>37</v>
      </c>
      <c r="F28" s="16">
        <v>9938</v>
      </c>
      <c r="G28" s="16" t="s">
        <v>2534</v>
      </c>
      <c r="H28" s="10">
        <v>90</v>
      </c>
      <c r="I28" s="16" t="s">
        <v>26</v>
      </c>
      <c r="J28" s="10">
        <v>919320.52</v>
      </c>
      <c r="K28" s="16" t="s">
        <v>27</v>
      </c>
      <c r="L28" s="16">
        <v>183852</v>
      </c>
      <c r="M28" s="16" t="s">
        <v>2535</v>
      </c>
      <c r="O28" s="16">
        <v>1</v>
      </c>
      <c r="P28" s="16" t="s">
        <v>2536</v>
      </c>
      <c r="Q28" s="16" t="s">
        <v>2537</v>
      </c>
    </row>
    <row r="29" spans="1:17" s="16" customFormat="1" x14ac:dyDescent="0.25">
      <c r="A29" s="16">
        <v>8003879954</v>
      </c>
      <c r="B29" s="16">
        <v>8</v>
      </c>
      <c r="C29" s="16">
        <v>28122018</v>
      </c>
      <c r="D29" s="16">
        <v>341</v>
      </c>
      <c r="E29" s="16" t="s">
        <v>25</v>
      </c>
      <c r="F29" s="16">
        <v>9938</v>
      </c>
      <c r="G29" s="16" t="s">
        <v>2538</v>
      </c>
      <c r="H29" s="10">
        <v>3465</v>
      </c>
      <c r="I29" s="16" t="s">
        <v>26</v>
      </c>
      <c r="J29" s="10">
        <v>919410.52</v>
      </c>
      <c r="K29" s="16" t="s">
        <v>27</v>
      </c>
      <c r="L29" s="16">
        <v>173018</v>
      </c>
      <c r="M29" s="16" t="s">
        <v>2539</v>
      </c>
      <c r="O29" s="16">
        <v>1</v>
      </c>
      <c r="P29" s="16" t="s">
        <v>2540</v>
      </c>
      <c r="Q29" s="16" t="s">
        <v>2541</v>
      </c>
    </row>
    <row r="30" spans="1:17" s="16" customFormat="1" x14ac:dyDescent="0.25">
      <c r="A30" s="16">
        <v>8003879954</v>
      </c>
      <c r="B30" s="16">
        <v>7</v>
      </c>
      <c r="C30" s="16">
        <v>28122018</v>
      </c>
      <c r="D30" s="16">
        <v>489</v>
      </c>
      <c r="E30" s="16" t="s">
        <v>31</v>
      </c>
      <c r="F30" s="16">
        <v>9938</v>
      </c>
      <c r="G30" s="16" t="s">
        <v>2538</v>
      </c>
      <c r="H30" s="10">
        <v>0.1</v>
      </c>
      <c r="I30" s="16" t="s">
        <v>26</v>
      </c>
      <c r="J30" s="10">
        <v>922875.52</v>
      </c>
      <c r="K30" s="16" t="s">
        <v>27</v>
      </c>
      <c r="L30" s="16">
        <v>173018</v>
      </c>
      <c r="M30" s="16" t="s">
        <v>2542</v>
      </c>
      <c r="O30" s="16">
        <v>1</v>
      </c>
    </row>
    <row r="31" spans="1:17" s="16" customFormat="1" x14ac:dyDescent="0.25">
      <c r="A31" s="16">
        <v>8003879954</v>
      </c>
      <c r="B31" s="16">
        <v>6</v>
      </c>
      <c r="C31" s="16">
        <v>28122018</v>
      </c>
      <c r="D31" s="16">
        <v>341</v>
      </c>
      <c r="E31" s="16" t="s">
        <v>25</v>
      </c>
      <c r="F31" s="16">
        <v>9938</v>
      </c>
      <c r="G31" s="16" t="s">
        <v>2543</v>
      </c>
      <c r="H31" s="10">
        <v>50</v>
      </c>
      <c r="I31" s="16" t="s">
        <v>26</v>
      </c>
      <c r="J31" s="10">
        <v>922875.62</v>
      </c>
      <c r="K31" s="16" t="s">
        <v>27</v>
      </c>
      <c r="L31" s="16">
        <v>173018</v>
      </c>
      <c r="M31" s="16" t="s">
        <v>2544</v>
      </c>
      <c r="O31" s="16">
        <v>1</v>
      </c>
      <c r="P31" s="16" t="s">
        <v>2545</v>
      </c>
      <c r="Q31" s="16" t="s">
        <v>2546</v>
      </c>
    </row>
    <row r="32" spans="1:17" s="16" customFormat="1" x14ac:dyDescent="0.25">
      <c r="A32" s="16">
        <v>8003879954</v>
      </c>
      <c r="B32" s="16">
        <v>5</v>
      </c>
      <c r="C32" s="16">
        <v>28122018</v>
      </c>
      <c r="D32" s="16">
        <v>489</v>
      </c>
      <c r="E32" s="16" t="s">
        <v>31</v>
      </c>
      <c r="F32" s="16">
        <v>9938</v>
      </c>
      <c r="G32" s="16" t="s">
        <v>2543</v>
      </c>
      <c r="H32" s="10">
        <v>0.1</v>
      </c>
      <c r="I32" s="16" t="s">
        <v>26</v>
      </c>
      <c r="J32" s="10">
        <v>922925.62</v>
      </c>
      <c r="K32" s="16" t="s">
        <v>27</v>
      </c>
      <c r="L32" s="16">
        <v>173018</v>
      </c>
      <c r="M32" s="16" t="s">
        <v>2547</v>
      </c>
      <c r="O32" s="16">
        <v>1</v>
      </c>
    </row>
    <row r="33" spans="1:18" s="16" customFormat="1" x14ac:dyDescent="0.25">
      <c r="A33" s="16">
        <v>8003879954</v>
      </c>
      <c r="B33" s="16">
        <v>4</v>
      </c>
      <c r="C33" s="16">
        <v>28122018</v>
      </c>
      <c r="D33" s="16">
        <v>341</v>
      </c>
      <c r="E33" s="16" t="s">
        <v>25</v>
      </c>
      <c r="F33" s="16">
        <v>9938</v>
      </c>
      <c r="G33" s="16" t="s">
        <v>2548</v>
      </c>
      <c r="H33" s="10">
        <v>240</v>
      </c>
      <c r="I33" s="16" t="s">
        <v>26</v>
      </c>
      <c r="J33" s="10">
        <v>922925.72</v>
      </c>
      <c r="K33" s="16" t="s">
        <v>27</v>
      </c>
      <c r="L33" s="16">
        <v>173017</v>
      </c>
      <c r="M33" s="16" t="s">
        <v>40</v>
      </c>
      <c r="O33" s="16">
        <v>1</v>
      </c>
      <c r="P33" s="16" t="s">
        <v>2549</v>
      </c>
      <c r="Q33" s="16" t="s">
        <v>44</v>
      </c>
    </row>
    <row r="34" spans="1:18" s="16" customFormat="1" x14ac:dyDescent="0.25">
      <c r="A34" s="16">
        <v>8003879954</v>
      </c>
      <c r="B34" s="16">
        <v>3</v>
      </c>
      <c r="C34" s="16">
        <v>28122018</v>
      </c>
      <c r="D34" s="16">
        <v>489</v>
      </c>
      <c r="E34" s="16" t="s">
        <v>31</v>
      </c>
      <c r="F34" s="16">
        <v>9938</v>
      </c>
      <c r="G34" s="16" t="s">
        <v>2548</v>
      </c>
      <c r="H34" s="10">
        <v>0.1</v>
      </c>
      <c r="I34" s="16" t="s">
        <v>26</v>
      </c>
      <c r="J34" s="10">
        <v>923165.72</v>
      </c>
      <c r="K34" s="16" t="s">
        <v>27</v>
      </c>
      <c r="L34" s="16">
        <v>173017</v>
      </c>
      <c r="M34" s="16" t="s">
        <v>2550</v>
      </c>
      <c r="O34" s="16">
        <v>1</v>
      </c>
    </row>
    <row r="35" spans="1:18" s="16" customFormat="1" x14ac:dyDescent="0.25">
      <c r="A35" s="16">
        <v>8003879954</v>
      </c>
      <c r="B35" s="16">
        <v>2</v>
      </c>
      <c r="C35" s="16">
        <v>28122018</v>
      </c>
      <c r="D35" s="16">
        <v>60</v>
      </c>
      <c r="E35" s="16" t="s">
        <v>37</v>
      </c>
      <c r="F35" s="16">
        <v>9938</v>
      </c>
      <c r="G35" s="16" t="s">
        <v>2551</v>
      </c>
      <c r="H35" s="10">
        <v>1334.39</v>
      </c>
      <c r="I35" s="16" t="s">
        <v>26</v>
      </c>
      <c r="J35" s="10">
        <v>923165.82</v>
      </c>
      <c r="K35" s="16" t="s">
        <v>27</v>
      </c>
      <c r="L35" s="16">
        <v>173017</v>
      </c>
      <c r="M35" s="16" t="s">
        <v>1287</v>
      </c>
      <c r="O35" s="16">
        <v>1</v>
      </c>
      <c r="P35" s="16" t="s">
        <v>1288</v>
      </c>
      <c r="Q35" s="16" t="s">
        <v>606</v>
      </c>
    </row>
    <row r="36" spans="1:18" s="16" customFormat="1" x14ac:dyDescent="0.25">
      <c r="A36" s="16">
        <v>8003879954</v>
      </c>
      <c r="B36" s="16">
        <v>1</v>
      </c>
      <c r="C36" s="16">
        <v>28122018</v>
      </c>
      <c r="D36" s="16">
        <v>60</v>
      </c>
      <c r="E36" s="16" t="s">
        <v>37</v>
      </c>
      <c r="F36" s="16">
        <v>9938</v>
      </c>
      <c r="G36" s="16" t="s">
        <v>2552</v>
      </c>
      <c r="H36" s="10">
        <v>240.95</v>
      </c>
      <c r="I36" s="16" t="s">
        <v>26</v>
      </c>
      <c r="J36" s="10">
        <v>924500.21</v>
      </c>
      <c r="K36" s="16" t="s">
        <v>27</v>
      </c>
      <c r="L36" s="16">
        <v>173017</v>
      </c>
      <c r="M36" s="16" t="s">
        <v>2553</v>
      </c>
      <c r="O36" s="16">
        <v>1</v>
      </c>
      <c r="P36" s="16" t="s">
        <v>2554</v>
      </c>
      <c r="Q36" s="16" t="s">
        <v>52</v>
      </c>
    </row>
    <row r="37" spans="1:18" s="16" customFormat="1" x14ac:dyDescent="0.25">
      <c r="A37" s="16">
        <v>8003879954</v>
      </c>
      <c r="B37" s="16">
        <v>41</v>
      </c>
      <c r="C37" s="16">
        <v>27122018</v>
      </c>
      <c r="D37" s="16">
        <v>415</v>
      </c>
      <c r="E37" s="16" t="s">
        <v>48</v>
      </c>
      <c r="F37" s="16">
        <v>72</v>
      </c>
      <c r="G37" s="16" t="s">
        <v>2555</v>
      </c>
      <c r="H37" s="10">
        <v>30</v>
      </c>
      <c r="I37" s="16" t="s">
        <v>26</v>
      </c>
      <c r="J37" s="10">
        <v>924741.16</v>
      </c>
      <c r="K37" s="16" t="s">
        <v>27</v>
      </c>
      <c r="L37" s="16">
        <v>201455</v>
      </c>
      <c r="M37" s="16" t="s">
        <v>2556</v>
      </c>
      <c r="O37" s="16">
        <v>1</v>
      </c>
    </row>
    <row r="38" spans="1:18" s="16" customFormat="1" x14ac:dyDescent="0.25">
      <c r="A38" s="16">
        <v>8003879954</v>
      </c>
      <c r="B38" s="16">
        <v>40</v>
      </c>
      <c r="C38" s="16">
        <v>27122018</v>
      </c>
      <c r="D38" s="16">
        <v>349</v>
      </c>
      <c r="E38" s="16" t="s">
        <v>49</v>
      </c>
      <c r="F38" s="16">
        <v>72</v>
      </c>
      <c r="G38" s="16" t="s">
        <v>2555</v>
      </c>
      <c r="H38" s="10">
        <v>97066.9</v>
      </c>
      <c r="I38" s="16" t="s">
        <v>26</v>
      </c>
      <c r="J38" s="10">
        <v>924771.16</v>
      </c>
      <c r="K38" s="16" t="s">
        <v>27</v>
      </c>
      <c r="L38" s="16">
        <v>201455</v>
      </c>
      <c r="M38" s="16" t="s">
        <v>2556</v>
      </c>
      <c r="O38" s="16">
        <v>1</v>
      </c>
    </row>
    <row r="39" spans="1:18" s="16" customFormat="1" x14ac:dyDescent="0.25">
      <c r="A39" s="16">
        <v>8003879954</v>
      </c>
      <c r="B39" s="16">
        <v>39</v>
      </c>
      <c r="C39" s="16">
        <v>27122018</v>
      </c>
      <c r="D39" s="16">
        <v>415</v>
      </c>
      <c r="E39" s="16" t="s">
        <v>48</v>
      </c>
      <c r="F39" s="16">
        <v>72</v>
      </c>
      <c r="G39" s="16" t="s">
        <v>2557</v>
      </c>
      <c r="H39" s="10">
        <v>30</v>
      </c>
      <c r="I39" s="16" t="s">
        <v>26</v>
      </c>
      <c r="J39" s="10">
        <v>1021838.06</v>
      </c>
      <c r="K39" s="16" t="s">
        <v>27</v>
      </c>
      <c r="L39" s="16">
        <v>200907</v>
      </c>
      <c r="M39" s="16" t="s">
        <v>2558</v>
      </c>
      <c r="O39" s="16">
        <v>1</v>
      </c>
    </row>
    <row r="40" spans="1:18" s="16" customFormat="1" x14ac:dyDescent="0.25">
      <c r="A40" s="16">
        <v>8003879954</v>
      </c>
      <c r="B40" s="16">
        <v>38</v>
      </c>
      <c r="C40" s="16">
        <v>27122018</v>
      </c>
      <c r="D40" s="16">
        <v>349</v>
      </c>
      <c r="E40" s="16" t="s">
        <v>49</v>
      </c>
      <c r="F40" s="16">
        <v>72</v>
      </c>
      <c r="G40" s="16" t="s">
        <v>2557</v>
      </c>
      <c r="H40" s="10">
        <v>63304.5</v>
      </c>
      <c r="I40" s="16" t="s">
        <v>26</v>
      </c>
      <c r="J40" s="10">
        <v>1021868.06</v>
      </c>
      <c r="K40" s="16" t="s">
        <v>27</v>
      </c>
      <c r="L40" s="16">
        <v>200907</v>
      </c>
      <c r="M40" s="16" t="s">
        <v>2558</v>
      </c>
      <c r="O40" s="16">
        <v>1</v>
      </c>
    </row>
    <row r="41" spans="1:18" s="16" customFormat="1" x14ac:dyDescent="0.25">
      <c r="A41" s="16">
        <v>8003879954</v>
      </c>
      <c r="B41" s="16">
        <v>37</v>
      </c>
      <c r="C41" s="16">
        <v>27122018</v>
      </c>
      <c r="D41" s="16">
        <v>174</v>
      </c>
      <c r="E41" s="16" t="s">
        <v>159</v>
      </c>
      <c r="F41" s="16">
        <v>2001</v>
      </c>
      <c r="G41" s="16" t="s">
        <v>2559</v>
      </c>
      <c r="H41" s="10">
        <v>2000</v>
      </c>
      <c r="I41" s="16" t="s">
        <v>27</v>
      </c>
      <c r="J41" s="10">
        <v>1085172.56</v>
      </c>
      <c r="K41" s="16" t="s">
        <v>27</v>
      </c>
      <c r="L41" s="16">
        <v>191320</v>
      </c>
      <c r="M41" s="16" t="s">
        <v>518</v>
      </c>
      <c r="O41" s="16">
        <v>1</v>
      </c>
      <c r="P41" s="16" t="s">
        <v>518</v>
      </c>
      <c r="Q41" s="16" t="s">
        <v>518</v>
      </c>
      <c r="R41" s="16" t="s">
        <v>1573</v>
      </c>
    </row>
    <row r="42" spans="1:18" s="16" customFormat="1" x14ac:dyDescent="0.25">
      <c r="A42" s="16">
        <v>8003879954</v>
      </c>
      <c r="B42" s="16">
        <v>36</v>
      </c>
      <c r="C42" s="16">
        <v>27122018</v>
      </c>
      <c r="D42" s="16">
        <v>341</v>
      </c>
      <c r="E42" s="16" t="s">
        <v>25</v>
      </c>
      <c r="F42" s="16">
        <v>9938</v>
      </c>
      <c r="G42" s="16" t="s">
        <v>2560</v>
      </c>
      <c r="H42" s="10">
        <v>130.25</v>
      </c>
      <c r="I42" s="16" t="s">
        <v>26</v>
      </c>
      <c r="J42" s="10">
        <v>1083172.56</v>
      </c>
      <c r="K42" s="16" t="s">
        <v>27</v>
      </c>
      <c r="L42" s="16">
        <v>155315</v>
      </c>
      <c r="M42" s="16" t="s">
        <v>207</v>
      </c>
      <c r="O42" s="16">
        <v>1</v>
      </c>
      <c r="P42" s="16" t="s">
        <v>2561</v>
      </c>
      <c r="Q42" s="16" t="s">
        <v>2562</v>
      </c>
    </row>
    <row r="43" spans="1:18" s="16" customFormat="1" x14ac:dyDescent="0.25">
      <c r="A43" s="16">
        <v>8003879954</v>
      </c>
      <c r="B43" s="16">
        <v>35</v>
      </c>
      <c r="C43" s="16">
        <v>27122018</v>
      </c>
      <c r="D43" s="16">
        <v>489</v>
      </c>
      <c r="E43" s="16" t="s">
        <v>31</v>
      </c>
      <c r="F43" s="16">
        <v>9938</v>
      </c>
      <c r="G43" s="16" t="s">
        <v>2560</v>
      </c>
      <c r="H43" s="10">
        <v>0.1</v>
      </c>
      <c r="I43" s="16" t="s">
        <v>26</v>
      </c>
      <c r="J43" s="10">
        <v>1083302.81</v>
      </c>
      <c r="K43" s="16" t="s">
        <v>27</v>
      </c>
      <c r="L43" s="16">
        <v>155315</v>
      </c>
      <c r="M43" s="16" t="s">
        <v>2563</v>
      </c>
      <c r="O43" s="16">
        <v>1</v>
      </c>
    </row>
    <row r="44" spans="1:18" s="16" customFormat="1" x14ac:dyDescent="0.25">
      <c r="A44" s="16">
        <v>8003879954</v>
      </c>
      <c r="B44" s="16">
        <v>34</v>
      </c>
      <c r="C44" s="16">
        <v>27122018</v>
      </c>
      <c r="D44" s="16">
        <v>345</v>
      </c>
      <c r="E44" s="16" t="s">
        <v>51</v>
      </c>
      <c r="F44" s="16">
        <v>9938</v>
      </c>
      <c r="G44" s="16" t="s">
        <v>2564</v>
      </c>
      <c r="H44" s="10">
        <v>2077.29</v>
      </c>
      <c r="I44" s="16" t="s">
        <v>26</v>
      </c>
      <c r="J44" s="10">
        <v>1083302.9099999999</v>
      </c>
      <c r="K44" s="16" t="s">
        <v>27</v>
      </c>
      <c r="L44" s="16">
        <v>155314</v>
      </c>
      <c r="M44" s="16" t="s">
        <v>2565</v>
      </c>
      <c r="O44" s="16">
        <v>1</v>
      </c>
      <c r="P44" s="16" t="s">
        <v>2566</v>
      </c>
      <c r="Q44" s="16" t="s">
        <v>52</v>
      </c>
    </row>
    <row r="45" spans="1:18" s="16" customFormat="1" x14ac:dyDescent="0.25">
      <c r="A45" s="16">
        <v>8003879954</v>
      </c>
      <c r="B45" s="16">
        <v>33</v>
      </c>
      <c r="C45" s="16">
        <v>27122018</v>
      </c>
      <c r="D45" s="16">
        <v>60</v>
      </c>
      <c r="E45" s="16" t="s">
        <v>37</v>
      </c>
      <c r="F45" s="16">
        <v>9938</v>
      </c>
      <c r="G45" s="16" t="s">
        <v>2567</v>
      </c>
      <c r="H45" s="10">
        <v>360</v>
      </c>
      <c r="I45" s="16" t="s">
        <v>26</v>
      </c>
      <c r="J45" s="10">
        <v>1085380.2</v>
      </c>
      <c r="K45" s="16" t="s">
        <v>27</v>
      </c>
      <c r="L45" s="16">
        <v>155314</v>
      </c>
      <c r="M45" s="16" t="s">
        <v>2568</v>
      </c>
      <c r="O45" s="16">
        <v>1</v>
      </c>
      <c r="P45" s="16" t="s">
        <v>2569</v>
      </c>
      <c r="Q45" s="16" t="s">
        <v>2570</v>
      </c>
    </row>
    <row r="46" spans="1:18" s="16" customFormat="1" x14ac:dyDescent="0.25">
      <c r="A46" s="16">
        <v>8003879954</v>
      </c>
      <c r="B46" s="16">
        <v>32</v>
      </c>
      <c r="C46" s="16">
        <v>27122018</v>
      </c>
      <c r="D46" s="16">
        <v>60</v>
      </c>
      <c r="E46" s="16" t="s">
        <v>37</v>
      </c>
      <c r="F46" s="16">
        <v>9938</v>
      </c>
      <c r="G46" s="16" t="s">
        <v>2571</v>
      </c>
      <c r="H46" s="10">
        <v>540</v>
      </c>
      <c r="I46" s="16" t="s">
        <v>26</v>
      </c>
      <c r="J46" s="10">
        <v>1085740.2</v>
      </c>
      <c r="K46" s="16" t="s">
        <v>27</v>
      </c>
      <c r="L46" s="16">
        <v>155130</v>
      </c>
      <c r="M46" s="16" t="s">
        <v>2572</v>
      </c>
      <c r="O46" s="16">
        <v>1</v>
      </c>
      <c r="P46" s="16" t="s">
        <v>2573</v>
      </c>
      <c r="Q46" s="16" t="s">
        <v>2574</v>
      </c>
    </row>
    <row r="47" spans="1:18" s="16" customFormat="1" x14ac:dyDescent="0.25">
      <c r="A47" s="16">
        <v>8003879954</v>
      </c>
      <c r="B47" s="16">
        <v>31</v>
      </c>
      <c r="C47" s="16">
        <v>27122018</v>
      </c>
      <c r="D47" s="16">
        <v>345</v>
      </c>
      <c r="E47" s="16" t="s">
        <v>51</v>
      </c>
      <c r="F47" s="16">
        <v>9938</v>
      </c>
      <c r="G47" s="16" t="s">
        <v>2575</v>
      </c>
      <c r="H47" s="10">
        <v>3889</v>
      </c>
      <c r="I47" s="16" t="s">
        <v>26</v>
      </c>
      <c r="J47" s="10">
        <v>1086280.2</v>
      </c>
      <c r="K47" s="16" t="s">
        <v>27</v>
      </c>
      <c r="L47" s="16">
        <v>155124</v>
      </c>
      <c r="M47" s="16" t="s">
        <v>2576</v>
      </c>
      <c r="O47" s="16">
        <v>1</v>
      </c>
      <c r="P47" s="16" t="s">
        <v>2577</v>
      </c>
      <c r="Q47" s="16" t="s">
        <v>52</v>
      </c>
    </row>
    <row r="48" spans="1:18" s="16" customFormat="1" x14ac:dyDescent="0.25">
      <c r="A48" s="16">
        <v>8003879954</v>
      </c>
      <c r="B48" s="16">
        <v>30</v>
      </c>
      <c r="C48" s="16">
        <v>27122018</v>
      </c>
      <c r="D48" s="16">
        <v>60</v>
      </c>
      <c r="E48" s="16" t="s">
        <v>37</v>
      </c>
      <c r="F48" s="16">
        <v>9938</v>
      </c>
      <c r="G48" s="16" t="s">
        <v>2578</v>
      </c>
      <c r="H48" s="10">
        <v>1551.85</v>
      </c>
      <c r="I48" s="16" t="s">
        <v>26</v>
      </c>
      <c r="J48" s="10">
        <v>1090169.2</v>
      </c>
      <c r="K48" s="16" t="s">
        <v>27</v>
      </c>
      <c r="L48" s="16">
        <v>155125</v>
      </c>
      <c r="M48" s="16" t="s">
        <v>2579</v>
      </c>
      <c r="O48" s="16">
        <v>1</v>
      </c>
      <c r="P48" s="16" t="s">
        <v>2580</v>
      </c>
      <c r="Q48" s="16" t="s">
        <v>2581</v>
      </c>
    </row>
    <row r="49" spans="1:17" s="16" customFormat="1" x14ac:dyDescent="0.25">
      <c r="A49" s="16">
        <v>8003879954</v>
      </c>
      <c r="B49" s="16">
        <v>29</v>
      </c>
      <c r="C49" s="16">
        <v>27122018</v>
      </c>
      <c r="D49" s="16">
        <v>341</v>
      </c>
      <c r="E49" s="16" t="s">
        <v>25</v>
      </c>
      <c r="F49" s="16">
        <v>9938</v>
      </c>
      <c r="G49" s="16" t="s">
        <v>2582</v>
      </c>
      <c r="H49" s="10">
        <v>78</v>
      </c>
      <c r="I49" s="16" t="s">
        <v>26</v>
      </c>
      <c r="J49" s="10">
        <v>1091721.05</v>
      </c>
      <c r="K49" s="16" t="s">
        <v>27</v>
      </c>
      <c r="L49" s="16">
        <v>155125</v>
      </c>
      <c r="M49" s="16" t="s">
        <v>39</v>
      </c>
      <c r="O49" s="16">
        <v>1</v>
      </c>
      <c r="P49" s="16" t="s">
        <v>2583</v>
      </c>
      <c r="Q49" s="16" t="s">
        <v>2584</v>
      </c>
    </row>
    <row r="50" spans="1:17" s="16" customFormat="1" x14ac:dyDescent="0.25">
      <c r="A50" s="16">
        <v>8003879954</v>
      </c>
      <c r="B50" s="16">
        <v>28</v>
      </c>
      <c r="C50" s="16">
        <v>27122018</v>
      </c>
      <c r="D50" s="16">
        <v>489</v>
      </c>
      <c r="E50" s="16" t="s">
        <v>31</v>
      </c>
      <c r="F50" s="16">
        <v>9938</v>
      </c>
      <c r="G50" s="16" t="s">
        <v>2582</v>
      </c>
      <c r="H50" s="10">
        <v>0.1</v>
      </c>
      <c r="I50" s="16" t="s">
        <v>26</v>
      </c>
      <c r="J50" s="10">
        <v>1091799.05</v>
      </c>
      <c r="K50" s="16" t="s">
        <v>27</v>
      </c>
      <c r="L50" s="16">
        <v>155125</v>
      </c>
      <c r="M50" s="16" t="s">
        <v>2585</v>
      </c>
      <c r="O50" s="16">
        <v>1</v>
      </c>
    </row>
    <row r="51" spans="1:17" s="16" customFormat="1" x14ac:dyDescent="0.25">
      <c r="A51" s="16">
        <v>8003879954</v>
      </c>
      <c r="B51" s="16">
        <v>27</v>
      </c>
      <c r="C51" s="16">
        <v>27122018</v>
      </c>
      <c r="D51" s="16">
        <v>60</v>
      </c>
      <c r="E51" s="16" t="s">
        <v>37</v>
      </c>
      <c r="F51" s="16">
        <v>9938</v>
      </c>
      <c r="G51" s="16" t="s">
        <v>2586</v>
      </c>
      <c r="H51" s="10">
        <v>6360</v>
      </c>
      <c r="I51" s="16" t="s">
        <v>26</v>
      </c>
      <c r="J51" s="10">
        <v>1091799.1499999999</v>
      </c>
      <c r="K51" s="16" t="s">
        <v>27</v>
      </c>
      <c r="L51" s="16">
        <v>155125</v>
      </c>
      <c r="M51" s="16" t="s">
        <v>2587</v>
      </c>
      <c r="O51" s="16">
        <v>1</v>
      </c>
      <c r="P51" s="16" t="s">
        <v>2588</v>
      </c>
      <c r="Q51" s="16" t="s">
        <v>2589</v>
      </c>
    </row>
    <row r="52" spans="1:17" s="16" customFormat="1" x14ac:dyDescent="0.25">
      <c r="A52" s="16">
        <v>8003879954</v>
      </c>
      <c r="B52" s="16">
        <v>26</v>
      </c>
      <c r="C52" s="16">
        <v>27122018</v>
      </c>
      <c r="D52" s="16">
        <v>341</v>
      </c>
      <c r="E52" s="16" t="s">
        <v>25</v>
      </c>
      <c r="F52" s="16">
        <v>9938</v>
      </c>
      <c r="G52" s="16" t="s">
        <v>2590</v>
      </c>
      <c r="H52" s="10">
        <v>4000</v>
      </c>
      <c r="I52" s="16" t="s">
        <v>26</v>
      </c>
      <c r="J52" s="10">
        <v>1098159.1499999999</v>
      </c>
      <c r="K52" s="16" t="s">
        <v>27</v>
      </c>
      <c r="L52" s="16">
        <v>155124</v>
      </c>
      <c r="M52" s="16" t="s">
        <v>43</v>
      </c>
      <c r="O52" s="16">
        <v>1</v>
      </c>
      <c r="P52" s="16" t="s">
        <v>2591</v>
      </c>
      <c r="Q52" s="16" t="s">
        <v>44</v>
      </c>
    </row>
    <row r="53" spans="1:17" s="16" customFormat="1" x14ac:dyDescent="0.25">
      <c r="A53" s="16">
        <v>8003879954</v>
      </c>
      <c r="B53" s="16">
        <v>25</v>
      </c>
      <c r="C53" s="16">
        <v>27122018</v>
      </c>
      <c r="D53" s="16">
        <v>489</v>
      </c>
      <c r="E53" s="16" t="s">
        <v>31</v>
      </c>
      <c r="F53" s="16">
        <v>9938</v>
      </c>
      <c r="G53" s="16" t="s">
        <v>2590</v>
      </c>
      <c r="H53" s="10">
        <v>0.1</v>
      </c>
      <c r="I53" s="16" t="s">
        <v>26</v>
      </c>
      <c r="J53" s="10">
        <v>1102159.1499999999</v>
      </c>
      <c r="K53" s="16" t="s">
        <v>27</v>
      </c>
      <c r="L53" s="16">
        <v>155124</v>
      </c>
      <c r="M53" s="16" t="s">
        <v>2592</v>
      </c>
      <c r="O53" s="16">
        <v>1</v>
      </c>
    </row>
    <row r="54" spans="1:17" s="16" customFormat="1" x14ac:dyDescent="0.25">
      <c r="A54" s="16">
        <v>8003879954</v>
      </c>
      <c r="B54" s="16">
        <v>24</v>
      </c>
      <c r="C54" s="16">
        <v>27122018</v>
      </c>
      <c r="D54" s="16">
        <v>341</v>
      </c>
      <c r="E54" s="16" t="s">
        <v>25</v>
      </c>
      <c r="F54" s="16">
        <v>9938</v>
      </c>
      <c r="G54" s="16" t="s">
        <v>2593</v>
      </c>
      <c r="H54" s="10">
        <v>145</v>
      </c>
      <c r="I54" s="16" t="s">
        <v>26</v>
      </c>
      <c r="J54" s="10">
        <v>1102159.25</v>
      </c>
      <c r="K54" s="16" t="s">
        <v>27</v>
      </c>
      <c r="L54" s="16">
        <v>155124</v>
      </c>
      <c r="M54" s="16" t="s">
        <v>1823</v>
      </c>
      <c r="O54" s="16">
        <v>1</v>
      </c>
      <c r="P54" s="16" t="s">
        <v>2594</v>
      </c>
      <c r="Q54" s="16" t="s">
        <v>2595</v>
      </c>
    </row>
    <row r="55" spans="1:17" s="16" customFormat="1" x14ac:dyDescent="0.25">
      <c r="A55" s="16">
        <v>8003879954</v>
      </c>
      <c r="B55" s="16">
        <v>23</v>
      </c>
      <c r="C55" s="16">
        <v>27122018</v>
      </c>
      <c r="D55" s="16">
        <v>489</v>
      </c>
      <c r="E55" s="16" t="s">
        <v>31</v>
      </c>
      <c r="F55" s="16">
        <v>9938</v>
      </c>
      <c r="G55" s="16" t="s">
        <v>2593</v>
      </c>
      <c r="H55" s="10">
        <v>0.1</v>
      </c>
      <c r="I55" s="16" t="s">
        <v>26</v>
      </c>
      <c r="J55" s="10">
        <v>1102304.25</v>
      </c>
      <c r="K55" s="16" t="s">
        <v>27</v>
      </c>
      <c r="L55" s="16">
        <v>155124</v>
      </c>
      <c r="M55" s="16" t="s">
        <v>2596</v>
      </c>
      <c r="O55" s="16">
        <v>1</v>
      </c>
    </row>
    <row r="56" spans="1:17" s="16" customFormat="1" x14ac:dyDescent="0.25">
      <c r="A56" s="16">
        <v>8003879954</v>
      </c>
      <c r="B56" s="16">
        <v>22</v>
      </c>
      <c r="C56" s="16">
        <v>27122018</v>
      </c>
      <c r="D56" s="16">
        <v>60</v>
      </c>
      <c r="E56" s="16" t="s">
        <v>37</v>
      </c>
      <c r="F56" s="16">
        <v>9938</v>
      </c>
      <c r="G56" s="16" t="s">
        <v>2597</v>
      </c>
      <c r="H56" s="10">
        <v>300</v>
      </c>
      <c r="I56" s="16" t="s">
        <v>26</v>
      </c>
      <c r="J56" s="10">
        <v>1102304.3500000001</v>
      </c>
      <c r="K56" s="16" t="s">
        <v>27</v>
      </c>
      <c r="L56" s="16">
        <v>155124</v>
      </c>
      <c r="M56" s="16" t="s">
        <v>2598</v>
      </c>
      <c r="O56" s="16">
        <v>1</v>
      </c>
      <c r="P56" s="16" t="s">
        <v>2599</v>
      </c>
      <c r="Q56" s="16" t="s">
        <v>2600</v>
      </c>
    </row>
    <row r="57" spans="1:17" s="16" customFormat="1" x14ac:dyDescent="0.25">
      <c r="A57" s="16">
        <v>8003879954</v>
      </c>
      <c r="B57" s="16">
        <v>21</v>
      </c>
      <c r="C57" s="16">
        <v>27122018</v>
      </c>
      <c r="D57" s="16">
        <v>60</v>
      </c>
      <c r="E57" s="16" t="s">
        <v>37</v>
      </c>
      <c r="F57" s="16">
        <v>9938</v>
      </c>
      <c r="G57" s="16" t="s">
        <v>2601</v>
      </c>
      <c r="H57" s="10">
        <v>8009</v>
      </c>
      <c r="I57" s="16" t="s">
        <v>26</v>
      </c>
      <c r="J57" s="10">
        <v>1102604.3500000001</v>
      </c>
      <c r="K57" s="16" t="s">
        <v>27</v>
      </c>
      <c r="L57" s="16">
        <v>155123</v>
      </c>
      <c r="M57" s="16" t="s">
        <v>2602</v>
      </c>
      <c r="O57" s="16">
        <v>1</v>
      </c>
      <c r="P57" s="16" t="s">
        <v>2603</v>
      </c>
      <c r="Q57" s="16" t="s">
        <v>2604</v>
      </c>
    </row>
    <row r="58" spans="1:17" s="16" customFormat="1" x14ac:dyDescent="0.25">
      <c r="A58" s="16">
        <v>8003879954</v>
      </c>
      <c r="B58" s="16">
        <v>20</v>
      </c>
      <c r="C58" s="16">
        <v>27122018</v>
      </c>
      <c r="D58" s="16">
        <v>341</v>
      </c>
      <c r="E58" s="16" t="s">
        <v>25</v>
      </c>
      <c r="F58" s="16">
        <v>9938</v>
      </c>
      <c r="G58" s="16" t="s">
        <v>2605</v>
      </c>
      <c r="H58" s="10">
        <v>270</v>
      </c>
      <c r="I58" s="16" t="s">
        <v>26</v>
      </c>
      <c r="J58" s="10">
        <v>1110613.3500000001</v>
      </c>
      <c r="K58" s="16" t="s">
        <v>27</v>
      </c>
      <c r="L58" s="16">
        <v>154818</v>
      </c>
      <c r="M58" s="16" t="s">
        <v>47</v>
      </c>
      <c r="O58" s="16">
        <v>1</v>
      </c>
      <c r="P58" s="16" t="s">
        <v>2606</v>
      </c>
      <c r="Q58" s="16" t="s">
        <v>2607</v>
      </c>
    </row>
    <row r="59" spans="1:17" s="16" customFormat="1" x14ac:dyDescent="0.25">
      <c r="A59" s="16">
        <v>8003879954</v>
      </c>
      <c r="B59" s="16">
        <v>19</v>
      </c>
      <c r="C59" s="16">
        <v>27122018</v>
      </c>
      <c r="D59" s="16">
        <v>489</v>
      </c>
      <c r="E59" s="16" t="s">
        <v>31</v>
      </c>
      <c r="F59" s="16">
        <v>9938</v>
      </c>
      <c r="G59" s="16" t="s">
        <v>2605</v>
      </c>
      <c r="H59" s="10">
        <v>0.1</v>
      </c>
      <c r="I59" s="16" t="s">
        <v>26</v>
      </c>
      <c r="J59" s="10">
        <v>1110883.3500000001</v>
      </c>
      <c r="K59" s="16" t="s">
        <v>27</v>
      </c>
      <c r="L59" s="16">
        <v>154818</v>
      </c>
      <c r="M59" s="16" t="s">
        <v>2608</v>
      </c>
      <c r="O59" s="16">
        <v>1</v>
      </c>
    </row>
    <row r="60" spans="1:17" s="16" customFormat="1" x14ac:dyDescent="0.25">
      <c r="A60" s="16">
        <v>8003879954</v>
      </c>
      <c r="B60" s="16">
        <v>18</v>
      </c>
      <c r="C60" s="16">
        <v>27122018</v>
      </c>
      <c r="D60" s="16">
        <v>341</v>
      </c>
      <c r="E60" s="16" t="s">
        <v>25</v>
      </c>
      <c r="F60" s="16">
        <v>9938</v>
      </c>
      <c r="G60" s="16" t="s">
        <v>2609</v>
      </c>
      <c r="H60" s="10">
        <v>4240</v>
      </c>
      <c r="I60" s="16" t="s">
        <v>26</v>
      </c>
      <c r="J60" s="10">
        <v>1110883.45</v>
      </c>
      <c r="K60" s="16" t="s">
        <v>27</v>
      </c>
      <c r="L60" s="16">
        <v>154817</v>
      </c>
      <c r="M60" s="16" t="s">
        <v>2610</v>
      </c>
      <c r="O60" s="16">
        <v>1</v>
      </c>
      <c r="P60" s="16" t="s">
        <v>2611</v>
      </c>
      <c r="Q60" s="16" t="s">
        <v>2612</v>
      </c>
    </row>
    <row r="61" spans="1:17" s="16" customFormat="1" x14ac:dyDescent="0.25">
      <c r="A61" s="16">
        <v>8003879954</v>
      </c>
      <c r="B61" s="16">
        <v>17</v>
      </c>
      <c r="C61" s="16">
        <v>27122018</v>
      </c>
      <c r="D61" s="16">
        <v>489</v>
      </c>
      <c r="E61" s="16" t="s">
        <v>31</v>
      </c>
      <c r="F61" s="16">
        <v>9938</v>
      </c>
      <c r="G61" s="16" t="s">
        <v>2609</v>
      </c>
      <c r="H61" s="10">
        <v>0.1</v>
      </c>
      <c r="I61" s="16" t="s">
        <v>26</v>
      </c>
      <c r="J61" s="10">
        <v>1115123.45</v>
      </c>
      <c r="K61" s="16" t="s">
        <v>27</v>
      </c>
      <c r="L61" s="16">
        <v>154817</v>
      </c>
      <c r="M61" s="16" t="s">
        <v>2613</v>
      </c>
      <c r="O61" s="16">
        <v>1</v>
      </c>
    </row>
    <row r="62" spans="1:17" s="16" customFormat="1" x14ac:dyDescent="0.25">
      <c r="A62" s="16">
        <v>8003879954</v>
      </c>
      <c r="B62" s="16">
        <v>16</v>
      </c>
      <c r="C62" s="16">
        <v>27122018</v>
      </c>
      <c r="D62" s="16">
        <v>341</v>
      </c>
      <c r="E62" s="16" t="s">
        <v>25</v>
      </c>
      <c r="F62" s="16">
        <v>9938</v>
      </c>
      <c r="G62" s="16" t="s">
        <v>2614</v>
      </c>
      <c r="H62" s="10">
        <v>9439</v>
      </c>
      <c r="I62" s="16" t="s">
        <v>26</v>
      </c>
      <c r="J62" s="10">
        <v>1115123.55</v>
      </c>
      <c r="K62" s="16" t="s">
        <v>27</v>
      </c>
      <c r="L62" s="16">
        <v>154815</v>
      </c>
      <c r="M62" s="16" t="s">
        <v>1700</v>
      </c>
      <c r="O62" s="16">
        <v>1</v>
      </c>
      <c r="P62" s="16" t="s">
        <v>2615</v>
      </c>
      <c r="Q62" s="16" t="s">
        <v>2616</v>
      </c>
    </row>
    <row r="63" spans="1:17" s="16" customFormat="1" x14ac:dyDescent="0.25">
      <c r="A63" s="16">
        <v>8003879954</v>
      </c>
      <c r="B63" s="16">
        <v>15</v>
      </c>
      <c r="C63" s="16">
        <v>27122018</v>
      </c>
      <c r="D63" s="16">
        <v>489</v>
      </c>
      <c r="E63" s="16" t="s">
        <v>31</v>
      </c>
      <c r="F63" s="16">
        <v>9938</v>
      </c>
      <c r="G63" s="16" t="s">
        <v>2614</v>
      </c>
      <c r="H63" s="10">
        <v>0.1</v>
      </c>
      <c r="I63" s="16" t="s">
        <v>26</v>
      </c>
      <c r="J63" s="10">
        <v>1124562.55</v>
      </c>
      <c r="K63" s="16" t="s">
        <v>27</v>
      </c>
      <c r="L63" s="16">
        <v>154815</v>
      </c>
      <c r="M63" s="16" t="s">
        <v>2617</v>
      </c>
      <c r="O63" s="16">
        <v>1</v>
      </c>
    </row>
    <row r="64" spans="1:17" s="16" customFormat="1" x14ac:dyDescent="0.25">
      <c r="A64" s="16">
        <v>8003879954</v>
      </c>
      <c r="B64" s="16">
        <v>14</v>
      </c>
      <c r="C64" s="16">
        <v>27122018</v>
      </c>
      <c r="D64" s="16">
        <v>341</v>
      </c>
      <c r="E64" s="16" t="s">
        <v>25</v>
      </c>
      <c r="F64" s="16">
        <v>9938</v>
      </c>
      <c r="G64" s="16" t="s">
        <v>2618</v>
      </c>
      <c r="H64" s="10">
        <v>8750</v>
      </c>
      <c r="I64" s="16" t="s">
        <v>26</v>
      </c>
      <c r="J64" s="10">
        <v>1124562.6499999999</v>
      </c>
      <c r="K64" s="16" t="s">
        <v>27</v>
      </c>
      <c r="L64" s="16">
        <v>154817</v>
      </c>
      <c r="M64" s="16" t="s">
        <v>273</v>
      </c>
      <c r="O64" s="16">
        <v>1</v>
      </c>
      <c r="P64" s="16" t="s">
        <v>2619</v>
      </c>
      <c r="Q64" s="16" t="s">
        <v>2620</v>
      </c>
    </row>
    <row r="65" spans="1:18" s="16" customFormat="1" x14ac:dyDescent="0.25">
      <c r="A65" s="16">
        <v>8003879954</v>
      </c>
      <c r="B65" s="16">
        <v>13</v>
      </c>
      <c r="C65" s="16">
        <v>27122018</v>
      </c>
      <c r="D65" s="16">
        <v>489</v>
      </c>
      <c r="E65" s="16" t="s">
        <v>31</v>
      </c>
      <c r="F65" s="16">
        <v>9938</v>
      </c>
      <c r="G65" s="16" t="s">
        <v>2618</v>
      </c>
      <c r="H65" s="10">
        <v>0.1</v>
      </c>
      <c r="I65" s="16" t="s">
        <v>26</v>
      </c>
      <c r="J65" s="10">
        <v>1133312.6499999999</v>
      </c>
      <c r="K65" s="16" t="s">
        <v>27</v>
      </c>
      <c r="L65" s="16">
        <v>154817</v>
      </c>
      <c r="M65" s="16" t="s">
        <v>2621</v>
      </c>
      <c r="O65" s="16">
        <v>1</v>
      </c>
    </row>
    <row r="66" spans="1:18" s="16" customFormat="1" x14ac:dyDescent="0.25">
      <c r="A66" s="16">
        <v>8003879954</v>
      </c>
      <c r="B66" s="16">
        <v>12</v>
      </c>
      <c r="C66" s="16">
        <v>27122018</v>
      </c>
      <c r="D66" s="16">
        <v>341</v>
      </c>
      <c r="E66" s="16" t="s">
        <v>25</v>
      </c>
      <c r="F66" s="16">
        <v>9938</v>
      </c>
      <c r="G66" s="16" t="s">
        <v>2622</v>
      </c>
      <c r="H66" s="10">
        <v>127.35</v>
      </c>
      <c r="I66" s="16" t="s">
        <v>26</v>
      </c>
      <c r="J66" s="10">
        <v>1133312.75</v>
      </c>
      <c r="K66" s="16" t="s">
        <v>27</v>
      </c>
      <c r="L66" s="16">
        <v>154816</v>
      </c>
      <c r="M66" s="16" t="s">
        <v>967</v>
      </c>
      <c r="O66" s="16">
        <v>1</v>
      </c>
      <c r="P66" s="16" t="s">
        <v>2623</v>
      </c>
      <c r="Q66" s="16" t="s">
        <v>2624</v>
      </c>
    </row>
    <row r="67" spans="1:18" s="16" customFormat="1" x14ac:dyDescent="0.25">
      <c r="A67" s="16">
        <v>8003879954</v>
      </c>
      <c r="B67" s="16">
        <v>11</v>
      </c>
      <c r="C67" s="16">
        <v>27122018</v>
      </c>
      <c r="D67" s="16">
        <v>489</v>
      </c>
      <c r="E67" s="16" t="s">
        <v>31</v>
      </c>
      <c r="F67" s="16">
        <v>9938</v>
      </c>
      <c r="G67" s="16" t="s">
        <v>2622</v>
      </c>
      <c r="H67" s="10">
        <v>0.1</v>
      </c>
      <c r="I67" s="16" t="s">
        <v>26</v>
      </c>
      <c r="J67" s="10">
        <v>1133440.1000000001</v>
      </c>
      <c r="K67" s="16" t="s">
        <v>27</v>
      </c>
      <c r="L67" s="16">
        <v>154816</v>
      </c>
      <c r="M67" s="16" t="s">
        <v>2625</v>
      </c>
      <c r="O67" s="16">
        <v>1</v>
      </c>
    </row>
    <row r="68" spans="1:18" s="16" customFormat="1" x14ac:dyDescent="0.25">
      <c r="A68" s="16">
        <v>8003879954</v>
      </c>
      <c r="B68" s="16">
        <v>10</v>
      </c>
      <c r="C68" s="16">
        <v>27122018</v>
      </c>
      <c r="D68" s="16">
        <v>341</v>
      </c>
      <c r="E68" s="16" t="s">
        <v>25</v>
      </c>
      <c r="F68" s="16">
        <v>9938</v>
      </c>
      <c r="G68" s="16" t="s">
        <v>2626</v>
      </c>
      <c r="H68" s="10">
        <v>450</v>
      </c>
      <c r="I68" s="16" t="s">
        <v>26</v>
      </c>
      <c r="J68" s="10">
        <v>1133440.2</v>
      </c>
      <c r="K68" s="16" t="s">
        <v>27</v>
      </c>
      <c r="L68" s="16">
        <v>154815</v>
      </c>
      <c r="M68" s="16" t="s">
        <v>2627</v>
      </c>
      <c r="O68" s="16">
        <v>1</v>
      </c>
      <c r="P68" s="16" t="s">
        <v>2628</v>
      </c>
      <c r="Q68" s="16" t="s">
        <v>2629</v>
      </c>
    </row>
    <row r="69" spans="1:18" s="16" customFormat="1" x14ac:dyDescent="0.25">
      <c r="A69" s="16">
        <v>8003879954</v>
      </c>
      <c r="B69" s="16">
        <v>9</v>
      </c>
      <c r="C69" s="16">
        <v>27122018</v>
      </c>
      <c r="D69" s="16">
        <v>489</v>
      </c>
      <c r="E69" s="16" t="s">
        <v>31</v>
      </c>
      <c r="F69" s="16">
        <v>9938</v>
      </c>
      <c r="G69" s="16" t="s">
        <v>2626</v>
      </c>
      <c r="H69" s="10">
        <v>0.1</v>
      </c>
      <c r="I69" s="16" t="s">
        <v>26</v>
      </c>
      <c r="J69" s="10">
        <v>1133890.2</v>
      </c>
      <c r="K69" s="16" t="s">
        <v>27</v>
      </c>
      <c r="L69" s="16">
        <v>154815</v>
      </c>
      <c r="M69" s="16" t="s">
        <v>2630</v>
      </c>
      <c r="O69" s="16">
        <v>1</v>
      </c>
    </row>
    <row r="70" spans="1:18" s="16" customFormat="1" x14ac:dyDescent="0.25">
      <c r="A70" s="16">
        <v>8003879954</v>
      </c>
      <c r="B70" s="16">
        <v>8</v>
      </c>
      <c r="C70" s="16">
        <v>27122018</v>
      </c>
      <c r="D70" s="16">
        <v>60</v>
      </c>
      <c r="E70" s="16" t="s">
        <v>37</v>
      </c>
      <c r="F70" s="16">
        <v>9938</v>
      </c>
      <c r="G70" s="16" t="s">
        <v>2631</v>
      </c>
      <c r="H70" s="10">
        <v>636</v>
      </c>
      <c r="I70" s="16" t="s">
        <v>26</v>
      </c>
      <c r="J70" s="10">
        <v>1133890.3</v>
      </c>
      <c r="K70" s="16" t="s">
        <v>27</v>
      </c>
      <c r="L70" s="16">
        <v>154816</v>
      </c>
      <c r="M70" s="16" t="s">
        <v>1615</v>
      </c>
      <c r="O70" s="16">
        <v>1</v>
      </c>
      <c r="P70" s="16" t="s">
        <v>2632</v>
      </c>
      <c r="Q70" s="16" t="s">
        <v>2633</v>
      </c>
    </row>
    <row r="71" spans="1:18" s="16" customFormat="1" x14ac:dyDescent="0.25">
      <c r="A71" s="16">
        <v>8003879954</v>
      </c>
      <c r="B71" s="16">
        <v>7</v>
      </c>
      <c r="C71" s="16">
        <v>27122018</v>
      </c>
      <c r="D71" s="16">
        <v>341</v>
      </c>
      <c r="E71" s="16" t="s">
        <v>25</v>
      </c>
      <c r="F71" s="16">
        <v>9938</v>
      </c>
      <c r="G71" s="16" t="s">
        <v>2634</v>
      </c>
      <c r="H71" s="10">
        <v>1000</v>
      </c>
      <c r="I71" s="16" t="s">
        <v>26</v>
      </c>
      <c r="J71" s="10">
        <v>1134526.3</v>
      </c>
      <c r="K71" s="16" t="s">
        <v>27</v>
      </c>
      <c r="L71" s="16">
        <v>154815</v>
      </c>
      <c r="M71" s="16" t="s">
        <v>314</v>
      </c>
      <c r="O71" s="16">
        <v>1</v>
      </c>
      <c r="P71" s="16" t="s">
        <v>2635</v>
      </c>
      <c r="Q71" s="16" t="s">
        <v>44</v>
      </c>
    </row>
    <row r="72" spans="1:18" s="16" customFormat="1" x14ac:dyDescent="0.25">
      <c r="A72" s="16">
        <v>8003879954</v>
      </c>
      <c r="B72" s="16">
        <v>6</v>
      </c>
      <c r="C72" s="16">
        <v>27122018</v>
      </c>
      <c r="D72" s="16">
        <v>489</v>
      </c>
      <c r="E72" s="16" t="s">
        <v>31</v>
      </c>
      <c r="F72" s="16">
        <v>9938</v>
      </c>
      <c r="G72" s="16" t="s">
        <v>2634</v>
      </c>
      <c r="H72" s="10">
        <v>0.1</v>
      </c>
      <c r="I72" s="16" t="s">
        <v>26</v>
      </c>
      <c r="J72" s="10">
        <v>1135526.3</v>
      </c>
      <c r="K72" s="16" t="s">
        <v>27</v>
      </c>
      <c r="L72" s="16">
        <v>154815</v>
      </c>
      <c r="M72" s="16" t="s">
        <v>2636</v>
      </c>
      <c r="O72" s="16">
        <v>1</v>
      </c>
    </row>
    <row r="73" spans="1:18" s="16" customFormat="1" x14ac:dyDescent="0.25">
      <c r="A73" s="16">
        <v>8003879954</v>
      </c>
      <c r="B73" s="16">
        <v>5</v>
      </c>
      <c r="C73" s="16">
        <v>27122018</v>
      </c>
      <c r="D73" s="16">
        <v>341</v>
      </c>
      <c r="E73" s="16" t="s">
        <v>25</v>
      </c>
      <c r="F73" s="16">
        <v>9938</v>
      </c>
      <c r="G73" s="16" t="s">
        <v>2637</v>
      </c>
      <c r="H73" s="10">
        <v>70</v>
      </c>
      <c r="I73" s="16" t="s">
        <v>26</v>
      </c>
      <c r="J73" s="10">
        <v>1135526.3999999999</v>
      </c>
      <c r="K73" s="16" t="s">
        <v>27</v>
      </c>
      <c r="L73" s="16">
        <v>154815</v>
      </c>
      <c r="M73" s="16" t="s">
        <v>212</v>
      </c>
      <c r="O73" s="16">
        <v>1</v>
      </c>
      <c r="P73" s="16" t="s">
        <v>2638</v>
      </c>
      <c r="Q73" s="16" t="s">
        <v>2639</v>
      </c>
    </row>
    <row r="74" spans="1:18" s="16" customFormat="1" x14ac:dyDescent="0.25">
      <c r="A74" s="16">
        <v>8003879954</v>
      </c>
      <c r="B74" s="16">
        <v>4</v>
      </c>
      <c r="C74" s="16">
        <v>27122018</v>
      </c>
      <c r="D74" s="16">
        <v>489</v>
      </c>
      <c r="E74" s="16" t="s">
        <v>31</v>
      </c>
      <c r="F74" s="16">
        <v>9938</v>
      </c>
      <c r="G74" s="16" t="s">
        <v>2637</v>
      </c>
      <c r="H74" s="10">
        <v>0.1</v>
      </c>
      <c r="I74" s="16" t="s">
        <v>26</v>
      </c>
      <c r="J74" s="10">
        <v>1135596.3999999999</v>
      </c>
      <c r="K74" s="16" t="s">
        <v>27</v>
      </c>
      <c r="L74" s="16">
        <v>154815</v>
      </c>
      <c r="M74" s="16" t="s">
        <v>2640</v>
      </c>
      <c r="O74" s="16">
        <v>1</v>
      </c>
    </row>
    <row r="75" spans="1:18" s="16" customFormat="1" x14ac:dyDescent="0.25">
      <c r="A75" s="16">
        <v>8003879954</v>
      </c>
      <c r="B75" s="16">
        <v>3</v>
      </c>
      <c r="C75" s="16">
        <v>27122018</v>
      </c>
      <c r="D75" s="16">
        <v>415</v>
      </c>
      <c r="E75" s="16" t="s">
        <v>48</v>
      </c>
      <c r="F75" s="16">
        <v>72</v>
      </c>
      <c r="G75" s="16" t="s">
        <v>2641</v>
      </c>
      <c r="H75" s="10">
        <v>10</v>
      </c>
      <c r="I75" s="16" t="s">
        <v>26</v>
      </c>
      <c r="J75" s="10">
        <v>1135596.5</v>
      </c>
      <c r="K75" s="16" t="s">
        <v>27</v>
      </c>
      <c r="L75" s="16">
        <v>150625</v>
      </c>
      <c r="M75" s="16" t="s">
        <v>2642</v>
      </c>
      <c r="O75" s="16">
        <v>1</v>
      </c>
    </row>
    <row r="76" spans="1:18" s="16" customFormat="1" x14ac:dyDescent="0.25">
      <c r="A76" s="16">
        <v>8003879954</v>
      </c>
      <c r="B76" s="16">
        <v>2</v>
      </c>
      <c r="C76" s="16">
        <v>27122018</v>
      </c>
      <c r="D76" s="16">
        <v>349</v>
      </c>
      <c r="E76" s="16" t="s">
        <v>49</v>
      </c>
      <c r="F76" s="16">
        <v>72</v>
      </c>
      <c r="G76" s="16" t="s">
        <v>2641</v>
      </c>
      <c r="H76" s="10">
        <v>95683.04</v>
      </c>
      <c r="I76" s="16" t="s">
        <v>26</v>
      </c>
      <c r="J76" s="10">
        <v>1135606.5</v>
      </c>
      <c r="K76" s="16" t="s">
        <v>27</v>
      </c>
      <c r="L76" s="16">
        <v>150625</v>
      </c>
      <c r="M76" s="16" t="s">
        <v>2642</v>
      </c>
      <c r="O76" s="16">
        <v>1</v>
      </c>
    </row>
    <row r="77" spans="1:18" s="16" customFormat="1" x14ac:dyDescent="0.25">
      <c r="A77" s="16">
        <v>8003879954</v>
      </c>
      <c r="B77" s="16">
        <v>1</v>
      </c>
      <c r="C77" s="16">
        <v>27122018</v>
      </c>
      <c r="D77" s="16">
        <v>5</v>
      </c>
      <c r="E77" s="16" t="s">
        <v>54</v>
      </c>
      <c r="H77" s="10">
        <v>700000</v>
      </c>
      <c r="I77" s="16" t="s">
        <v>27</v>
      </c>
      <c r="J77" s="10">
        <v>1231289.54</v>
      </c>
      <c r="K77" s="16" t="s">
        <v>27</v>
      </c>
      <c r="L77" s="16">
        <v>110129</v>
      </c>
      <c r="M77" s="16" t="s">
        <v>490</v>
      </c>
      <c r="O77" s="16">
        <v>1</v>
      </c>
      <c r="P77" s="16" t="s">
        <v>491</v>
      </c>
      <c r="Q77" s="16" t="s">
        <v>176</v>
      </c>
      <c r="R77" s="16" t="s">
        <v>55</v>
      </c>
    </row>
    <row r="78" spans="1:18" s="16" customFormat="1" x14ac:dyDescent="0.25">
      <c r="A78" s="16">
        <v>8003879954</v>
      </c>
      <c r="B78" s="16">
        <v>8</v>
      </c>
      <c r="C78" s="16">
        <v>21122018</v>
      </c>
      <c r="D78" s="16">
        <v>819</v>
      </c>
      <c r="E78" s="16" t="s">
        <v>35</v>
      </c>
      <c r="H78" s="10">
        <v>3.5</v>
      </c>
      <c r="I78" s="16" t="s">
        <v>26</v>
      </c>
      <c r="J78" s="10">
        <v>531289.54</v>
      </c>
      <c r="K78" s="16" t="s">
        <v>27</v>
      </c>
      <c r="L78" s="16">
        <v>11857</v>
      </c>
      <c r="M78" s="16" t="s">
        <v>32</v>
      </c>
      <c r="O78" s="16">
        <v>1</v>
      </c>
    </row>
    <row r="79" spans="1:18" s="16" customFormat="1" x14ac:dyDescent="0.25">
      <c r="A79" s="16">
        <v>8003879954</v>
      </c>
      <c r="B79" s="16">
        <v>7</v>
      </c>
      <c r="C79" s="16">
        <v>21122018</v>
      </c>
      <c r="D79" s="16">
        <v>323</v>
      </c>
      <c r="E79" s="16" t="s">
        <v>50</v>
      </c>
      <c r="F79" s="16">
        <v>0</v>
      </c>
      <c r="G79" s="16" t="s">
        <v>2643</v>
      </c>
      <c r="H79" s="10">
        <v>39000</v>
      </c>
      <c r="I79" s="16" t="s">
        <v>26</v>
      </c>
      <c r="J79" s="10">
        <v>531293.04</v>
      </c>
      <c r="K79" s="16" t="s">
        <v>27</v>
      </c>
      <c r="L79" s="16">
        <v>11805</v>
      </c>
      <c r="M79" s="16" t="s">
        <v>32</v>
      </c>
      <c r="O79" s="16">
        <v>1</v>
      </c>
    </row>
    <row r="80" spans="1:18" s="16" customFormat="1" x14ac:dyDescent="0.25">
      <c r="A80" s="16">
        <v>8003879954</v>
      </c>
      <c r="B80" s="16">
        <v>6</v>
      </c>
      <c r="C80" s="16">
        <v>21122018</v>
      </c>
      <c r="D80" s="16">
        <v>323</v>
      </c>
      <c r="E80" s="16" t="s">
        <v>50</v>
      </c>
      <c r="F80" s="16">
        <v>0</v>
      </c>
      <c r="G80" s="16" t="s">
        <v>2644</v>
      </c>
      <c r="H80" s="10">
        <v>52925.8</v>
      </c>
      <c r="I80" s="16" t="s">
        <v>26</v>
      </c>
      <c r="J80" s="10">
        <v>570293.04</v>
      </c>
      <c r="K80" s="16" t="s">
        <v>27</v>
      </c>
      <c r="L80" s="16">
        <v>11805</v>
      </c>
      <c r="M80" s="16" t="s">
        <v>32</v>
      </c>
      <c r="O80" s="16">
        <v>1</v>
      </c>
    </row>
    <row r="81" spans="1:18" s="16" customFormat="1" x14ac:dyDescent="0.25">
      <c r="A81" s="16">
        <v>8003879954</v>
      </c>
      <c r="B81" s="16">
        <v>5</v>
      </c>
      <c r="C81" s="16">
        <v>21122018</v>
      </c>
      <c r="D81" s="16">
        <v>323</v>
      </c>
      <c r="E81" s="16" t="s">
        <v>50</v>
      </c>
      <c r="F81" s="16">
        <v>0</v>
      </c>
      <c r="G81" s="16" t="s">
        <v>2645</v>
      </c>
      <c r="H81" s="10">
        <v>19345.7</v>
      </c>
      <c r="I81" s="16" t="s">
        <v>26</v>
      </c>
      <c r="J81" s="10">
        <v>623218.84</v>
      </c>
      <c r="K81" s="16" t="s">
        <v>27</v>
      </c>
      <c r="L81" s="16">
        <v>11805</v>
      </c>
      <c r="M81" s="16" t="s">
        <v>32</v>
      </c>
      <c r="O81" s="16">
        <v>1</v>
      </c>
    </row>
    <row r="82" spans="1:18" s="16" customFormat="1" x14ac:dyDescent="0.25">
      <c r="A82" s="16">
        <v>8003879954</v>
      </c>
      <c r="B82" s="16">
        <v>4</v>
      </c>
      <c r="C82" s="16">
        <v>21122018</v>
      </c>
      <c r="D82" s="16">
        <v>323</v>
      </c>
      <c r="E82" s="16" t="s">
        <v>50</v>
      </c>
      <c r="F82" s="16">
        <v>0</v>
      </c>
      <c r="G82" s="16" t="s">
        <v>2646</v>
      </c>
      <c r="H82" s="10">
        <v>483366</v>
      </c>
      <c r="I82" s="16" t="s">
        <v>26</v>
      </c>
      <c r="J82" s="10">
        <v>642564.54</v>
      </c>
      <c r="K82" s="16" t="s">
        <v>27</v>
      </c>
      <c r="L82" s="16">
        <v>11805</v>
      </c>
      <c r="M82" s="16" t="s">
        <v>32</v>
      </c>
      <c r="O82" s="16">
        <v>1</v>
      </c>
    </row>
    <row r="83" spans="1:18" s="16" customFormat="1" x14ac:dyDescent="0.25">
      <c r="A83" s="16">
        <v>8003879954</v>
      </c>
      <c r="B83" s="16">
        <v>3</v>
      </c>
      <c r="C83" s="16">
        <v>21122018</v>
      </c>
      <c r="D83" s="16">
        <v>323</v>
      </c>
      <c r="E83" s="16" t="s">
        <v>50</v>
      </c>
      <c r="F83" s="16">
        <v>0</v>
      </c>
      <c r="G83" s="16" t="s">
        <v>2647</v>
      </c>
      <c r="H83" s="10">
        <v>255613</v>
      </c>
      <c r="I83" s="16" t="s">
        <v>26</v>
      </c>
      <c r="J83" s="10">
        <v>1125930.54</v>
      </c>
      <c r="K83" s="16" t="s">
        <v>27</v>
      </c>
      <c r="L83" s="16">
        <v>11805</v>
      </c>
      <c r="M83" s="16" t="s">
        <v>32</v>
      </c>
      <c r="O83" s="16">
        <v>1</v>
      </c>
    </row>
    <row r="84" spans="1:18" s="16" customFormat="1" x14ac:dyDescent="0.25">
      <c r="A84" s="16">
        <v>8003879954</v>
      </c>
      <c r="B84" s="16">
        <v>2</v>
      </c>
      <c r="C84" s="16">
        <v>21122018</v>
      </c>
      <c r="D84" s="16">
        <v>323</v>
      </c>
      <c r="E84" s="16" t="s">
        <v>50</v>
      </c>
      <c r="F84" s="16">
        <v>0</v>
      </c>
      <c r="G84" s="16" t="s">
        <v>2648</v>
      </c>
      <c r="H84" s="10">
        <v>43606</v>
      </c>
      <c r="I84" s="16" t="s">
        <v>26</v>
      </c>
      <c r="J84" s="10">
        <v>1381543.54</v>
      </c>
      <c r="K84" s="16" t="s">
        <v>27</v>
      </c>
      <c r="L84" s="16">
        <v>11805</v>
      </c>
      <c r="M84" s="16" t="s">
        <v>32</v>
      </c>
      <c r="O84" s="16">
        <v>1</v>
      </c>
    </row>
    <row r="85" spans="1:18" s="16" customFormat="1" x14ac:dyDescent="0.25">
      <c r="A85" s="16">
        <v>8003879954</v>
      </c>
      <c r="B85" s="16">
        <v>1</v>
      </c>
      <c r="C85" s="16">
        <v>21122018</v>
      </c>
      <c r="D85" s="16">
        <v>323</v>
      </c>
      <c r="E85" s="16" t="s">
        <v>50</v>
      </c>
      <c r="F85" s="16">
        <v>0</v>
      </c>
      <c r="G85" s="16" t="s">
        <v>2649</v>
      </c>
      <c r="H85" s="10">
        <v>58181.55</v>
      </c>
      <c r="I85" s="16" t="s">
        <v>26</v>
      </c>
      <c r="J85" s="10">
        <v>1425149.54</v>
      </c>
      <c r="K85" s="16" t="s">
        <v>27</v>
      </c>
      <c r="L85" s="16">
        <v>11805</v>
      </c>
      <c r="M85" s="16" t="s">
        <v>32</v>
      </c>
      <c r="O85" s="16">
        <v>1</v>
      </c>
    </row>
    <row r="86" spans="1:18" s="16" customFormat="1" x14ac:dyDescent="0.25">
      <c r="A86" s="16">
        <v>8003879954</v>
      </c>
      <c r="B86" s="16">
        <v>7</v>
      </c>
      <c r="C86" s="16">
        <v>20122018</v>
      </c>
      <c r="D86" s="16">
        <v>415</v>
      </c>
      <c r="E86" s="16" t="s">
        <v>48</v>
      </c>
      <c r="F86" s="16">
        <v>72</v>
      </c>
      <c r="G86" s="16" t="s">
        <v>2650</v>
      </c>
      <c r="H86" s="10">
        <v>30</v>
      </c>
      <c r="I86" s="16" t="s">
        <v>26</v>
      </c>
      <c r="J86" s="10">
        <v>1483331.09</v>
      </c>
      <c r="K86" s="16" t="s">
        <v>27</v>
      </c>
      <c r="L86" s="16">
        <v>174633</v>
      </c>
      <c r="M86" s="16" t="s">
        <v>2651</v>
      </c>
      <c r="O86" s="16">
        <v>1</v>
      </c>
    </row>
    <row r="87" spans="1:18" s="16" customFormat="1" x14ac:dyDescent="0.25">
      <c r="A87" s="16">
        <v>8003879954</v>
      </c>
      <c r="B87" s="16">
        <v>6</v>
      </c>
      <c r="C87" s="16">
        <v>20122018</v>
      </c>
      <c r="D87" s="16">
        <v>349</v>
      </c>
      <c r="E87" s="16" t="s">
        <v>49</v>
      </c>
      <c r="F87" s="16">
        <v>72</v>
      </c>
      <c r="G87" s="16" t="s">
        <v>2650</v>
      </c>
      <c r="H87" s="10">
        <v>74933.850000000006</v>
      </c>
      <c r="I87" s="16" t="s">
        <v>26</v>
      </c>
      <c r="J87" s="10">
        <v>1483361.09</v>
      </c>
      <c r="K87" s="16" t="s">
        <v>27</v>
      </c>
      <c r="L87" s="16">
        <v>174633</v>
      </c>
      <c r="M87" s="16" t="s">
        <v>2651</v>
      </c>
      <c r="O87" s="16">
        <v>1</v>
      </c>
    </row>
    <row r="88" spans="1:18" s="16" customFormat="1" x14ac:dyDescent="0.25">
      <c r="A88" s="16">
        <v>8003879954</v>
      </c>
      <c r="B88" s="16">
        <v>5</v>
      </c>
      <c r="C88" s="16">
        <v>20122018</v>
      </c>
      <c r="D88" s="16">
        <v>415</v>
      </c>
      <c r="E88" s="16" t="s">
        <v>48</v>
      </c>
      <c r="F88" s="16">
        <v>72</v>
      </c>
      <c r="G88" s="16" t="s">
        <v>2652</v>
      </c>
      <c r="H88" s="10">
        <v>30</v>
      </c>
      <c r="I88" s="16" t="s">
        <v>26</v>
      </c>
      <c r="J88" s="10">
        <v>1558294.94</v>
      </c>
      <c r="K88" s="16" t="s">
        <v>27</v>
      </c>
      <c r="L88" s="16">
        <v>164747</v>
      </c>
      <c r="M88" s="16" t="s">
        <v>2653</v>
      </c>
      <c r="O88" s="16">
        <v>1</v>
      </c>
    </row>
    <row r="89" spans="1:18" s="16" customFormat="1" x14ac:dyDescent="0.25">
      <c r="A89" s="16">
        <v>8003879954</v>
      </c>
      <c r="B89" s="16">
        <v>4</v>
      </c>
      <c r="C89" s="16">
        <v>20122018</v>
      </c>
      <c r="D89" s="16">
        <v>349</v>
      </c>
      <c r="E89" s="16" t="s">
        <v>49</v>
      </c>
      <c r="F89" s="16">
        <v>72</v>
      </c>
      <c r="G89" s="16" t="s">
        <v>2652</v>
      </c>
      <c r="H89" s="10">
        <v>108270.08</v>
      </c>
      <c r="I89" s="16" t="s">
        <v>26</v>
      </c>
      <c r="J89" s="10">
        <v>1558324.94</v>
      </c>
      <c r="K89" s="16" t="s">
        <v>27</v>
      </c>
      <c r="L89" s="16">
        <v>164747</v>
      </c>
      <c r="M89" s="16" t="s">
        <v>2653</v>
      </c>
      <c r="O89" s="16">
        <v>1</v>
      </c>
    </row>
    <row r="90" spans="1:18" s="16" customFormat="1" x14ac:dyDescent="0.25">
      <c r="A90" s="16">
        <v>8003879954</v>
      </c>
      <c r="B90" s="16">
        <v>3</v>
      </c>
      <c r="C90" s="16">
        <v>20122018</v>
      </c>
      <c r="D90" s="16">
        <v>489</v>
      </c>
      <c r="E90" s="16" t="s">
        <v>56</v>
      </c>
      <c r="F90" s="16">
        <v>3471</v>
      </c>
      <c r="G90" s="16" t="s">
        <v>2654</v>
      </c>
      <c r="H90" s="10">
        <v>1.9</v>
      </c>
      <c r="I90" s="16" t="s">
        <v>26</v>
      </c>
      <c r="J90" s="10">
        <v>1666595.02</v>
      </c>
      <c r="K90" s="16" t="s">
        <v>27</v>
      </c>
      <c r="L90" s="16">
        <v>111902</v>
      </c>
      <c r="M90" s="16" t="s">
        <v>32</v>
      </c>
      <c r="O90" s="16">
        <v>1</v>
      </c>
    </row>
    <row r="91" spans="1:18" s="16" customFormat="1" x14ac:dyDescent="0.25">
      <c r="A91" s="16">
        <v>8003879954</v>
      </c>
      <c r="B91" s="16">
        <v>2</v>
      </c>
      <c r="C91" s="16">
        <v>20122018</v>
      </c>
      <c r="D91" s="16">
        <v>669</v>
      </c>
      <c r="E91" s="16" t="s">
        <v>33</v>
      </c>
      <c r="F91" s="16">
        <v>1812</v>
      </c>
      <c r="G91" s="16" t="s">
        <v>2655</v>
      </c>
      <c r="H91" s="10">
        <v>42420</v>
      </c>
      <c r="I91" s="16" t="s">
        <v>26</v>
      </c>
      <c r="J91" s="10">
        <v>1666596.92</v>
      </c>
      <c r="K91" s="16" t="s">
        <v>27</v>
      </c>
      <c r="L91" s="16">
        <v>111820</v>
      </c>
      <c r="M91" s="16" t="s">
        <v>2656</v>
      </c>
      <c r="O91" s="16">
        <v>1</v>
      </c>
      <c r="P91" s="16" t="s">
        <v>2657</v>
      </c>
      <c r="R91" s="16" t="s">
        <v>34</v>
      </c>
    </row>
    <row r="92" spans="1:18" s="16" customFormat="1" x14ac:dyDescent="0.25">
      <c r="A92" s="16">
        <v>8003879954</v>
      </c>
      <c r="B92" s="16">
        <v>1</v>
      </c>
      <c r="C92" s="16">
        <v>20122018</v>
      </c>
      <c r="D92" s="16">
        <v>5</v>
      </c>
      <c r="E92" s="16" t="s">
        <v>54</v>
      </c>
      <c r="H92" s="10">
        <v>1500000</v>
      </c>
      <c r="I92" s="16" t="s">
        <v>27</v>
      </c>
      <c r="J92" s="10">
        <v>1709016.92</v>
      </c>
      <c r="K92" s="16" t="s">
        <v>27</v>
      </c>
      <c r="L92" s="16">
        <v>85204</v>
      </c>
      <c r="M92" s="16" t="s">
        <v>490</v>
      </c>
      <c r="O92" s="16">
        <v>1</v>
      </c>
      <c r="P92" s="16" t="s">
        <v>491</v>
      </c>
      <c r="Q92" s="16" t="s">
        <v>176</v>
      </c>
      <c r="R92" s="16" t="s">
        <v>55</v>
      </c>
    </row>
    <row r="93" spans="1:18" s="16" customFormat="1" x14ac:dyDescent="0.25">
      <c r="A93" s="16">
        <v>8003879954</v>
      </c>
      <c r="B93" s="16">
        <v>64</v>
      </c>
      <c r="C93" s="16">
        <v>19122018</v>
      </c>
      <c r="D93" s="16">
        <v>819</v>
      </c>
      <c r="E93" s="16" t="s">
        <v>35</v>
      </c>
      <c r="H93" s="10">
        <v>0.5</v>
      </c>
      <c r="I93" s="16" t="s">
        <v>26</v>
      </c>
      <c r="J93" s="10">
        <v>209016.92</v>
      </c>
      <c r="K93" s="16" t="s">
        <v>27</v>
      </c>
      <c r="L93" s="16">
        <v>5756</v>
      </c>
      <c r="M93" s="16" t="s">
        <v>32</v>
      </c>
      <c r="O93" s="16">
        <v>1</v>
      </c>
    </row>
    <row r="94" spans="1:18" s="16" customFormat="1" x14ac:dyDescent="0.25">
      <c r="A94" s="16">
        <v>8003879954</v>
      </c>
      <c r="B94" s="16">
        <v>63</v>
      </c>
      <c r="C94" s="16">
        <v>19122018</v>
      </c>
      <c r="D94" s="16">
        <v>321</v>
      </c>
      <c r="E94" s="16" t="s">
        <v>36</v>
      </c>
      <c r="F94" s="16">
        <v>0</v>
      </c>
      <c r="G94" s="16" t="s">
        <v>2658</v>
      </c>
      <c r="H94" s="10">
        <v>162.05000000000001</v>
      </c>
      <c r="I94" s="16" t="s">
        <v>26</v>
      </c>
      <c r="J94" s="10">
        <v>209017.42</v>
      </c>
      <c r="K94" s="16" t="s">
        <v>27</v>
      </c>
      <c r="L94" s="16">
        <v>5646</v>
      </c>
      <c r="M94" s="16" t="s">
        <v>32</v>
      </c>
      <c r="O94" s="16">
        <v>1</v>
      </c>
    </row>
    <row r="95" spans="1:18" s="16" customFormat="1" x14ac:dyDescent="0.25">
      <c r="A95" s="16">
        <v>8003879954</v>
      </c>
      <c r="B95" s="16">
        <v>62</v>
      </c>
      <c r="C95" s="16">
        <v>19122018</v>
      </c>
      <c r="D95" s="16">
        <v>341</v>
      </c>
      <c r="E95" s="16" t="s">
        <v>25</v>
      </c>
      <c r="F95" s="16">
        <v>9938</v>
      </c>
      <c r="G95" s="16" t="s">
        <v>2659</v>
      </c>
      <c r="H95" s="10">
        <v>2400</v>
      </c>
      <c r="I95" s="16" t="s">
        <v>26</v>
      </c>
      <c r="J95" s="10">
        <v>209179.47</v>
      </c>
      <c r="K95" s="16" t="s">
        <v>27</v>
      </c>
      <c r="L95" s="16">
        <v>152648</v>
      </c>
      <c r="M95" s="16" t="s">
        <v>2660</v>
      </c>
      <c r="O95" s="16">
        <v>1</v>
      </c>
      <c r="P95" s="16" t="s">
        <v>2661</v>
      </c>
      <c r="Q95" s="16" t="s">
        <v>2662</v>
      </c>
    </row>
    <row r="96" spans="1:18" s="16" customFormat="1" x14ac:dyDescent="0.25">
      <c r="A96" s="16">
        <v>8003879954</v>
      </c>
      <c r="B96" s="16">
        <v>61</v>
      </c>
      <c r="C96" s="16">
        <v>19122018</v>
      </c>
      <c r="D96" s="16">
        <v>489</v>
      </c>
      <c r="E96" s="16" t="s">
        <v>31</v>
      </c>
      <c r="F96" s="16">
        <v>9938</v>
      </c>
      <c r="G96" s="16" t="s">
        <v>2659</v>
      </c>
      <c r="H96" s="10">
        <v>0.1</v>
      </c>
      <c r="I96" s="16" t="s">
        <v>26</v>
      </c>
      <c r="J96" s="10">
        <v>211579.47</v>
      </c>
      <c r="K96" s="16" t="s">
        <v>27</v>
      </c>
      <c r="L96" s="16">
        <v>152648</v>
      </c>
      <c r="M96" s="16" t="s">
        <v>2663</v>
      </c>
      <c r="O96" s="16">
        <v>1</v>
      </c>
    </row>
    <row r="97" spans="1:17" s="16" customFormat="1" x14ac:dyDescent="0.25">
      <c r="A97" s="16">
        <v>8003879954</v>
      </c>
      <c r="B97" s="16">
        <v>60</v>
      </c>
      <c r="C97" s="16">
        <v>19122018</v>
      </c>
      <c r="D97" s="16">
        <v>60</v>
      </c>
      <c r="E97" s="16" t="s">
        <v>37</v>
      </c>
      <c r="F97" s="16">
        <v>9938</v>
      </c>
      <c r="G97" s="16" t="s">
        <v>2664</v>
      </c>
      <c r="H97" s="10">
        <v>2750</v>
      </c>
      <c r="I97" s="16" t="s">
        <v>26</v>
      </c>
      <c r="J97" s="10">
        <v>211579.57</v>
      </c>
      <c r="K97" s="16" t="s">
        <v>27</v>
      </c>
      <c r="L97" s="16">
        <v>145129</v>
      </c>
      <c r="M97" s="16" t="s">
        <v>2665</v>
      </c>
      <c r="O97" s="16">
        <v>1</v>
      </c>
      <c r="P97" s="16" t="s">
        <v>2666</v>
      </c>
      <c r="Q97" s="16" t="s">
        <v>2667</v>
      </c>
    </row>
    <row r="98" spans="1:17" s="16" customFormat="1" x14ac:dyDescent="0.25">
      <c r="A98" s="16">
        <v>8003879954</v>
      </c>
      <c r="B98" s="16">
        <v>59</v>
      </c>
      <c r="C98" s="16">
        <v>19122018</v>
      </c>
      <c r="D98" s="16">
        <v>343</v>
      </c>
      <c r="E98" s="16" t="s">
        <v>115</v>
      </c>
      <c r="F98" s="16">
        <v>9938</v>
      </c>
      <c r="G98" s="16" t="s">
        <v>2668</v>
      </c>
      <c r="H98" s="10">
        <v>597.85</v>
      </c>
      <c r="I98" s="16" t="s">
        <v>26</v>
      </c>
      <c r="J98" s="10">
        <v>214329.57</v>
      </c>
      <c r="K98" s="16" t="s">
        <v>27</v>
      </c>
      <c r="L98" s="16">
        <v>145129</v>
      </c>
      <c r="M98" s="16" t="s">
        <v>117</v>
      </c>
      <c r="O98" s="16">
        <v>1</v>
      </c>
    </row>
    <row r="99" spans="1:17" s="16" customFormat="1" x14ac:dyDescent="0.25">
      <c r="A99" s="16">
        <v>8003879954</v>
      </c>
      <c r="B99" s="16">
        <v>58</v>
      </c>
      <c r="C99" s="16">
        <v>19122018</v>
      </c>
      <c r="D99" s="16">
        <v>346</v>
      </c>
      <c r="E99" s="16" t="s">
        <v>137</v>
      </c>
      <c r="F99" s="16">
        <v>9938</v>
      </c>
      <c r="G99" s="16" t="s">
        <v>2669</v>
      </c>
      <c r="H99" s="10">
        <v>3683.22</v>
      </c>
      <c r="I99" s="16" t="s">
        <v>26</v>
      </c>
      <c r="J99" s="10">
        <v>214927.42</v>
      </c>
      <c r="K99" s="16" t="s">
        <v>27</v>
      </c>
      <c r="L99" s="16">
        <v>145128</v>
      </c>
      <c r="M99" s="16" t="s">
        <v>2670</v>
      </c>
      <c r="O99" s="16">
        <v>1</v>
      </c>
      <c r="P99" s="16" t="s">
        <v>2671</v>
      </c>
      <c r="Q99" s="16" t="s">
        <v>141</v>
      </c>
    </row>
    <row r="100" spans="1:17" s="16" customFormat="1" x14ac:dyDescent="0.25">
      <c r="A100" s="16">
        <v>8003879954</v>
      </c>
      <c r="B100" s="16">
        <v>57</v>
      </c>
      <c r="C100" s="16">
        <v>19122018</v>
      </c>
      <c r="D100" s="16">
        <v>60</v>
      </c>
      <c r="E100" s="16" t="s">
        <v>37</v>
      </c>
      <c r="F100" s="16">
        <v>9938</v>
      </c>
      <c r="G100" s="16" t="s">
        <v>2672</v>
      </c>
      <c r="H100" s="10">
        <v>6360</v>
      </c>
      <c r="I100" s="16" t="s">
        <v>26</v>
      </c>
      <c r="J100" s="10">
        <v>218610.64</v>
      </c>
      <c r="K100" s="16" t="s">
        <v>27</v>
      </c>
      <c r="L100" s="16">
        <v>145128</v>
      </c>
      <c r="M100" s="16" t="s">
        <v>2587</v>
      </c>
      <c r="O100" s="16">
        <v>1</v>
      </c>
      <c r="P100" s="16" t="s">
        <v>2673</v>
      </c>
      <c r="Q100" s="16" t="s">
        <v>2674</v>
      </c>
    </row>
    <row r="101" spans="1:17" s="16" customFormat="1" x14ac:dyDescent="0.25">
      <c r="A101" s="16">
        <v>8003879954</v>
      </c>
      <c r="B101" s="16">
        <v>56</v>
      </c>
      <c r="C101" s="16">
        <v>19122018</v>
      </c>
      <c r="D101" s="16">
        <v>343</v>
      </c>
      <c r="E101" s="16" t="s">
        <v>115</v>
      </c>
      <c r="F101" s="16">
        <v>9938</v>
      </c>
      <c r="G101" s="16" t="s">
        <v>2675</v>
      </c>
      <c r="H101" s="10">
        <v>720.45</v>
      </c>
      <c r="I101" s="16" t="s">
        <v>26</v>
      </c>
      <c r="J101" s="10">
        <v>224970.64</v>
      </c>
      <c r="K101" s="16" t="s">
        <v>27</v>
      </c>
      <c r="L101" s="16">
        <v>133255</v>
      </c>
      <c r="M101" s="16" t="s">
        <v>336</v>
      </c>
      <c r="O101" s="16">
        <v>1</v>
      </c>
    </row>
    <row r="102" spans="1:17" s="16" customFormat="1" x14ac:dyDescent="0.25">
      <c r="A102" s="16">
        <v>8003879954</v>
      </c>
      <c r="B102" s="16">
        <v>55</v>
      </c>
      <c r="C102" s="16">
        <v>19122018</v>
      </c>
      <c r="D102" s="16">
        <v>345</v>
      </c>
      <c r="E102" s="16" t="s">
        <v>51</v>
      </c>
      <c r="F102" s="16">
        <v>9938</v>
      </c>
      <c r="G102" s="16" t="s">
        <v>2676</v>
      </c>
      <c r="H102" s="10">
        <v>8569.7199999999993</v>
      </c>
      <c r="I102" s="16" t="s">
        <v>26</v>
      </c>
      <c r="J102" s="10">
        <v>225691.09</v>
      </c>
      <c r="K102" s="16" t="s">
        <v>27</v>
      </c>
      <c r="L102" s="16">
        <v>133254</v>
      </c>
      <c r="M102" s="16" t="s">
        <v>2677</v>
      </c>
      <c r="O102" s="16">
        <v>1</v>
      </c>
      <c r="P102" s="16" t="s">
        <v>2678</v>
      </c>
      <c r="Q102" s="16" t="s">
        <v>52</v>
      </c>
    </row>
    <row r="103" spans="1:17" s="16" customFormat="1" x14ac:dyDescent="0.25">
      <c r="A103" s="16">
        <v>8003879954</v>
      </c>
      <c r="B103" s="16">
        <v>54</v>
      </c>
      <c r="C103" s="16">
        <v>19122018</v>
      </c>
      <c r="D103" s="16">
        <v>343</v>
      </c>
      <c r="E103" s="16" t="s">
        <v>115</v>
      </c>
      <c r="F103" s="16">
        <v>9938</v>
      </c>
      <c r="G103" s="16" t="s">
        <v>2679</v>
      </c>
      <c r="H103" s="10">
        <v>11.85</v>
      </c>
      <c r="I103" s="16" t="s">
        <v>26</v>
      </c>
      <c r="J103" s="10">
        <v>234260.81</v>
      </c>
      <c r="K103" s="16" t="s">
        <v>27</v>
      </c>
      <c r="L103" s="16">
        <v>133254</v>
      </c>
      <c r="M103" s="16" t="s">
        <v>334</v>
      </c>
      <c r="O103" s="16">
        <v>1</v>
      </c>
    </row>
    <row r="104" spans="1:17" s="16" customFormat="1" x14ac:dyDescent="0.25">
      <c r="A104" s="16">
        <v>8003879954</v>
      </c>
      <c r="B104" s="16">
        <v>53</v>
      </c>
      <c r="C104" s="16">
        <v>19122018</v>
      </c>
      <c r="D104" s="16">
        <v>343</v>
      </c>
      <c r="E104" s="16" t="s">
        <v>115</v>
      </c>
      <c r="F104" s="16">
        <v>9938</v>
      </c>
      <c r="G104" s="16" t="s">
        <v>2680</v>
      </c>
      <c r="H104" s="10">
        <v>1052.5999999999999</v>
      </c>
      <c r="I104" s="16" t="s">
        <v>26</v>
      </c>
      <c r="J104" s="10">
        <v>234272.66</v>
      </c>
      <c r="K104" s="16" t="s">
        <v>27</v>
      </c>
      <c r="L104" s="16">
        <v>133254</v>
      </c>
      <c r="M104" s="16" t="s">
        <v>338</v>
      </c>
      <c r="O104" s="16">
        <v>1</v>
      </c>
    </row>
    <row r="105" spans="1:17" s="16" customFormat="1" x14ac:dyDescent="0.25">
      <c r="A105" s="16">
        <v>8003879954</v>
      </c>
      <c r="B105" s="16">
        <v>52</v>
      </c>
      <c r="C105" s="16">
        <v>19122018</v>
      </c>
      <c r="D105" s="16">
        <v>345</v>
      </c>
      <c r="E105" s="16" t="s">
        <v>51</v>
      </c>
      <c r="F105" s="16">
        <v>9938</v>
      </c>
      <c r="G105" s="16" t="s">
        <v>2681</v>
      </c>
      <c r="H105" s="10">
        <v>1354.65</v>
      </c>
      <c r="I105" s="16" t="s">
        <v>26</v>
      </c>
      <c r="J105" s="10">
        <v>235325.26</v>
      </c>
      <c r="K105" s="16" t="s">
        <v>27</v>
      </c>
      <c r="L105" s="16">
        <v>133254</v>
      </c>
      <c r="M105" s="16" t="s">
        <v>2682</v>
      </c>
      <c r="O105" s="16">
        <v>1</v>
      </c>
      <c r="P105" s="16" t="s">
        <v>2683</v>
      </c>
      <c r="Q105" s="16" t="s">
        <v>2684</v>
      </c>
    </row>
    <row r="106" spans="1:17" s="16" customFormat="1" x14ac:dyDescent="0.25">
      <c r="A106" s="16">
        <v>8003879954</v>
      </c>
      <c r="B106" s="16">
        <v>51</v>
      </c>
      <c r="C106" s="16">
        <v>19122018</v>
      </c>
      <c r="D106" s="16">
        <v>341</v>
      </c>
      <c r="E106" s="16" t="s">
        <v>25</v>
      </c>
      <c r="F106" s="16">
        <v>9938</v>
      </c>
      <c r="G106" s="16" t="s">
        <v>2685</v>
      </c>
      <c r="H106" s="10">
        <v>480</v>
      </c>
      <c r="I106" s="16" t="s">
        <v>26</v>
      </c>
      <c r="J106" s="10">
        <v>236679.91</v>
      </c>
      <c r="K106" s="16" t="s">
        <v>27</v>
      </c>
      <c r="L106" s="16">
        <v>133130</v>
      </c>
      <c r="M106" s="16" t="s">
        <v>2686</v>
      </c>
      <c r="O106" s="16">
        <v>1</v>
      </c>
      <c r="P106" s="16" t="s">
        <v>2687</v>
      </c>
      <c r="Q106" s="16" t="s">
        <v>2688</v>
      </c>
    </row>
    <row r="107" spans="1:17" s="16" customFormat="1" x14ac:dyDescent="0.25">
      <c r="A107" s="16">
        <v>8003879954</v>
      </c>
      <c r="B107" s="16">
        <v>50</v>
      </c>
      <c r="C107" s="16">
        <v>19122018</v>
      </c>
      <c r="D107" s="16">
        <v>489</v>
      </c>
      <c r="E107" s="16" t="s">
        <v>31</v>
      </c>
      <c r="F107" s="16">
        <v>9938</v>
      </c>
      <c r="G107" s="16" t="s">
        <v>2685</v>
      </c>
      <c r="H107" s="10">
        <v>0.1</v>
      </c>
      <c r="I107" s="16" t="s">
        <v>26</v>
      </c>
      <c r="J107" s="10">
        <v>237159.91</v>
      </c>
      <c r="K107" s="16" t="s">
        <v>27</v>
      </c>
      <c r="L107" s="16">
        <v>133130</v>
      </c>
      <c r="M107" s="16" t="s">
        <v>2689</v>
      </c>
      <c r="O107" s="16">
        <v>1</v>
      </c>
    </row>
    <row r="108" spans="1:17" s="16" customFormat="1" x14ac:dyDescent="0.25">
      <c r="A108" s="16">
        <v>8003879954</v>
      </c>
      <c r="B108" s="16">
        <v>49</v>
      </c>
      <c r="C108" s="16">
        <v>19122018</v>
      </c>
      <c r="D108" s="16">
        <v>341</v>
      </c>
      <c r="E108" s="16" t="s">
        <v>25</v>
      </c>
      <c r="F108" s="16">
        <v>9938</v>
      </c>
      <c r="G108" s="16" t="s">
        <v>2690</v>
      </c>
      <c r="H108" s="10">
        <v>8500</v>
      </c>
      <c r="I108" s="16" t="s">
        <v>26</v>
      </c>
      <c r="J108" s="10">
        <v>237160.01</v>
      </c>
      <c r="K108" s="16" t="s">
        <v>27</v>
      </c>
      <c r="L108" s="16">
        <v>133130</v>
      </c>
      <c r="M108" s="16" t="s">
        <v>41</v>
      </c>
      <c r="O108" s="16">
        <v>1</v>
      </c>
      <c r="P108" s="16" t="s">
        <v>2691</v>
      </c>
      <c r="Q108" s="16" t="s">
        <v>2692</v>
      </c>
    </row>
    <row r="109" spans="1:17" s="16" customFormat="1" x14ac:dyDescent="0.25">
      <c r="A109" s="16">
        <v>8003879954</v>
      </c>
      <c r="B109" s="16">
        <v>48</v>
      </c>
      <c r="C109" s="16">
        <v>19122018</v>
      </c>
      <c r="D109" s="16">
        <v>489</v>
      </c>
      <c r="E109" s="16" t="s">
        <v>31</v>
      </c>
      <c r="F109" s="16">
        <v>9938</v>
      </c>
      <c r="G109" s="16" t="s">
        <v>2690</v>
      </c>
      <c r="H109" s="10">
        <v>0.1</v>
      </c>
      <c r="I109" s="16" t="s">
        <v>26</v>
      </c>
      <c r="J109" s="10">
        <v>245660.01</v>
      </c>
      <c r="K109" s="16" t="s">
        <v>27</v>
      </c>
      <c r="L109" s="16">
        <v>133130</v>
      </c>
      <c r="M109" s="16" t="s">
        <v>2693</v>
      </c>
      <c r="O109" s="16">
        <v>1</v>
      </c>
    </row>
    <row r="110" spans="1:17" s="16" customFormat="1" x14ac:dyDescent="0.25">
      <c r="A110" s="16">
        <v>8003879954</v>
      </c>
      <c r="B110" s="16">
        <v>47</v>
      </c>
      <c r="C110" s="16">
        <v>19122018</v>
      </c>
      <c r="D110" s="16">
        <v>341</v>
      </c>
      <c r="E110" s="16" t="s">
        <v>25</v>
      </c>
      <c r="F110" s="16">
        <v>9938</v>
      </c>
      <c r="G110" s="16" t="s">
        <v>2694</v>
      </c>
      <c r="H110" s="10">
        <v>10000</v>
      </c>
      <c r="I110" s="16" t="s">
        <v>26</v>
      </c>
      <c r="J110" s="10">
        <v>245660.11</v>
      </c>
      <c r="K110" s="16" t="s">
        <v>27</v>
      </c>
      <c r="L110" s="16">
        <v>133130</v>
      </c>
      <c r="M110" s="16" t="s">
        <v>2695</v>
      </c>
      <c r="O110" s="16">
        <v>1</v>
      </c>
      <c r="P110" s="16" t="s">
        <v>2696</v>
      </c>
      <c r="Q110" s="16" t="s">
        <v>2697</v>
      </c>
    </row>
    <row r="111" spans="1:17" s="16" customFormat="1" x14ac:dyDescent="0.25">
      <c r="A111" s="16">
        <v>8003879954</v>
      </c>
      <c r="B111" s="16">
        <v>46</v>
      </c>
      <c r="C111" s="16">
        <v>19122018</v>
      </c>
      <c r="D111" s="16">
        <v>489</v>
      </c>
      <c r="E111" s="16" t="s">
        <v>31</v>
      </c>
      <c r="F111" s="16">
        <v>9938</v>
      </c>
      <c r="G111" s="16" t="s">
        <v>2694</v>
      </c>
      <c r="H111" s="10">
        <v>0.1</v>
      </c>
      <c r="I111" s="16" t="s">
        <v>26</v>
      </c>
      <c r="J111" s="10">
        <v>255660.11</v>
      </c>
      <c r="K111" s="16" t="s">
        <v>27</v>
      </c>
      <c r="L111" s="16">
        <v>133130</v>
      </c>
      <c r="M111" s="16" t="s">
        <v>2698</v>
      </c>
      <c r="O111" s="16">
        <v>1</v>
      </c>
    </row>
    <row r="112" spans="1:17" s="16" customFormat="1" x14ac:dyDescent="0.25">
      <c r="A112" s="16">
        <v>8003879954</v>
      </c>
      <c r="B112" s="16">
        <v>45</v>
      </c>
      <c r="C112" s="16">
        <v>19122018</v>
      </c>
      <c r="D112" s="16">
        <v>341</v>
      </c>
      <c r="E112" s="16" t="s">
        <v>25</v>
      </c>
      <c r="F112" s="16">
        <v>9938</v>
      </c>
      <c r="G112" s="16" t="s">
        <v>2699</v>
      </c>
      <c r="H112" s="10">
        <v>6631</v>
      </c>
      <c r="I112" s="16" t="s">
        <v>26</v>
      </c>
      <c r="J112" s="10">
        <v>255660.21</v>
      </c>
      <c r="K112" s="16" t="s">
        <v>27</v>
      </c>
      <c r="L112" s="16">
        <v>133130</v>
      </c>
      <c r="M112" s="16" t="s">
        <v>39</v>
      </c>
      <c r="O112" s="16">
        <v>1</v>
      </c>
      <c r="P112" s="16" t="s">
        <v>2700</v>
      </c>
      <c r="Q112" s="16" t="s">
        <v>2701</v>
      </c>
    </row>
    <row r="113" spans="1:17" s="16" customFormat="1" x14ac:dyDescent="0.25">
      <c r="A113" s="16">
        <v>8003879954</v>
      </c>
      <c r="B113" s="16">
        <v>44</v>
      </c>
      <c r="C113" s="16">
        <v>19122018</v>
      </c>
      <c r="D113" s="16">
        <v>489</v>
      </c>
      <c r="E113" s="16" t="s">
        <v>31</v>
      </c>
      <c r="F113" s="16">
        <v>9938</v>
      </c>
      <c r="G113" s="16" t="s">
        <v>2699</v>
      </c>
      <c r="H113" s="10">
        <v>0.1</v>
      </c>
      <c r="I113" s="16" t="s">
        <v>26</v>
      </c>
      <c r="J113" s="10">
        <v>262291.21000000002</v>
      </c>
      <c r="K113" s="16" t="s">
        <v>27</v>
      </c>
      <c r="L113" s="16">
        <v>133130</v>
      </c>
      <c r="M113" s="16" t="s">
        <v>2702</v>
      </c>
      <c r="O113" s="16">
        <v>1</v>
      </c>
    </row>
    <row r="114" spans="1:17" s="16" customFormat="1" x14ac:dyDescent="0.25">
      <c r="A114" s="16">
        <v>8003879954</v>
      </c>
      <c r="B114" s="16">
        <v>43</v>
      </c>
      <c r="C114" s="16">
        <v>19122018</v>
      </c>
      <c r="D114" s="16">
        <v>341</v>
      </c>
      <c r="E114" s="16" t="s">
        <v>25</v>
      </c>
      <c r="F114" s="16">
        <v>9938</v>
      </c>
      <c r="G114" s="16" t="s">
        <v>2703</v>
      </c>
      <c r="H114" s="10">
        <v>33.6</v>
      </c>
      <c r="I114" s="16" t="s">
        <v>26</v>
      </c>
      <c r="J114" s="10">
        <v>262291.31</v>
      </c>
      <c r="K114" s="16" t="s">
        <v>27</v>
      </c>
      <c r="L114" s="16">
        <v>133129</v>
      </c>
      <c r="M114" s="16" t="s">
        <v>2704</v>
      </c>
      <c r="O114" s="16">
        <v>1</v>
      </c>
      <c r="P114" s="16" t="s">
        <v>2705</v>
      </c>
      <c r="Q114" s="16" t="s">
        <v>2706</v>
      </c>
    </row>
    <row r="115" spans="1:17" s="16" customFormat="1" x14ac:dyDescent="0.25">
      <c r="A115" s="16">
        <v>8003879954</v>
      </c>
      <c r="B115" s="16">
        <v>42</v>
      </c>
      <c r="C115" s="16">
        <v>19122018</v>
      </c>
      <c r="D115" s="16">
        <v>489</v>
      </c>
      <c r="E115" s="16" t="s">
        <v>31</v>
      </c>
      <c r="F115" s="16">
        <v>9938</v>
      </c>
      <c r="G115" s="16" t="s">
        <v>2703</v>
      </c>
      <c r="H115" s="10">
        <v>0.1</v>
      </c>
      <c r="I115" s="16" t="s">
        <v>26</v>
      </c>
      <c r="J115" s="10">
        <v>262324.90999999997</v>
      </c>
      <c r="K115" s="16" t="s">
        <v>27</v>
      </c>
      <c r="L115" s="16">
        <v>133129</v>
      </c>
      <c r="M115" s="16" t="s">
        <v>2707</v>
      </c>
      <c r="O115" s="16">
        <v>1</v>
      </c>
    </row>
    <row r="116" spans="1:17" s="16" customFormat="1" x14ac:dyDescent="0.25">
      <c r="A116" s="16">
        <v>8003879954</v>
      </c>
      <c r="B116" s="16">
        <v>41</v>
      </c>
      <c r="C116" s="16">
        <v>19122018</v>
      </c>
      <c r="D116" s="16">
        <v>341</v>
      </c>
      <c r="E116" s="16" t="s">
        <v>25</v>
      </c>
      <c r="F116" s="16">
        <v>9938</v>
      </c>
      <c r="G116" s="16" t="s">
        <v>2708</v>
      </c>
      <c r="H116" s="10">
        <v>600</v>
      </c>
      <c r="I116" s="16" t="s">
        <v>26</v>
      </c>
      <c r="J116" s="10">
        <v>262325.01</v>
      </c>
      <c r="K116" s="16" t="s">
        <v>27</v>
      </c>
      <c r="L116" s="16">
        <v>133129</v>
      </c>
      <c r="M116" s="16" t="s">
        <v>2709</v>
      </c>
      <c r="O116" s="16">
        <v>1</v>
      </c>
      <c r="P116" s="16" t="s">
        <v>2710</v>
      </c>
      <c r="Q116" s="16" t="s">
        <v>2711</v>
      </c>
    </row>
    <row r="117" spans="1:17" s="16" customFormat="1" x14ac:dyDescent="0.25">
      <c r="A117" s="16">
        <v>8003879954</v>
      </c>
      <c r="B117" s="16">
        <v>40</v>
      </c>
      <c r="C117" s="16">
        <v>19122018</v>
      </c>
      <c r="D117" s="16">
        <v>489</v>
      </c>
      <c r="E117" s="16" t="s">
        <v>31</v>
      </c>
      <c r="F117" s="16">
        <v>9938</v>
      </c>
      <c r="G117" s="16" t="s">
        <v>2708</v>
      </c>
      <c r="H117" s="10">
        <v>0.1</v>
      </c>
      <c r="I117" s="16" t="s">
        <v>26</v>
      </c>
      <c r="J117" s="10">
        <v>262925.01</v>
      </c>
      <c r="K117" s="16" t="s">
        <v>27</v>
      </c>
      <c r="L117" s="16">
        <v>133129</v>
      </c>
      <c r="M117" s="16" t="s">
        <v>2712</v>
      </c>
      <c r="O117" s="16">
        <v>1</v>
      </c>
    </row>
    <row r="118" spans="1:17" s="16" customFormat="1" x14ac:dyDescent="0.25">
      <c r="A118" s="16">
        <v>8003879954</v>
      </c>
      <c r="B118" s="16">
        <v>39</v>
      </c>
      <c r="C118" s="16">
        <v>19122018</v>
      </c>
      <c r="D118" s="16">
        <v>341</v>
      </c>
      <c r="E118" s="16" t="s">
        <v>25</v>
      </c>
      <c r="F118" s="16">
        <v>9938</v>
      </c>
      <c r="G118" s="16" t="s">
        <v>2713</v>
      </c>
      <c r="H118" s="10">
        <v>470.09</v>
      </c>
      <c r="I118" s="16" t="s">
        <v>26</v>
      </c>
      <c r="J118" s="10">
        <v>262925.11</v>
      </c>
      <c r="K118" s="16" t="s">
        <v>27</v>
      </c>
      <c r="L118" s="16">
        <v>133129</v>
      </c>
      <c r="M118" s="16" t="s">
        <v>408</v>
      </c>
      <c r="O118" s="16">
        <v>1</v>
      </c>
      <c r="P118" s="16" t="s">
        <v>2714</v>
      </c>
      <c r="Q118" s="16" t="s">
        <v>410</v>
      </c>
    </row>
    <row r="119" spans="1:17" s="16" customFormat="1" x14ac:dyDescent="0.25">
      <c r="A119" s="16">
        <v>8003879954</v>
      </c>
      <c r="B119" s="16">
        <v>38</v>
      </c>
      <c r="C119" s="16">
        <v>19122018</v>
      </c>
      <c r="D119" s="16">
        <v>489</v>
      </c>
      <c r="E119" s="16" t="s">
        <v>31</v>
      </c>
      <c r="F119" s="16">
        <v>9938</v>
      </c>
      <c r="G119" s="16" t="s">
        <v>2713</v>
      </c>
      <c r="H119" s="10">
        <v>0.1</v>
      </c>
      <c r="I119" s="16" t="s">
        <v>26</v>
      </c>
      <c r="J119" s="10">
        <v>263395.20000000001</v>
      </c>
      <c r="K119" s="16" t="s">
        <v>27</v>
      </c>
      <c r="L119" s="16">
        <v>133129</v>
      </c>
      <c r="M119" s="16" t="s">
        <v>2715</v>
      </c>
      <c r="O119" s="16">
        <v>1</v>
      </c>
    </row>
    <row r="120" spans="1:17" s="16" customFormat="1" x14ac:dyDescent="0.25">
      <c r="A120" s="16">
        <v>8003879954</v>
      </c>
      <c r="B120" s="16">
        <v>37</v>
      </c>
      <c r="C120" s="16">
        <v>19122018</v>
      </c>
      <c r="D120" s="16">
        <v>60</v>
      </c>
      <c r="E120" s="16" t="s">
        <v>37</v>
      </c>
      <c r="F120" s="16">
        <v>9938</v>
      </c>
      <c r="G120" s="16" t="s">
        <v>2716</v>
      </c>
      <c r="H120" s="10">
        <v>5300</v>
      </c>
      <c r="I120" s="16" t="s">
        <v>26</v>
      </c>
      <c r="J120" s="10">
        <v>263395.3</v>
      </c>
      <c r="K120" s="16" t="s">
        <v>27</v>
      </c>
      <c r="L120" s="16">
        <v>133129</v>
      </c>
      <c r="M120" s="16" t="s">
        <v>2717</v>
      </c>
      <c r="O120" s="16">
        <v>1</v>
      </c>
      <c r="P120" s="16" t="s">
        <v>2718</v>
      </c>
      <c r="Q120" s="16" t="s">
        <v>2719</v>
      </c>
    </row>
    <row r="121" spans="1:17" s="16" customFormat="1" x14ac:dyDescent="0.25">
      <c r="A121" s="16">
        <v>8003879954</v>
      </c>
      <c r="B121" s="16">
        <v>36</v>
      </c>
      <c r="C121" s="16">
        <v>19122018</v>
      </c>
      <c r="D121" s="16">
        <v>60</v>
      </c>
      <c r="E121" s="16" t="s">
        <v>37</v>
      </c>
      <c r="F121" s="16">
        <v>9938</v>
      </c>
      <c r="G121" s="16" t="s">
        <v>2720</v>
      </c>
      <c r="H121" s="10">
        <v>3500</v>
      </c>
      <c r="I121" s="16" t="s">
        <v>26</v>
      </c>
      <c r="J121" s="10">
        <v>268695.3</v>
      </c>
      <c r="K121" s="16" t="s">
        <v>27</v>
      </c>
      <c r="L121" s="16">
        <v>133129</v>
      </c>
      <c r="M121" s="16" t="s">
        <v>2721</v>
      </c>
      <c r="O121" s="16">
        <v>1</v>
      </c>
      <c r="P121" s="16" t="s">
        <v>2722</v>
      </c>
      <c r="Q121" s="16" t="s">
        <v>2723</v>
      </c>
    </row>
    <row r="122" spans="1:17" s="16" customFormat="1" x14ac:dyDescent="0.25">
      <c r="A122" s="16">
        <v>8003879954</v>
      </c>
      <c r="B122" s="16">
        <v>35</v>
      </c>
      <c r="C122" s="16">
        <v>19122018</v>
      </c>
      <c r="D122" s="16">
        <v>60</v>
      </c>
      <c r="E122" s="16" t="s">
        <v>37</v>
      </c>
      <c r="F122" s="16">
        <v>9938</v>
      </c>
      <c r="G122" s="16" t="s">
        <v>2724</v>
      </c>
      <c r="H122" s="10">
        <v>806</v>
      </c>
      <c r="I122" s="16" t="s">
        <v>26</v>
      </c>
      <c r="J122" s="10">
        <v>272195.3</v>
      </c>
      <c r="K122" s="16" t="s">
        <v>27</v>
      </c>
      <c r="L122" s="16">
        <v>133129</v>
      </c>
      <c r="M122" s="16" t="s">
        <v>2725</v>
      </c>
      <c r="O122" s="16">
        <v>1</v>
      </c>
      <c r="P122" s="16" t="s">
        <v>2726</v>
      </c>
      <c r="Q122" s="16" t="s">
        <v>2727</v>
      </c>
    </row>
    <row r="123" spans="1:17" s="16" customFormat="1" x14ac:dyDescent="0.25">
      <c r="A123" s="16">
        <v>8003879954</v>
      </c>
      <c r="B123" s="16">
        <v>34</v>
      </c>
      <c r="C123" s="16">
        <v>19122018</v>
      </c>
      <c r="D123" s="16">
        <v>341</v>
      </c>
      <c r="E123" s="16" t="s">
        <v>25</v>
      </c>
      <c r="F123" s="16">
        <v>9938</v>
      </c>
      <c r="G123" s="16" t="s">
        <v>2728</v>
      </c>
      <c r="H123" s="10">
        <v>300</v>
      </c>
      <c r="I123" s="16" t="s">
        <v>26</v>
      </c>
      <c r="J123" s="10">
        <v>273001.3</v>
      </c>
      <c r="K123" s="16" t="s">
        <v>27</v>
      </c>
      <c r="L123" s="16">
        <v>132904</v>
      </c>
      <c r="M123" s="16" t="s">
        <v>47</v>
      </c>
      <c r="O123" s="16">
        <v>1</v>
      </c>
      <c r="P123" s="16" t="s">
        <v>2729</v>
      </c>
      <c r="Q123" s="16" t="s">
        <v>2730</v>
      </c>
    </row>
    <row r="124" spans="1:17" s="16" customFormat="1" x14ac:dyDescent="0.25">
      <c r="A124" s="16">
        <v>8003879954</v>
      </c>
      <c r="B124" s="16">
        <v>33</v>
      </c>
      <c r="C124" s="16">
        <v>19122018</v>
      </c>
      <c r="D124" s="16">
        <v>489</v>
      </c>
      <c r="E124" s="16" t="s">
        <v>31</v>
      </c>
      <c r="F124" s="16">
        <v>9938</v>
      </c>
      <c r="G124" s="16" t="s">
        <v>2728</v>
      </c>
      <c r="H124" s="10">
        <v>0.1</v>
      </c>
      <c r="I124" s="16" t="s">
        <v>26</v>
      </c>
      <c r="J124" s="10">
        <v>273301.3</v>
      </c>
      <c r="K124" s="16" t="s">
        <v>27</v>
      </c>
      <c r="L124" s="16">
        <v>132904</v>
      </c>
      <c r="M124" s="16" t="s">
        <v>2731</v>
      </c>
      <c r="O124" s="16">
        <v>1</v>
      </c>
    </row>
    <row r="125" spans="1:17" s="16" customFormat="1" x14ac:dyDescent="0.25">
      <c r="A125" s="16">
        <v>8003879954</v>
      </c>
      <c r="B125" s="16">
        <v>32</v>
      </c>
      <c r="C125" s="16">
        <v>19122018</v>
      </c>
      <c r="D125" s="16">
        <v>341</v>
      </c>
      <c r="E125" s="16" t="s">
        <v>25</v>
      </c>
      <c r="F125" s="16">
        <v>9938</v>
      </c>
      <c r="G125" s="16" t="s">
        <v>2732</v>
      </c>
      <c r="H125" s="10">
        <v>480</v>
      </c>
      <c r="I125" s="16" t="s">
        <v>26</v>
      </c>
      <c r="J125" s="10">
        <v>273301.40000000002</v>
      </c>
      <c r="K125" s="16" t="s">
        <v>27</v>
      </c>
      <c r="L125" s="16">
        <v>132904</v>
      </c>
      <c r="M125" s="16" t="s">
        <v>94</v>
      </c>
      <c r="O125" s="16">
        <v>1</v>
      </c>
      <c r="P125" s="16" t="s">
        <v>2733</v>
      </c>
      <c r="Q125" s="16" t="s">
        <v>2734</v>
      </c>
    </row>
    <row r="126" spans="1:17" s="16" customFormat="1" x14ac:dyDescent="0.25">
      <c r="A126" s="16">
        <v>8003879954</v>
      </c>
      <c r="B126" s="16">
        <v>31</v>
      </c>
      <c r="C126" s="16">
        <v>19122018</v>
      </c>
      <c r="D126" s="16">
        <v>489</v>
      </c>
      <c r="E126" s="16" t="s">
        <v>31</v>
      </c>
      <c r="F126" s="16">
        <v>9938</v>
      </c>
      <c r="G126" s="16" t="s">
        <v>2732</v>
      </c>
      <c r="H126" s="10">
        <v>0.1</v>
      </c>
      <c r="I126" s="16" t="s">
        <v>26</v>
      </c>
      <c r="J126" s="10">
        <v>273781.40000000002</v>
      </c>
      <c r="K126" s="16" t="s">
        <v>27</v>
      </c>
      <c r="L126" s="16">
        <v>132904</v>
      </c>
      <c r="M126" s="16" t="s">
        <v>2735</v>
      </c>
      <c r="O126" s="16">
        <v>1</v>
      </c>
    </row>
    <row r="127" spans="1:17" s="16" customFormat="1" x14ac:dyDescent="0.25">
      <c r="A127" s="16">
        <v>8003879954</v>
      </c>
      <c r="B127" s="16">
        <v>30</v>
      </c>
      <c r="C127" s="16">
        <v>19122018</v>
      </c>
      <c r="D127" s="16">
        <v>341</v>
      </c>
      <c r="E127" s="16" t="s">
        <v>25</v>
      </c>
      <c r="F127" s="16">
        <v>9938</v>
      </c>
      <c r="G127" s="16" t="s">
        <v>2736</v>
      </c>
      <c r="H127" s="10">
        <v>21</v>
      </c>
      <c r="I127" s="16" t="s">
        <v>26</v>
      </c>
      <c r="J127" s="10">
        <v>273781.5</v>
      </c>
      <c r="K127" s="16" t="s">
        <v>27</v>
      </c>
      <c r="L127" s="16">
        <v>132904</v>
      </c>
      <c r="M127" s="16" t="s">
        <v>133</v>
      </c>
      <c r="O127" s="16">
        <v>1</v>
      </c>
      <c r="P127" s="16" t="s">
        <v>2737</v>
      </c>
      <c r="Q127" s="16" t="s">
        <v>2738</v>
      </c>
    </row>
    <row r="128" spans="1:17" s="16" customFormat="1" x14ac:dyDescent="0.25">
      <c r="A128" s="16">
        <v>8003879954</v>
      </c>
      <c r="B128" s="16">
        <v>29</v>
      </c>
      <c r="C128" s="16">
        <v>19122018</v>
      </c>
      <c r="D128" s="16">
        <v>489</v>
      </c>
      <c r="E128" s="16" t="s">
        <v>31</v>
      </c>
      <c r="F128" s="16">
        <v>9938</v>
      </c>
      <c r="G128" s="16" t="s">
        <v>2736</v>
      </c>
      <c r="H128" s="10">
        <v>0.1</v>
      </c>
      <c r="I128" s="16" t="s">
        <v>26</v>
      </c>
      <c r="J128" s="10">
        <v>273802.5</v>
      </c>
      <c r="K128" s="16" t="s">
        <v>27</v>
      </c>
      <c r="L128" s="16">
        <v>132904</v>
      </c>
      <c r="M128" s="16" t="s">
        <v>2739</v>
      </c>
      <c r="O128" s="16">
        <v>1</v>
      </c>
    </row>
    <row r="129" spans="1:17" s="16" customFormat="1" x14ac:dyDescent="0.25">
      <c r="A129" s="16">
        <v>8003879954</v>
      </c>
      <c r="B129" s="16">
        <v>28</v>
      </c>
      <c r="C129" s="16">
        <v>19122018</v>
      </c>
      <c r="D129" s="16">
        <v>60</v>
      </c>
      <c r="E129" s="16" t="s">
        <v>37</v>
      </c>
      <c r="F129" s="16">
        <v>9938</v>
      </c>
      <c r="G129" s="16" t="s">
        <v>2740</v>
      </c>
      <c r="H129" s="10">
        <v>4400</v>
      </c>
      <c r="I129" s="16" t="s">
        <v>26</v>
      </c>
      <c r="J129" s="10">
        <v>273802.59999999998</v>
      </c>
      <c r="K129" s="16" t="s">
        <v>27</v>
      </c>
      <c r="L129" s="16">
        <v>132904</v>
      </c>
      <c r="M129" s="16" t="s">
        <v>2524</v>
      </c>
      <c r="O129" s="16">
        <v>1</v>
      </c>
      <c r="P129" s="16" t="s">
        <v>2741</v>
      </c>
      <c r="Q129" s="16" t="s">
        <v>2742</v>
      </c>
    </row>
    <row r="130" spans="1:17" s="16" customFormat="1" x14ac:dyDescent="0.25">
      <c r="A130" s="16">
        <v>8003879954</v>
      </c>
      <c r="B130" s="16">
        <v>27</v>
      </c>
      <c r="C130" s="16">
        <v>19122018</v>
      </c>
      <c r="D130" s="16">
        <v>341</v>
      </c>
      <c r="E130" s="16" t="s">
        <v>25</v>
      </c>
      <c r="F130" s="16">
        <v>9938</v>
      </c>
      <c r="G130" s="16" t="s">
        <v>2743</v>
      </c>
      <c r="H130" s="10">
        <v>1400</v>
      </c>
      <c r="I130" s="16" t="s">
        <v>26</v>
      </c>
      <c r="J130" s="10">
        <v>278202.59999999998</v>
      </c>
      <c r="K130" s="16" t="s">
        <v>27</v>
      </c>
      <c r="L130" s="16">
        <v>132904</v>
      </c>
      <c r="M130" s="16" t="s">
        <v>314</v>
      </c>
      <c r="O130" s="16">
        <v>1</v>
      </c>
      <c r="P130" s="16" t="s">
        <v>2744</v>
      </c>
      <c r="Q130" s="16" t="s">
        <v>1410</v>
      </c>
    </row>
    <row r="131" spans="1:17" s="16" customFormat="1" x14ac:dyDescent="0.25">
      <c r="A131" s="16">
        <v>8003879954</v>
      </c>
      <c r="B131" s="16">
        <v>26</v>
      </c>
      <c r="C131" s="16">
        <v>19122018</v>
      </c>
      <c r="D131" s="16">
        <v>489</v>
      </c>
      <c r="E131" s="16" t="s">
        <v>31</v>
      </c>
      <c r="F131" s="16">
        <v>9938</v>
      </c>
      <c r="G131" s="16" t="s">
        <v>2743</v>
      </c>
      <c r="H131" s="10">
        <v>0.1</v>
      </c>
      <c r="I131" s="16" t="s">
        <v>26</v>
      </c>
      <c r="J131" s="10">
        <v>279602.59999999998</v>
      </c>
      <c r="K131" s="16" t="s">
        <v>27</v>
      </c>
      <c r="L131" s="16">
        <v>132904</v>
      </c>
      <c r="M131" s="16" t="s">
        <v>2745</v>
      </c>
      <c r="O131" s="16">
        <v>1</v>
      </c>
    </row>
    <row r="132" spans="1:17" s="16" customFormat="1" x14ac:dyDescent="0.25">
      <c r="A132" s="16">
        <v>8003879954</v>
      </c>
      <c r="B132" s="16">
        <v>25</v>
      </c>
      <c r="C132" s="16">
        <v>19122018</v>
      </c>
      <c r="D132" s="16">
        <v>341</v>
      </c>
      <c r="E132" s="16" t="s">
        <v>25</v>
      </c>
      <c r="F132" s="16">
        <v>9938</v>
      </c>
      <c r="G132" s="16" t="s">
        <v>2746</v>
      </c>
      <c r="H132" s="10">
        <v>3000</v>
      </c>
      <c r="I132" s="16" t="s">
        <v>26</v>
      </c>
      <c r="J132" s="10">
        <v>279602.7</v>
      </c>
      <c r="K132" s="16" t="s">
        <v>27</v>
      </c>
      <c r="L132" s="16">
        <v>132903</v>
      </c>
      <c r="M132" s="16" t="s">
        <v>2747</v>
      </c>
      <c r="O132" s="16">
        <v>1</v>
      </c>
      <c r="P132" s="16" t="s">
        <v>2748</v>
      </c>
      <c r="Q132" s="16" t="s">
        <v>812</v>
      </c>
    </row>
    <row r="133" spans="1:17" s="16" customFormat="1" x14ac:dyDescent="0.25">
      <c r="A133" s="16">
        <v>8003879954</v>
      </c>
      <c r="B133" s="16">
        <v>24</v>
      </c>
      <c r="C133" s="16">
        <v>19122018</v>
      </c>
      <c r="D133" s="16">
        <v>489</v>
      </c>
      <c r="E133" s="16" t="s">
        <v>31</v>
      </c>
      <c r="F133" s="16">
        <v>9938</v>
      </c>
      <c r="G133" s="16" t="s">
        <v>2746</v>
      </c>
      <c r="H133" s="10">
        <v>0.1</v>
      </c>
      <c r="I133" s="16" t="s">
        <v>26</v>
      </c>
      <c r="J133" s="10">
        <v>282602.7</v>
      </c>
      <c r="K133" s="16" t="s">
        <v>27</v>
      </c>
      <c r="L133" s="16">
        <v>132903</v>
      </c>
      <c r="M133" s="16" t="s">
        <v>2749</v>
      </c>
      <c r="O133" s="16">
        <v>1</v>
      </c>
    </row>
    <row r="134" spans="1:17" s="16" customFormat="1" x14ac:dyDescent="0.25">
      <c r="A134" s="16">
        <v>8003879954</v>
      </c>
      <c r="B134" s="16">
        <v>23</v>
      </c>
      <c r="C134" s="16">
        <v>19122018</v>
      </c>
      <c r="D134" s="16">
        <v>341</v>
      </c>
      <c r="E134" s="16" t="s">
        <v>25</v>
      </c>
      <c r="F134" s="16">
        <v>9938</v>
      </c>
      <c r="G134" s="16" t="s">
        <v>2750</v>
      </c>
      <c r="H134" s="10">
        <v>21</v>
      </c>
      <c r="I134" s="16" t="s">
        <v>26</v>
      </c>
      <c r="J134" s="10">
        <v>282602.8</v>
      </c>
      <c r="K134" s="16" t="s">
        <v>27</v>
      </c>
      <c r="L134" s="16">
        <v>132903</v>
      </c>
      <c r="M134" s="16" t="s">
        <v>1012</v>
      </c>
      <c r="O134" s="16">
        <v>1</v>
      </c>
      <c r="P134" s="16" t="s">
        <v>2751</v>
      </c>
      <c r="Q134" s="16" t="s">
        <v>2752</v>
      </c>
    </row>
    <row r="135" spans="1:17" s="16" customFormat="1" x14ac:dyDescent="0.25">
      <c r="A135" s="16">
        <v>8003879954</v>
      </c>
      <c r="B135" s="16">
        <v>22</v>
      </c>
      <c r="C135" s="16">
        <v>19122018</v>
      </c>
      <c r="D135" s="16">
        <v>489</v>
      </c>
      <c r="E135" s="16" t="s">
        <v>31</v>
      </c>
      <c r="F135" s="16">
        <v>9938</v>
      </c>
      <c r="G135" s="16" t="s">
        <v>2750</v>
      </c>
      <c r="H135" s="10">
        <v>0.1</v>
      </c>
      <c r="I135" s="16" t="s">
        <v>26</v>
      </c>
      <c r="J135" s="10">
        <v>282623.8</v>
      </c>
      <c r="K135" s="16" t="s">
        <v>27</v>
      </c>
      <c r="L135" s="16">
        <v>132903</v>
      </c>
      <c r="M135" s="16" t="s">
        <v>2753</v>
      </c>
      <c r="O135" s="16">
        <v>1</v>
      </c>
    </row>
    <row r="136" spans="1:17" s="16" customFormat="1" x14ac:dyDescent="0.25">
      <c r="A136" s="16">
        <v>8003879954</v>
      </c>
      <c r="B136" s="16">
        <v>21</v>
      </c>
      <c r="C136" s="16">
        <v>19122018</v>
      </c>
      <c r="D136" s="16">
        <v>341</v>
      </c>
      <c r="E136" s="16" t="s">
        <v>25</v>
      </c>
      <c r="F136" s="16">
        <v>9938</v>
      </c>
      <c r="G136" s="16" t="s">
        <v>2754</v>
      </c>
      <c r="H136" s="10">
        <v>3710</v>
      </c>
      <c r="I136" s="16" t="s">
        <v>26</v>
      </c>
      <c r="J136" s="10">
        <v>282623.90000000002</v>
      </c>
      <c r="K136" s="16" t="s">
        <v>27</v>
      </c>
      <c r="L136" s="16">
        <v>132903</v>
      </c>
      <c r="M136" s="16" t="s">
        <v>268</v>
      </c>
      <c r="O136" s="16">
        <v>1</v>
      </c>
      <c r="P136" s="16" t="s">
        <v>2755</v>
      </c>
      <c r="Q136" s="16" t="s">
        <v>2756</v>
      </c>
    </row>
    <row r="137" spans="1:17" s="16" customFormat="1" x14ac:dyDescent="0.25">
      <c r="A137" s="16">
        <v>8003879954</v>
      </c>
      <c r="B137" s="16">
        <v>20</v>
      </c>
      <c r="C137" s="16">
        <v>19122018</v>
      </c>
      <c r="D137" s="16">
        <v>489</v>
      </c>
      <c r="E137" s="16" t="s">
        <v>31</v>
      </c>
      <c r="F137" s="16">
        <v>9938</v>
      </c>
      <c r="G137" s="16" t="s">
        <v>2754</v>
      </c>
      <c r="H137" s="10">
        <v>0.1</v>
      </c>
      <c r="I137" s="16" t="s">
        <v>26</v>
      </c>
      <c r="J137" s="10">
        <v>286333.90000000002</v>
      </c>
      <c r="K137" s="16" t="s">
        <v>27</v>
      </c>
      <c r="L137" s="16">
        <v>132903</v>
      </c>
      <c r="M137" s="16" t="s">
        <v>2757</v>
      </c>
      <c r="O137" s="16">
        <v>1</v>
      </c>
    </row>
    <row r="138" spans="1:17" s="16" customFormat="1" x14ac:dyDescent="0.25">
      <c r="A138" s="16">
        <v>8003879954</v>
      </c>
      <c r="B138" s="16">
        <v>19</v>
      </c>
      <c r="C138" s="16">
        <v>19122018</v>
      </c>
      <c r="D138" s="16">
        <v>341</v>
      </c>
      <c r="E138" s="16" t="s">
        <v>25</v>
      </c>
      <c r="F138" s="16">
        <v>9938</v>
      </c>
      <c r="G138" s="16" t="s">
        <v>2758</v>
      </c>
      <c r="H138" s="10">
        <v>8306</v>
      </c>
      <c r="I138" s="16" t="s">
        <v>26</v>
      </c>
      <c r="J138" s="10">
        <v>286334</v>
      </c>
      <c r="K138" s="16" t="s">
        <v>27</v>
      </c>
      <c r="L138" s="16">
        <v>132903</v>
      </c>
      <c r="M138" s="16" t="s">
        <v>263</v>
      </c>
      <c r="O138" s="16">
        <v>1</v>
      </c>
      <c r="P138" s="16" t="s">
        <v>2759</v>
      </c>
      <c r="Q138" s="16" t="s">
        <v>2760</v>
      </c>
    </row>
    <row r="139" spans="1:17" s="16" customFormat="1" x14ac:dyDescent="0.25">
      <c r="A139" s="16">
        <v>8003879954</v>
      </c>
      <c r="B139" s="16">
        <v>18</v>
      </c>
      <c r="C139" s="16">
        <v>19122018</v>
      </c>
      <c r="D139" s="16">
        <v>489</v>
      </c>
      <c r="E139" s="16" t="s">
        <v>31</v>
      </c>
      <c r="F139" s="16">
        <v>9938</v>
      </c>
      <c r="G139" s="16" t="s">
        <v>2758</v>
      </c>
      <c r="H139" s="10">
        <v>0.1</v>
      </c>
      <c r="I139" s="16" t="s">
        <v>26</v>
      </c>
      <c r="J139" s="10">
        <v>294640</v>
      </c>
      <c r="K139" s="16" t="s">
        <v>27</v>
      </c>
      <c r="L139" s="16">
        <v>132903</v>
      </c>
      <c r="M139" s="16" t="s">
        <v>2761</v>
      </c>
      <c r="O139" s="16">
        <v>1</v>
      </c>
    </row>
    <row r="140" spans="1:17" s="16" customFormat="1" x14ac:dyDescent="0.25">
      <c r="A140" s="16">
        <v>8003879954</v>
      </c>
      <c r="B140" s="16">
        <v>17</v>
      </c>
      <c r="C140" s="16">
        <v>19122018</v>
      </c>
      <c r="D140" s="16">
        <v>345</v>
      </c>
      <c r="E140" s="16" t="s">
        <v>51</v>
      </c>
      <c r="F140" s="16">
        <v>9938</v>
      </c>
      <c r="G140" s="16" t="s">
        <v>2762</v>
      </c>
      <c r="H140" s="10">
        <v>100</v>
      </c>
      <c r="I140" s="16" t="s">
        <v>26</v>
      </c>
      <c r="J140" s="10">
        <v>294640.09999999998</v>
      </c>
      <c r="K140" s="16" t="s">
        <v>27</v>
      </c>
      <c r="L140" s="16">
        <v>132903</v>
      </c>
      <c r="M140" s="16" t="s">
        <v>2763</v>
      </c>
      <c r="O140" s="16">
        <v>1</v>
      </c>
      <c r="P140" s="16" t="s">
        <v>2764</v>
      </c>
      <c r="Q140" s="16" t="s">
        <v>52</v>
      </c>
    </row>
    <row r="141" spans="1:17" s="16" customFormat="1" x14ac:dyDescent="0.25">
      <c r="A141" s="16">
        <v>8003879954</v>
      </c>
      <c r="B141" s="16">
        <v>16</v>
      </c>
      <c r="C141" s="16">
        <v>19122018</v>
      </c>
      <c r="D141" s="16">
        <v>341</v>
      </c>
      <c r="E141" s="16" t="s">
        <v>25</v>
      </c>
      <c r="F141" s="16">
        <v>9938</v>
      </c>
      <c r="G141" s="16" t="s">
        <v>2765</v>
      </c>
      <c r="H141" s="10">
        <v>1300</v>
      </c>
      <c r="I141" s="16" t="s">
        <v>26</v>
      </c>
      <c r="J141" s="10">
        <v>294740.09999999998</v>
      </c>
      <c r="K141" s="16" t="s">
        <v>27</v>
      </c>
      <c r="L141" s="16">
        <v>132530</v>
      </c>
      <c r="M141" s="16" t="s">
        <v>2766</v>
      </c>
      <c r="O141" s="16">
        <v>1</v>
      </c>
      <c r="P141" s="16" t="s">
        <v>2767</v>
      </c>
      <c r="Q141" s="16" t="s">
        <v>2768</v>
      </c>
    </row>
    <row r="142" spans="1:17" s="16" customFormat="1" x14ac:dyDescent="0.25">
      <c r="A142" s="16">
        <v>8003879954</v>
      </c>
      <c r="B142" s="16">
        <v>15</v>
      </c>
      <c r="C142" s="16">
        <v>19122018</v>
      </c>
      <c r="D142" s="16">
        <v>489</v>
      </c>
      <c r="E142" s="16" t="s">
        <v>31</v>
      </c>
      <c r="F142" s="16">
        <v>9938</v>
      </c>
      <c r="G142" s="16" t="s">
        <v>2765</v>
      </c>
      <c r="H142" s="10">
        <v>0.1</v>
      </c>
      <c r="I142" s="16" t="s">
        <v>26</v>
      </c>
      <c r="J142" s="10">
        <v>296040.09999999998</v>
      </c>
      <c r="K142" s="16" t="s">
        <v>27</v>
      </c>
      <c r="L142" s="16">
        <v>132530</v>
      </c>
      <c r="M142" s="16" t="s">
        <v>2769</v>
      </c>
      <c r="O142" s="16">
        <v>1</v>
      </c>
    </row>
    <row r="143" spans="1:17" s="16" customFormat="1" x14ac:dyDescent="0.25">
      <c r="A143" s="16">
        <v>8003879954</v>
      </c>
      <c r="B143" s="16">
        <v>14</v>
      </c>
      <c r="C143" s="16">
        <v>19122018</v>
      </c>
      <c r="D143" s="16">
        <v>341</v>
      </c>
      <c r="E143" s="16" t="s">
        <v>25</v>
      </c>
      <c r="F143" s="16">
        <v>9938</v>
      </c>
      <c r="G143" s="16" t="s">
        <v>2770</v>
      </c>
      <c r="H143" s="10">
        <v>31.65</v>
      </c>
      <c r="I143" s="16" t="s">
        <v>26</v>
      </c>
      <c r="J143" s="10">
        <v>296040.2</v>
      </c>
      <c r="K143" s="16" t="s">
        <v>27</v>
      </c>
      <c r="L143" s="16">
        <v>132528</v>
      </c>
      <c r="M143" s="16" t="s">
        <v>75</v>
      </c>
      <c r="O143" s="16">
        <v>1</v>
      </c>
      <c r="P143" s="16" t="s">
        <v>2771</v>
      </c>
      <c r="Q143" s="16" t="s">
        <v>77</v>
      </c>
    </row>
    <row r="144" spans="1:17" s="16" customFormat="1" x14ac:dyDescent="0.25">
      <c r="A144" s="16">
        <v>8003879954</v>
      </c>
      <c r="B144" s="16">
        <v>13</v>
      </c>
      <c r="C144" s="16">
        <v>19122018</v>
      </c>
      <c r="D144" s="16">
        <v>489</v>
      </c>
      <c r="E144" s="16" t="s">
        <v>31</v>
      </c>
      <c r="F144" s="16">
        <v>9938</v>
      </c>
      <c r="G144" s="16" t="s">
        <v>2770</v>
      </c>
      <c r="H144" s="10">
        <v>0.1</v>
      </c>
      <c r="I144" s="16" t="s">
        <v>26</v>
      </c>
      <c r="J144" s="10">
        <v>296071.84999999998</v>
      </c>
      <c r="K144" s="16" t="s">
        <v>27</v>
      </c>
      <c r="L144" s="16">
        <v>132528</v>
      </c>
      <c r="M144" s="16" t="s">
        <v>2772</v>
      </c>
      <c r="O144" s="16">
        <v>1</v>
      </c>
    </row>
    <row r="145" spans="1:17" s="16" customFormat="1" x14ac:dyDescent="0.25">
      <c r="A145" s="16">
        <v>8003879954</v>
      </c>
      <c r="B145" s="16">
        <v>12</v>
      </c>
      <c r="C145" s="16">
        <v>19122018</v>
      </c>
      <c r="D145" s="16">
        <v>60</v>
      </c>
      <c r="E145" s="16" t="s">
        <v>37</v>
      </c>
      <c r="F145" s="16">
        <v>9938</v>
      </c>
      <c r="G145" s="16" t="s">
        <v>2773</v>
      </c>
      <c r="H145" s="10">
        <v>720.8</v>
      </c>
      <c r="I145" s="16" t="s">
        <v>26</v>
      </c>
      <c r="J145" s="10">
        <v>296071.95</v>
      </c>
      <c r="K145" s="16" t="s">
        <v>27</v>
      </c>
      <c r="L145" s="16">
        <v>132529</v>
      </c>
      <c r="M145" s="16" t="s">
        <v>2774</v>
      </c>
      <c r="O145" s="16">
        <v>1</v>
      </c>
      <c r="P145" s="16" t="s">
        <v>2775</v>
      </c>
      <c r="Q145" s="16" t="s">
        <v>2776</v>
      </c>
    </row>
    <row r="146" spans="1:17" s="16" customFormat="1" x14ac:dyDescent="0.25">
      <c r="A146" s="16">
        <v>8003879954</v>
      </c>
      <c r="B146" s="16">
        <v>11</v>
      </c>
      <c r="C146" s="16">
        <v>19122018</v>
      </c>
      <c r="D146" s="16">
        <v>345</v>
      </c>
      <c r="E146" s="16" t="s">
        <v>51</v>
      </c>
      <c r="F146" s="16">
        <v>9938</v>
      </c>
      <c r="G146" s="16" t="s">
        <v>2777</v>
      </c>
      <c r="H146" s="10">
        <v>400</v>
      </c>
      <c r="I146" s="16" t="s">
        <v>26</v>
      </c>
      <c r="J146" s="10">
        <v>296792.75</v>
      </c>
      <c r="K146" s="16" t="s">
        <v>27</v>
      </c>
      <c r="L146" s="16">
        <v>132529</v>
      </c>
      <c r="M146" s="16" t="s">
        <v>2778</v>
      </c>
      <c r="O146" s="16">
        <v>1</v>
      </c>
      <c r="P146" s="16" t="s">
        <v>2779</v>
      </c>
      <c r="Q146" s="16" t="s">
        <v>2780</v>
      </c>
    </row>
    <row r="147" spans="1:17" s="16" customFormat="1" x14ac:dyDescent="0.25">
      <c r="A147" s="16">
        <v>8003879954</v>
      </c>
      <c r="B147" s="16">
        <v>10</v>
      </c>
      <c r="C147" s="16">
        <v>19122018</v>
      </c>
      <c r="D147" s="16">
        <v>341</v>
      </c>
      <c r="E147" s="16" t="s">
        <v>25</v>
      </c>
      <c r="F147" s="16">
        <v>9938</v>
      </c>
      <c r="G147" s="16" t="s">
        <v>2781</v>
      </c>
      <c r="H147" s="10">
        <v>88</v>
      </c>
      <c r="I147" s="16" t="s">
        <v>26</v>
      </c>
      <c r="J147" s="10">
        <v>297192.75</v>
      </c>
      <c r="K147" s="16" t="s">
        <v>27</v>
      </c>
      <c r="L147" s="16">
        <v>132529</v>
      </c>
      <c r="M147" s="16" t="s">
        <v>119</v>
      </c>
      <c r="O147" s="16">
        <v>1</v>
      </c>
      <c r="P147" s="16" t="s">
        <v>2782</v>
      </c>
      <c r="Q147" s="16" t="s">
        <v>2783</v>
      </c>
    </row>
    <row r="148" spans="1:17" s="16" customFormat="1" x14ac:dyDescent="0.25">
      <c r="A148" s="16">
        <v>8003879954</v>
      </c>
      <c r="B148" s="16">
        <v>9</v>
      </c>
      <c r="C148" s="16">
        <v>19122018</v>
      </c>
      <c r="D148" s="16">
        <v>489</v>
      </c>
      <c r="E148" s="16" t="s">
        <v>31</v>
      </c>
      <c r="F148" s="16">
        <v>9938</v>
      </c>
      <c r="G148" s="16" t="s">
        <v>2781</v>
      </c>
      <c r="H148" s="10">
        <v>0.1</v>
      </c>
      <c r="I148" s="16" t="s">
        <v>26</v>
      </c>
      <c r="J148" s="10">
        <v>297280.75</v>
      </c>
      <c r="K148" s="16" t="s">
        <v>27</v>
      </c>
      <c r="L148" s="16">
        <v>132529</v>
      </c>
      <c r="M148" s="16" t="s">
        <v>2784</v>
      </c>
      <c r="O148" s="16">
        <v>1</v>
      </c>
    </row>
    <row r="149" spans="1:17" s="16" customFormat="1" x14ac:dyDescent="0.25">
      <c r="A149" s="16">
        <v>8003879954</v>
      </c>
      <c r="B149" s="16">
        <v>8</v>
      </c>
      <c r="C149" s="16">
        <v>19122018</v>
      </c>
      <c r="D149" s="16">
        <v>341</v>
      </c>
      <c r="E149" s="16" t="s">
        <v>25</v>
      </c>
      <c r="F149" s="16">
        <v>9938</v>
      </c>
      <c r="G149" s="16" t="s">
        <v>2785</v>
      </c>
      <c r="H149" s="10">
        <v>583</v>
      </c>
      <c r="I149" s="16" t="s">
        <v>26</v>
      </c>
      <c r="J149" s="10">
        <v>297280.84999999998</v>
      </c>
      <c r="K149" s="16" t="s">
        <v>27</v>
      </c>
      <c r="L149" s="16">
        <v>132529</v>
      </c>
      <c r="M149" s="16" t="s">
        <v>1404</v>
      </c>
      <c r="O149" s="16">
        <v>1</v>
      </c>
      <c r="P149" s="16" t="s">
        <v>2786</v>
      </c>
      <c r="Q149" s="16" t="s">
        <v>2787</v>
      </c>
    </row>
    <row r="150" spans="1:17" s="16" customFormat="1" x14ac:dyDescent="0.25">
      <c r="A150" s="16">
        <v>8003879954</v>
      </c>
      <c r="B150" s="16">
        <v>7</v>
      </c>
      <c r="C150" s="16">
        <v>19122018</v>
      </c>
      <c r="D150" s="16">
        <v>489</v>
      </c>
      <c r="E150" s="16" t="s">
        <v>31</v>
      </c>
      <c r="F150" s="16">
        <v>9938</v>
      </c>
      <c r="G150" s="16" t="s">
        <v>2785</v>
      </c>
      <c r="H150" s="10">
        <v>0.1</v>
      </c>
      <c r="I150" s="16" t="s">
        <v>26</v>
      </c>
      <c r="J150" s="10">
        <v>297863.84999999998</v>
      </c>
      <c r="K150" s="16" t="s">
        <v>27</v>
      </c>
      <c r="L150" s="16">
        <v>132529</v>
      </c>
      <c r="M150" s="16" t="s">
        <v>2788</v>
      </c>
      <c r="O150" s="16">
        <v>1</v>
      </c>
    </row>
    <row r="151" spans="1:17" s="16" customFormat="1" x14ac:dyDescent="0.25">
      <c r="A151" s="16">
        <v>8003879954</v>
      </c>
      <c r="B151" s="16">
        <v>6</v>
      </c>
      <c r="C151" s="16">
        <v>19122018</v>
      </c>
      <c r="D151" s="16">
        <v>341</v>
      </c>
      <c r="E151" s="16" t="s">
        <v>25</v>
      </c>
      <c r="F151" s="16">
        <v>9938</v>
      </c>
      <c r="G151" s="16" t="s">
        <v>2789</v>
      </c>
      <c r="H151" s="10">
        <v>1500</v>
      </c>
      <c r="I151" s="16" t="s">
        <v>26</v>
      </c>
      <c r="J151" s="10">
        <v>297863.95</v>
      </c>
      <c r="K151" s="16" t="s">
        <v>27</v>
      </c>
      <c r="L151" s="16">
        <v>132528</v>
      </c>
      <c r="M151" s="16" t="s">
        <v>810</v>
      </c>
      <c r="O151" s="16">
        <v>1</v>
      </c>
      <c r="P151" s="16" t="s">
        <v>2790</v>
      </c>
      <c r="Q151" s="16" t="s">
        <v>812</v>
      </c>
    </row>
    <row r="152" spans="1:17" s="16" customFormat="1" x14ac:dyDescent="0.25">
      <c r="A152" s="16">
        <v>8003879954</v>
      </c>
      <c r="B152" s="16">
        <v>5</v>
      </c>
      <c r="C152" s="16">
        <v>19122018</v>
      </c>
      <c r="D152" s="16">
        <v>489</v>
      </c>
      <c r="E152" s="16" t="s">
        <v>31</v>
      </c>
      <c r="F152" s="16">
        <v>9938</v>
      </c>
      <c r="G152" s="16" t="s">
        <v>2789</v>
      </c>
      <c r="H152" s="10">
        <v>0.1</v>
      </c>
      <c r="I152" s="16" t="s">
        <v>26</v>
      </c>
      <c r="J152" s="10">
        <v>299363.95</v>
      </c>
      <c r="K152" s="16" t="s">
        <v>27</v>
      </c>
      <c r="L152" s="16">
        <v>132528</v>
      </c>
      <c r="M152" s="16" t="s">
        <v>2791</v>
      </c>
      <c r="O152" s="16">
        <v>1</v>
      </c>
    </row>
    <row r="153" spans="1:17" s="16" customFormat="1" x14ac:dyDescent="0.25">
      <c r="A153" s="16">
        <v>8003879954</v>
      </c>
      <c r="B153" s="16">
        <v>4</v>
      </c>
      <c r="C153" s="16">
        <v>19122018</v>
      </c>
      <c r="D153" s="16">
        <v>341</v>
      </c>
      <c r="E153" s="16" t="s">
        <v>25</v>
      </c>
      <c r="F153" s="16">
        <v>9938</v>
      </c>
      <c r="G153" s="16" t="s">
        <v>2792</v>
      </c>
      <c r="H153" s="10">
        <v>6000</v>
      </c>
      <c r="I153" s="16" t="s">
        <v>26</v>
      </c>
      <c r="J153" s="10">
        <v>299364.05</v>
      </c>
      <c r="K153" s="16" t="s">
        <v>27</v>
      </c>
      <c r="L153" s="16">
        <v>132528</v>
      </c>
      <c r="M153" s="16" t="s">
        <v>2793</v>
      </c>
      <c r="O153" s="16">
        <v>1</v>
      </c>
      <c r="P153" s="16" t="s">
        <v>2794</v>
      </c>
      <c r="Q153" s="16" t="s">
        <v>2795</v>
      </c>
    </row>
    <row r="154" spans="1:17" s="16" customFormat="1" x14ac:dyDescent="0.25">
      <c r="A154" s="16">
        <v>8003879954</v>
      </c>
      <c r="B154" s="16">
        <v>3</v>
      </c>
      <c r="C154" s="16">
        <v>19122018</v>
      </c>
      <c r="D154" s="16">
        <v>489</v>
      </c>
      <c r="E154" s="16" t="s">
        <v>31</v>
      </c>
      <c r="F154" s="16">
        <v>9938</v>
      </c>
      <c r="G154" s="16" t="s">
        <v>2792</v>
      </c>
      <c r="H154" s="10">
        <v>0.1</v>
      </c>
      <c r="I154" s="16" t="s">
        <v>26</v>
      </c>
      <c r="J154" s="10">
        <v>305364.05</v>
      </c>
      <c r="K154" s="16" t="s">
        <v>27</v>
      </c>
      <c r="L154" s="16">
        <v>132528</v>
      </c>
      <c r="M154" s="16" t="s">
        <v>2796</v>
      </c>
      <c r="O154" s="16">
        <v>1</v>
      </c>
    </row>
    <row r="155" spans="1:17" s="16" customFormat="1" x14ac:dyDescent="0.25">
      <c r="A155" s="16">
        <v>8003879954</v>
      </c>
      <c r="B155" s="16">
        <v>2</v>
      </c>
      <c r="C155" s="16">
        <v>19122018</v>
      </c>
      <c r="D155" s="16">
        <v>345</v>
      </c>
      <c r="E155" s="16" t="s">
        <v>51</v>
      </c>
      <c r="F155" s="16">
        <v>9938</v>
      </c>
      <c r="G155" s="16" t="s">
        <v>2797</v>
      </c>
      <c r="H155" s="10">
        <v>800</v>
      </c>
      <c r="I155" s="16" t="s">
        <v>26</v>
      </c>
      <c r="J155" s="10">
        <v>305364.15000000002</v>
      </c>
      <c r="K155" s="16" t="s">
        <v>27</v>
      </c>
      <c r="L155" s="16">
        <v>132528</v>
      </c>
      <c r="M155" s="16" t="s">
        <v>2798</v>
      </c>
      <c r="O155" s="16">
        <v>1</v>
      </c>
      <c r="P155" s="16" t="s">
        <v>2799</v>
      </c>
      <c r="Q155" s="16" t="s">
        <v>1391</v>
      </c>
    </row>
    <row r="156" spans="1:17" s="16" customFormat="1" x14ac:dyDescent="0.25">
      <c r="A156" s="16">
        <v>8003879954</v>
      </c>
      <c r="B156" s="16">
        <v>1</v>
      </c>
      <c r="C156" s="16">
        <v>19122018</v>
      </c>
      <c r="D156" s="16">
        <v>60</v>
      </c>
      <c r="E156" s="16" t="s">
        <v>37</v>
      </c>
      <c r="F156" s="16">
        <v>9938</v>
      </c>
      <c r="G156" s="16" t="s">
        <v>2800</v>
      </c>
      <c r="H156" s="10">
        <v>390</v>
      </c>
      <c r="I156" s="16" t="s">
        <v>26</v>
      </c>
      <c r="J156" s="10">
        <v>306164.15000000002</v>
      </c>
      <c r="K156" s="16" t="s">
        <v>27</v>
      </c>
      <c r="L156" s="16">
        <v>132528</v>
      </c>
      <c r="M156" s="16" t="s">
        <v>2801</v>
      </c>
      <c r="O156" s="16">
        <v>1</v>
      </c>
      <c r="P156" s="16" t="s">
        <v>2802</v>
      </c>
      <c r="Q156" s="16" t="s">
        <v>2803</v>
      </c>
    </row>
    <row r="157" spans="1:17" s="16" customFormat="1" x14ac:dyDescent="0.25">
      <c r="A157" s="16">
        <v>8003879954</v>
      </c>
      <c r="B157" s="16">
        <v>9</v>
      </c>
      <c r="C157" s="16">
        <v>18122018</v>
      </c>
      <c r="D157" s="16">
        <v>819</v>
      </c>
      <c r="E157" s="16" t="s">
        <v>35</v>
      </c>
      <c r="H157" s="10">
        <v>1</v>
      </c>
      <c r="I157" s="16" t="s">
        <v>26</v>
      </c>
      <c r="J157" s="10">
        <v>306554.15000000002</v>
      </c>
      <c r="K157" s="16" t="s">
        <v>27</v>
      </c>
      <c r="L157" s="16">
        <v>10525</v>
      </c>
      <c r="M157" s="16" t="s">
        <v>32</v>
      </c>
      <c r="O157" s="16">
        <v>1</v>
      </c>
    </row>
    <row r="158" spans="1:17" s="16" customFormat="1" x14ac:dyDescent="0.25">
      <c r="A158" s="16">
        <v>8003879954</v>
      </c>
      <c r="B158" s="16">
        <v>8</v>
      </c>
      <c r="C158" s="16">
        <v>18122018</v>
      </c>
      <c r="D158" s="16">
        <v>323</v>
      </c>
      <c r="E158" s="16" t="s">
        <v>50</v>
      </c>
      <c r="F158" s="16">
        <v>0</v>
      </c>
      <c r="G158" s="16" t="s">
        <v>2804</v>
      </c>
      <c r="H158" s="10">
        <v>36987.5</v>
      </c>
      <c r="I158" s="16" t="s">
        <v>26</v>
      </c>
      <c r="J158" s="10">
        <v>306555.15000000002</v>
      </c>
      <c r="K158" s="16" t="s">
        <v>27</v>
      </c>
      <c r="L158" s="16">
        <v>10407</v>
      </c>
      <c r="M158" s="16" t="s">
        <v>32</v>
      </c>
      <c r="O158" s="16">
        <v>1</v>
      </c>
    </row>
    <row r="159" spans="1:17" s="16" customFormat="1" x14ac:dyDescent="0.25">
      <c r="A159" s="16">
        <v>8003879954</v>
      </c>
      <c r="B159" s="16">
        <v>7</v>
      </c>
      <c r="C159" s="16">
        <v>18122018</v>
      </c>
      <c r="D159" s="16">
        <v>323</v>
      </c>
      <c r="E159" s="16" t="s">
        <v>50</v>
      </c>
      <c r="F159" s="16">
        <v>0</v>
      </c>
      <c r="G159" s="16" t="s">
        <v>2805</v>
      </c>
      <c r="H159" s="10">
        <v>18778.5</v>
      </c>
      <c r="I159" s="16" t="s">
        <v>26</v>
      </c>
      <c r="J159" s="10">
        <v>343542.65</v>
      </c>
      <c r="K159" s="16" t="s">
        <v>27</v>
      </c>
      <c r="L159" s="16">
        <v>10407</v>
      </c>
      <c r="M159" s="16" t="s">
        <v>32</v>
      </c>
      <c r="O159" s="16">
        <v>1</v>
      </c>
    </row>
    <row r="160" spans="1:17" s="16" customFormat="1" x14ac:dyDescent="0.25">
      <c r="A160" s="16">
        <v>8003879954</v>
      </c>
      <c r="B160" s="16">
        <v>6</v>
      </c>
      <c r="C160" s="16">
        <v>18122018</v>
      </c>
      <c r="D160" s="16">
        <v>415</v>
      </c>
      <c r="E160" s="16" t="s">
        <v>48</v>
      </c>
      <c r="F160" s="16">
        <v>72</v>
      </c>
      <c r="G160" s="16" t="s">
        <v>2806</v>
      </c>
      <c r="H160" s="10">
        <v>20</v>
      </c>
      <c r="I160" s="16" t="s">
        <v>26</v>
      </c>
      <c r="J160" s="10">
        <v>362321.15</v>
      </c>
      <c r="K160" s="16" t="s">
        <v>27</v>
      </c>
      <c r="L160" s="16">
        <v>181345</v>
      </c>
      <c r="M160" s="16" t="s">
        <v>2807</v>
      </c>
      <c r="O160" s="16">
        <v>1</v>
      </c>
    </row>
    <row r="161" spans="1:17" s="16" customFormat="1" x14ac:dyDescent="0.25">
      <c r="A161" s="16">
        <v>8003879954</v>
      </c>
      <c r="B161" s="16">
        <v>5</v>
      </c>
      <c r="C161" s="16">
        <v>18122018</v>
      </c>
      <c r="D161" s="16">
        <v>349</v>
      </c>
      <c r="E161" s="16" t="s">
        <v>49</v>
      </c>
      <c r="F161" s="16">
        <v>72</v>
      </c>
      <c r="G161" s="16" t="s">
        <v>2806</v>
      </c>
      <c r="H161" s="10">
        <v>312.73</v>
      </c>
      <c r="I161" s="16" t="s">
        <v>26</v>
      </c>
      <c r="J161" s="10">
        <v>362341.15</v>
      </c>
      <c r="K161" s="16" t="s">
        <v>27</v>
      </c>
      <c r="L161" s="16">
        <v>181345</v>
      </c>
      <c r="M161" s="16" t="s">
        <v>2807</v>
      </c>
      <c r="O161" s="16">
        <v>1</v>
      </c>
    </row>
    <row r="162" spans="1:17" s="16" customFormat="1" x14ac:dyDescent="0.25">
      <c r="A162" s="16">
        <v>8003879954</v>
      </c>
      <c r="B162" s="16">
        <v>4</v>
      </c>
      <c r="C162" s="16">
        <v>18122018</v>
      </c>
      <c r="D162" s="16">
        <v>415</v>
      </c>
      <c r="E162" s="16" t="s">
        <v>48</v>
      </c>
      <c r="F162" s="16">
        <v>72</v>
      </c>
      <c r="G162" s="16" t="s">
        <v>2808</v>
      </c>
      <c r="H162" s="10">
        <v>30</v>
      </c>
      <c r="I162" s="16" t="s">
        <v>26</v>
      </c>
      <c r="J162" s="10">
        <v>362653.88</v>
      </c>
      <c r="K162" s="16" t="s">
        <v>27</v>
      </c>
      <c r="L162" s="16">
        <v>180820</v>
      </c>
      <c r="M162" s="16" t="s">
        <v>2809</v>
      </c>
      <c r="O162" s="16">
        <v>1</v>
      </c>
    </row>
    <row r="163" spans="1:17" s="16" customFormat="1" x14ac:dyDescent="0.25">
      <c r="A163" s="16">
        <v>8003879954</v>
      </c>
      <c r="B163" s="16">
        <v>3</v>
      </c>
      <c r="C163" s="16">
        <v>18122018</v>
      </c>
      <c r="D163" s="16">
        <v>349</v>
      </c>
      <c r="E163" s="16" t="s">
        <v>49</v>
      </c>
      <c r="F163" s="16">
        <v>72</v>
      </c>
      <c r="G163" s="16" t="s">
        <v>2808</v>
      </c>
      <c r="H163" s="10">
        <v>19975.87</v>
      </c>
      <c r="I163" s="16" t="s">
        <v>26</v>
      </c>
      <c r="J163" s="10">
        <v>362683.88</v>
      </c>
      <c r="K163" s="16" t="s">
        <v>27</v>
      </c>
      <c r="L163" s="16">
        <v>180820</v>
      </c>
      <c r="M163" s="16" t="s">
        <v>2809</v>
      </c>
      <c r="O163" s="16">
        <v>1</v>
      </c>
    </row>
    <row r="164" spans="1:17" s="16" customFormat="1" x14ac:dyDescent="0.25">
      <c r="A164" s="16">
        <v>8003879954</v>
      </c>
      <c r="B164" s="16">
        <v>2</v>
      </c>
      <c r="C164" s="16">
        <v>18122018</v>
      </c>
      <c r="D164" s="16">
        <v>341</v>
      </c>
      <c r="E164" s="16" t="s">
        <v>25</v>
      </c>
      <c r="F164" s="16">
        <v>9938</v>
      </c>
      <c r="G164" s="16" t="s">
        <v>2810</v>
      </c>
      <c r="H164" s="10">
        <v>8255.2800000000007</v>
      </c>
      <c r="I164" s="16" t="s">
        <v>26</v>
      </c>
      <c r="J164" s="10">
        <v>382659.75</v>
      </c>
      <c r="K164" s="16" t="s">
        <v>27</v>
      </c>
      <c r="L164" s="16">
        <v>131014</v>
      </c>
      <c r="M164" s="16" t="s">
        <v>2214</v>
      </c>
      <c r="O164" s="16">
        <v>1</v>
      </c>
      <c r="P164" s="16" t="s">
        <v>2779</v>
      </c>
      <c r="Q164" s="16" t="s">
        <v>2811</v>
      </c>
    </row>
    <row r="165" spans="1:17" s="16" customFormat="1" x14ac:dyDescent="0.25">
      <c r="A165" s="16">
        <v>8003879954</v>
      </c>
      <c r="B165" s="16">
        <v>1</v>
      </c>
      <c r="C165" s="16">
        <v>18122018</v>
      </c>
      <c r="D165" s="16">
        <v>489</v>
      </c>
      <c r="E165" s="16" t="s">
        <v>31</v>
      </c>
      <c r="F165" s="16">
        <v>9938</v>
      </c>
      <c r="G165" s="16" t="s">
        <v>2810</v>
      </c>
      <c r="H165" s="10">
        <v>0.1</v>
      </c>
      <c r="I165" s="16" t="s">
        <v>26</v>
      </c>
      <c r="J165" s="10">
        <v>390915.03</v>
      </c>
      <c r="K165" s="16" t="s">
        <v>27</v>
      </c>
      <c r="L165" s="16">
        <v>131014</v>
      </c>
      <c r="M165" s="16" t="s">
        <v>2812</v>
      </c>
      <c r="O165" s="16">
        <v>1</v>
      </c>
    </row>
    <row r="166" spans="1:17" s="16" customFormat="1" x14ac:dyDescent="0.25">
      <c r="A166" s="16">
        <v>8003879954</v>
      </c>
      <c r="B166" s="16">
        <v>4</v>
      </c>
      <c r="C166" s="16">
        <v>17122018</v>
      </c>
      <c r="D166" s="16">
        <v>819</v>
      </c>
      <c r="E166" s="16" t="s">
        <v>35</v>
      </c>
      <c r="H166" s="10">
        <v>0.5</v>
      </c>
      <c r="I166" s="16" t="s">
        <v>26</v>
      </c>
      <c r="J166" s="10">
        <v>390915.13</v>
      </c>
      <c r="K166" s="16" t="s">
        <v>27</v>
      </c>
      <c r="L166" s="16">
        <v>10337</v>
      </c>
      <c r="M166" s="16" t="s">
        <v>32</v>
      </c>
      <c r="O166" s="16">
        <v>1</v>
      </c>
    </row>
    <row r="167" spans="1:17" s="16" customFormat="1" x14ac:dyDescent="0.25">
      <c r="A167" s="16">
        <v>8003879954</v>
      </c>
      <c r="B167" s="16">
        <v>3</v>
      </c>
      <c r="C167" s="16">
        <v>17122018</v>
      </c>
      <c r="D167" s="16">
        <v>819</v>
      </c>
      <c r="E167" s="16" t="s">
        <v>35</v>
      </c>
      <c r="H167" s="10">
        <v>0.5</v>
      </c>
      <c r="I167" s="16" t="s">
        <v>26</v>
      </c>
      <c r="J167" s="10">
        <v>390915.63</v>
      </c>
      <c r="K167" s="16" t="s">
        <v>27</v>
      </c>
      <c r="L167" s="16">
        <v>10336</v>
      </c>
      <c r="M167" s="16" t="s">
        <v>32</v>
      </c>
      <c r="O167" s="16">
        <v>1</v>
      </c>
    </row>
    <row r="168" spans="1:17" s="16" customFormat="1" x14ac:dyDescent="0.25">
      <c r="A168" s="16">
        <v>8003879954</v>
      </c>
      <c r="B168" s="16">
        <v>2</v>
      </c>
      <c r="C168" s="16">
        <v>17122018</v>
      </c>
      <c r="D168" s="16">
        <v>323</v>
      </c>
      <c r="E168" s="16" t="s">
        <v>50</v>
      </c>
      <c r="F168" s="16">
        <v>0</v>
      </c>
      <c r="G168" s="16" t="s">
        <v>2813</v>
      </c>
      <c r="H168" s="10">
        <v>18574</v>
      </c>
      <c r="I168" s="16" t="s">
        <v>26</v>
      </c>
      <c r="J168" s="10">
        <v>390916.13</v>
      </c>
      <c r="K168" s="16" t="s">
        <v>27</v>
      </c>
      <c r="L168" s="16">
        <v>10232</v>
      </c>
      <c r="M168" s="16" t="s">
        <v>32</v>
      </c>
      <c r="O168" s="16">
        <v>1</v>
      </c>
    </row>
    <row r="169" spans="1:17" s="16" customFormat="1" x14ac:dyDescent="0.25">
      <c r="A169" s="16">
        <v>8003879954</v>
      </c>
      <c r="B169" s="16">
        <v>1</v>
      </c>
      <c r="C169" s="16">
        <v>17122018</v>
      </c>
      <c r="D169" s="16">
        <v>321</v>
      </c>
      <c r="E169" s="16" t="s">
        <v>36</v>
      </c>
      <c r="F169" s="16">
        <v>0</v>
      </c>
      <c r="G169" s="16" t="s">
        <v>2814</v>
      </c>
      <c r="H169" s="10">
        <v>39856</v>
      </c>
      <c r="I169" s="16" t="s">
        <v>26</v>
      </c>
      <c r="J169" s="10">
        <v>409490.13</v>
      </c>
      <c r="K169" s="16" t="s">
        <v>27</v>
      </c>
      <c r="L169" s="16">
        <v>10232</v>
      </c>
      <c r="M169" s="16" t="s">
        <v>32</v>
      </c>
      <c r="O169" s="16">
        <v>1</v>
      </c>
    </row>
    <row r="170" spans="1:17" s="16" customFormat="1" x14ac:dyDescent="0.25">
      <c r="A170" s="16">
        <v>8003879954</v>
      </c>
      <c r="B170" s="16">
        <v>15</v>
      </c>
      <c r="C170" s="16">
        <v>14122018</v>
      </c>
      <c r="D170" s="16">
        <v>341</v>
      </c>
      <c r="E170" s="16" t="s">
        <v>25</v>
      </c>
      <c r="F170" s="16">
        <v>9938</v>
      </c>
      <c r="G170" s="16" t="s">
        <v>2815</v>
      </c>
      <c r="H170" s="10">
        <v>400</v>
      </c>
      <c r="I170" s="16" t="s">
        <v>26</v>
      </c>
      <c r="J170" s="10">
        <v>449346.13</v>
      </c>
      <c r="K170" s="16" t="s">
        <v>27</v>
      </c>
      <c r="L170" s="16">
        <v>185335</v>
      </c>
      <c r="M170" s="16" t="s">
        <v>2816</v>
      </c>
      <c r="O170" s="16">
        <v>1</v>
      </c>
      <c r="P170" s="16" t="s">
        <v>2817</v>
      </c>
      <c r="Q170" s="16" t="s">
        <v>2818</v>
      </c>
    </row>
    <row r="171" spans="1:17" s="16" customFormat="1" x14ac:dyDescent="0.25">
      <c r="A171" s="16">
        <v>8003879954</v>
      </c>
      <c r="B171" s="16">
        <v>14</v>
      </c>
      <c r="C171" s="16">
        <v>14122018</v>
      </c>
      <c r="D171" s="16">
        <v>489</v>
      </c>
      <c r="E171" s="16" t="s">
        <v>31</v>
      </c>
      <c r="F171" s="16">
        <v>9938</v>
      </c>
      <c r="G171" s="16" t="s">
        <v>2815</v>
      </c>
      <c r="H171" s="10">
        <v>0.1</v>
      </c>
      <c r="I171" s="16" t="s">
        <v>26</v>
      </c>
      <c r="J171" s="10">
        <v>449746.13</v>
      </c>
      <c r="K171" s="16" t="s">
        <v>27</v>
      </c>
      <c r="L171" s="16">
        <v>185335</v>
      </c>
      <c r="M171" s="16" t="s">
        <v>2819</v>
      </c>
      <c r="O171" s="16">
        <v>1</v>
      </c>
    </row>
    <row r="172" spans="1:17" s="16" customFormat="1" x14ac:dyDescent="0.25">
      <c r="A172" s="16">
        <v>8003879954</v>
      </c>
      <c r="B172" s="16">
        <v>13</v>
      </c>
      <c r="C172" s="16">
        <v>14122018</v>
      </c>
      <c r="D172" s="16">
        <v>341</v>
      </c>
      <c r="E172" s="16" t="s">
        <v>25</v>
      </c>
      <c r="F172" s="16">
        <v>9938</v>
      </c>
      <c r="G172" s="16" t="s">
        <v>2820</v>
      </c>
      <c r="H172" s="10">
        <v>600</v>
      </c>
      <c r="I172" s="16" t="s">
        <v>26</v>
      </c>
      <c r="J172" s="10">
        <v>449746.23</v>
      </c>
      <c r="K172" s="16" t="s">
        <v>27</v>
      </c>
      <c r="L172" s="16">
        <v>185333</v>
      </c>
      <c r="M172" s="16" t="s">
        <v>2821</v>
      </c>
      <c r="O172" s="16">
        <v>1</v>
      </c>
      <c r="P172" s="16" t="s">
        <v>2822</v>
      </c>
      <c r="Q172" s="16" t="s">
        <v>2818</v>
      </c>
    </row>
    <row r="173" spans="1:17" s="16" customFormat="1" x14ac:dyDescent="0.25">
      <c r="A173" s="16">
        <v>8003879954</v>
      </c>
      <c r="B173" s="16">
        <v>12</v>
      </c>
      <c r="C173" s="16">
        <v>14122018</v>
      </c>
      <c r="D173" s="16">
        <v>489</v>
      </c>
      <c r="E173" s="16" t="s">
        <v>31</v>
      </c>
      <c r="F173" s="16">
        <v>9938</v>
      </c>
      <c r="G173" s="16" t="s">
        <v>2820</v>
      </c>
      <c r="H173" s="10">
        <v>0.1</v>
      </c>
      <c r="I173" s="16" t="s">
        <v>26</v>
      </c>
      <c r="J173" s="10">
        <v>450346.23</v>
      </c>
      <c r="K173" s="16" t="s">
        <v>27</v>
      </c>
      <c r="L173" s="16">
        <v>185333</v>
      </c>
      <c r="M173" s="16" t="s">
        <v>2823</v>
      </c>
      <c r="O173" s="16">
        <v>1</v>
      </c>
    </row>
    <row r="174" spans="1:17" s="16" customFormat="1" x14ac:dyDescent="0.25">
      <c r="A174" s="16">
        <v>8003879954</v>
      </c>
      <c r="B174" s="16">
        <v>11</v>
      </c>
      <c r="C174" s="16">
        <v>14122018</v>
      </c>
      <c r="D174" s="16">
        <v>341</v>
      </c>
      <c r="E174" s="16" t="s">
        <v>25</v>
      </c>
      <c r="F174" s="16">
        <v>9938</v>
      </c>
      <c r="G174" s="16" t="s">
        <v>2824</v>
      </c>
      <c r="H174" s="10">
        <v>800</v>
      </c>
      <c r="I174" s="16" t="s">
        <v>26</v>
      </c>
      <c r="J174" s="10">
        <v>450346.33</v>
      </c>
      <c r="K174" s="16" t="s">
        <v>27</v>
      </c>
      <c r="L174" s="16">
        <v>185334</v>
      </c>
      <c r="M174" s="16" t="s">
        <v>2825</v>
      </c>
      <c r="O174" s="16">
        <v>1</v>
      </c>
      <c r="P174" s="16" t="s">
        <v>2826</v>
      </c>
      <c r="Q174" s="16" t="s">
        <v>2818</v>
      </c>
    </row>
    <row r="175" spans="1:17" s="16" customFormat="1" x14ac:dyDescent="0.25">
      <c r="A175" s="16">
        <v>8003879954</v>
      </c>
      <c r="B175" s="16">
        <v>10</v>
      </c>
      <c r="C175" s="16">
        <v>14122018</v>
      </c>
      <c r="D175" s="16">
        <v>489</v>
      </c>
      <c r="E175" s="16" t="s">
        <v>31</v>
      </c>
      <c r="F175" s="16">
        <v>9938</v>
      </c>
      <c r="G175" s="16" t="s">
        <v>2824</v>
      </c>
      <c r="H175" s="10">
        <v>0.1</v>
      </c>
      <c r="I175" s="16" t="s">
        <v>26</v>
      </c>
      <c r="J175" s="10">
        <v>451146.33</v>
      </c>
      <c r="K175" s="16" t="s">
        <v>27</v>
      </c>
      <c r="L175" s="16">
        <v>185334</v>
      </c>
      <c r="M175" s="16" t="s">
        <v>2827</v>
      </c>
      <c r="O175" s="16">
        <v>1</v>
      </c>
    </row>
    <row r="176" spans="1:17" s="16" customFormat="1" x14ac:dyDescent="0.25">
      <c r="A176" s="16">
        <v>8003879954</v>
      </c>
      <c r="B176" s="16">
        <v>9</v>
      </c>
      <c r="C176" s="16">
        <v>14122018</v>
      </c>
      <c r="D176" s="16">
        <v>341</v>
      </c>
      <c r="E176" s="16" t="s">
        <v>25</v>
      </c>
      <c r="F176" s="16">
        <v>9938</v>
      </c>
      <c r="G176" s="16" t="s">
        <v>2828</v>
      </c>
      <c r="H176" s="10">
        <v>800</v>
      </c>
      <c r="I176" s="16" t="s">
        <v>26</v>
      </c>
      <c r="J176" s="10">
        <v>451146.43</v>
      </c>
      <c r="K176" s="16" t="s">
        <v>27</v>
      </c>
      <c r="L176" s="16">
        <v>185334</v>
      </c>
      <c r="M176" s="16" t="s">
        <v>2829</v>
      </c>
      <c r="O176" s="16">
        <v>1</v>
      </c>
      <c r="P176" s="16" t="s">
        <v>2830</v>
      </c>
      <c r="Q176" s="16" t="s">
        <v>2818</v>
      </c>
    </row>
    <row r="177" spans="1:18" s="16" customFormat="1" x14ac:dyDescent="0.25">
      <c r="A177" s="16">
        <v>8003879954</v>
      </c>
      <c r="B177" s="16">
        <v>8</v>
      </c>
      <c r="C177" s="16">
        <v>14122018</v>
      </c>
      <c r="D177" s="16">
        <v>489</v>
      </c>
      <c r="E177" s="16" t="s">
        <v>31</v>
      </c>
      <c r="F177" s="16">
        <v>9938</v>
      </c>
      <c r="G177" s="16" t="s">
        <v>2828</v>
      </c>
      <c r="H177" s="10">
        <v>0.1</v>
      </c>
      <c r="I177" s="16" t="s">
        <v>26</v>
      </c>
      <c r="J177" s="10">
        <v>451946.43</v>
      </c>
      <c r="K177" s="16" t="s">
        <v>27</v>
      </c>
      <c r="L177" s="16">
        <v>185334</v>
      </c>
      <c r="M177" s="16" t="s">
        <v>2831</v>
      </c>
      <c r="O177" s="16">
        <v>1</v>
      </c>
    </row>
    <row r="178" spans="1:18" s="16" customFormat="1" x14ac:dyDescent="0.25">
      <c r="A178" s="16">
        <v>8003879954</v>
      </c>
      <c r="B178" s="16">
        <v>7</v>
      </c>
      <c r="C178" s="16">
        <v>14122018</v>
      </c>
      <c r="D178" s="16">
        <v>60</v>
      </c>
      <c r="E178" s="16" t="s">
        <v>37</v>
      </c>
      <c r="F178" s="16">
        <v>9938</v>
      </c>
      <c r="G178" s="16" t="s">
        <v>2832</v>
      </c>
      <c r="H178" s="10">
        <v>600</v>
      </c>
      <c r="I178" s="16" t="s">
        <v>26</v>
      </c>
      <c r="J178" s="10">
        <v>451946.53</v>
      </c>
      <c r="K178" s="16" t="s">
        <v>27</v>
      </c>
      <c r="L178" s="16">
        <v>185334</v>
      </c>
      <c r="M178" s="16" t="s">
        <v>2833</v>
      </c>
      <c r="O178" s="16">
        <v>1</v>
      </c>
      <c r="P178" s="16" t="s">
        <v>2834</v>
      </c>
      <c r="Q178" s="16" t="s">
        <v>2818</v>
      </c>
    </row>
    <row r="179" spans="1:18" s="16" customFormat="1" x14ac:dyDescent="0.25">
      <c r="A179" s="16">
        <v>8003879954</v>
      </c>
      <c r="B179" s="16">
        <v>6</v>
      </c>
      <c r="C179" s="16">
        <v>14122018</v>
      </c>
      <c r="D179" s="16">
        <v>341</v>
      </c>
      <c r="E179" s="16" t="s">
        <v>25</v>
      </c>
      <c r="F179" s="16">
        <v>9938</v>
      </c>
      <c r="G179" s="16" t="s">
        <v>2835</v>
      </c>
      <c r="H179" s="10">
        <v>400</v>
      </c>
      <c r="I179" s="16" t="s">
        <v>26</v>
      </c>
      <c r="J179" s="10">
        <v>452546.53</v>
      </c>
      <c r="K179" s="16" t="s">
        <v>27</v>
      </c>
      <c r="L179" s="16">
        <v>185333</v>
      </c>
      <c r="M179" s="16" t="s">
        <v>226</v>
      </c>
      <c r="O179" s="16">
        <v>1</v>
      </c>
      <c r="P179" s="16" t="s">
        <v>2836</v>
      </c>
      <c r="Q179" s="16" t="s">
        <v>2818</v>
      </c>
    </row>
    <row r="180" spans="1:18" s="16" customFormat="1" x14ac:dyDescent="0.25">
      <c r="A180" s="16">
        <v>8003879954</v>
      </c>
      <c r="B180" s="16">
        <v>5</v>
      </c>
      <c r="C180" s="16">
        <v>14122018</v>
      </c>
      <c r="D180" s="16">
        <v>489</v>
      </c>
      <c r="E180" s="16" t="s">
        <v>31</v>
      </c>
      <c r="F180" s="16">
        <v>9938</v>
      </c>
      <c r="G180" s="16" t="s">
        <v>2835</v>
      </c>
      <c r="H180" s="10">
        <v>0.1</v>
      </c>
      <c r="I180" s="16" t="s">
        <v>26</v>
      </c>
      <c r="J180" s="10">
        <v>452946.53</v>
      </c>
      <c r="K180" s="16" t="s">
        <v>27</v>
      </c>
      <c r="L180" s="16">
        <v>185333</v>
      </c>
      <c r="M180" s="16" t="s">
        <v>2837</v>
      </c>
      <c r="O180" s="16">
        <v>1</v>
      </c>
    </row>
    <row r="181" spans="1:18" s="16" customFormat="1" x14ac:dyDescent="0.25">
      <c r="A181" s="16">
        <v>8003879954</v>
      </c>
      <c r="B181" s="16">
        <v>4</v>
      </c>
      <c r="C181" s="16">
        <v>14122018</v>
      </c>
      <c r="D181" s="16">
        <v>341</v>
      </c>
      <c r="E181" s="16" t="s">
        <v>25</v>
      </c>
      <c r="F181" s="16">
        <v>9938</v>
      </c>
      <c r="G181" s="16" t="s">
        <v>2838</v>
      </c>
      <c r="H181" s="10">
        <v>2450</v>
      </c>
      <c r="I181" s="16" t="s">
        <v>26</v>
      </c>
      <c r="J181" s="10">
        <v>452946.63</v>
      </c>
      <c r="K181" s="16" t="s">
        <v>27</v>
      </c>
      <c r="L181" s="16">
        <v>185333</v>
      </c>
      <c r="M181" s="16" t="s">
        <v>2839</v>
      </c>
      <c r="O181" s="16">
        <v>1</v>
      </c>
      <c r="P181" s="16" t="s">
        <v>2840</v>
      </c>
      <c r="Q181" s="16" t="s">
        <v>2841</v>
      </c>
    </row>
    <row r="182" spans="1:18" s="16" customFormat="1" x14ac:dyDescent="0.25">
      <c r="A182" s="16">
        <v>8003879954</v>
      </c>
      <c r="B182" s="16">
        <v>3</v>
      </c>
      <c r="C182" s="16">
        <v>14122018</v>
      </c>
      <c r="D182" s="16">
        <v>489</v>
      </c>
      <c r="E182" s="16" t="s">
        <v>31</v>
      </c>
      <c r="F182" s="16">
        <v>9938</v>
      </c>
      <c r="G182" s="16" t="s">
        <v>2838</v>
      </c>
      <c r="H182" s="10">
        <v>0.1</v>
      </c>
      <c r="I182" s="16" t="s">
        <v>26</v>
      </c>
      <c r="J182" s="10">
        <v>455396.63</v>
      </c>
      <c r="K182" s="16" t="s">
        <v>27</v>
      </c>
      <c r="L182" s="16">
        <v>185333</v>
      </c>
      <c r="M182" s="16" t="s">
        <v>2842</v>
      </c>
      <c r="O182" s="16">
        <v>1</v>
      </c>
    </row>
    <row r="183" spans="1:18" s="16" customFormat="1" x14ac:dyDescent="0.25">
      <c r="A183" s="16">
        <v>8003879954</v>
      </c>
      <c r="B183" s="16">
        <v>2</v>
      </c>
      <c r="C183" s="16">
        <v>14122018</v>
      </c>
      <c r="D183" s="16">
        <v>60</v>
      </c>
      <c r="E183" s="16" t="s">
        <v>37</v>
      </c>
      <c r="F183" s="16">
        <v>9938</v>
      </c>
      <c r="G183" s="16" t="s">
        <v>2843</v>
      </c>
      <c r="H183" s="10">
        <v>400</v>
      </c>
      <c r="I183" s="16" t="s">
        <v>26</v>
      </c>
      <c r="J183" s="10">
        <v>455396.73</v>
      </c>
      <c r="K183" s="16" t="s">
        <v>27</v>
      </c>
      <c r="L183" s="16">
        <v>185333</v>
      </c>
      <c r="M183" s="16" t="s">
        <v>2844</v>
      </c>
      <c r="O183" s="16">
        <v>1</v>
      </c>
      <c r="P183" s="16" t="s">
        <v>2845</v>
      </c>
      <c r="Q183" s="16" t="s">
        <v>2818</v>
      </c>
    </row>
    <row r="184" spans="1:18" s="16" customFormat="1" x14ac:dyDescent="0.25">
      <c r="A184" s="16">
        <v>8003879954</v>
      </c>
      <c r="B184" s="16">
        <v>1</v>
      </c>
      <c r="C184" s="16">
        <v>14122018</v>
      </c>
      <c r="D184" s="16">
        <v>60</v>
      </c>
      <c r="E184" s="16" t="s">
        <v>37</v>
      </c>
      <c r="F184" s="16">
        <v>9938</v>
      </c>
      <c r="G184" s="16" t="s">
        <v>2846</v>
      </c>
      <c r="H184" s="10">
        <v>600</v>
      </c>
      <c r="I184" s="16" t="s">
        <v>26</v>
      </c>
      <c r="J184" s="10">
        <v>455796.73</v>
      </c>
      <c r="K184" s="16" t="s">
        <v>27</v>
      </c>
      <c r="L184" s="16">
        <v>185333</v>
      </c>
      <c r="M184" s="16" t="s">
        <v>2847</v>
      </c>
      <c r="O184" s="16">
        <v>1</v>
      </c>
      <c r="P184" s="16" t="s">
        <v>2848</v>
      </c>
      <c r="Q184" s="16" t="s">
        <v>2818</v>
      </c>
    </row>
    <row r="185" spans="1:18" s="16" customFormat="1" x14ac:dyDescent="0.25">
      <c r="A185" s="16">
        <v>8003879954</v>
      </c>
      <c r="B185" s="16">
        <v>1</v>
      </c>
      <c r="C185" s="16">
        <v>13122018</v>
      </c>
      <c r="D185" s="16">
        <v>663</v>
      </c>
      <c r="E185" s="16" t="s">
        <v>2849</v>
      </c>
      <c r="F185" s="16">
        <v>3933</v>
      </c>
      <c r="G185" s="16" t="s">
        <v>2850</v>
      </c>
      <c r="H185" s="10">
        <v>2450</v>
      </c>
      <c r="I185" s="16" t="s">
        <v>27</v>
      </c>
      <c r="J185" s="10">
        <v>456396.73</v>
      </c>
      <c r="K185" s="16" t="s">
        <v>27</v>
      </c>
      <c r="L185" s="16">
        <v>151242</v>
      </c>
      <c r="M185" s="16" t="s">
        <v>2840</v>
      </c>
      <c r="O185" s="16">
        <v>1</v>
      </c>
      <c r="Q185" s="16" t="s">
        <v>2851</v>
      </c>
      <c r="R185" s="16" t="s">
        <v>2852</v>
      </c>
    </row>
    <row r="186" spans="1:18" s="16" customFormat="1" x14ac:dyDescent="0.25">
      <c r="A186" s="16">
        <v>8003879954</v>
      </c>
      <c r="B186" s="16">
        <v>45</v>
      </c>
      <c r="C186" s="16">
        <v>12122018</v>
      </c>
      <c r="D186" s="16">
        <v>341</v>
      </c>
      <c r="E186" s="16" t="s">
        <v>25</v>
      </c>
      <c r="F186" s="16">
        <v>9938</v>
      </c>
      <c r="G186" s="16" t="s">
        <v>2853</v>
      </c>
      <c r="H186" s="10">
        <v>360</v>
      </c>
      <c r="I186" s="16" t="s">
        <v>26</v>
      </c>
      <c r="J186" s="10">
        <v>453946.73</v>
      </c>
      <c r="K186" s="16" t="s">
        <v>27</v>
      </c>
      <c r="L186" s="16">
        <v>225324</v>
      </c>
      <c r="M186" s="16" t="s">
        <v>245</v>
      </c>
      <c r="O186" s="16">
        <v>1</v>
      </c>
      <c r="P186" s="16" t="s">
        <v>2854</v>
      </c>
      <c r="Q186" s="16" t="s">
        <v>44</v>
      </c>
    </row>
    <row r="187" spans="1:18" s="16" customFormat="1" x14ac:dyDescent="0.25">
      <c r="A187" s="16">
        <v>8003879954</v>
      </c>
      <c r="B187" s="16">
        <v>44</v>
      </c>
      <c r="C187" s="16">
        <v>12122018</v>
      </c>
      <c r="D187" s="16">
        <v>489</v>
      </c>
      <c r="E187" s="16" t="s">
        <v>31</v>
      </c>
      <c r="F187" s="16">
        <v>9938</v>
      </c>
      <c r="G187" s="16" t="s">
        <v>2853</v>
      </c>
      <c r="H187" s="10">
        <v>0.1</v>
      </c>
      <c r="I187" s="16" t="s">
        <v>26</v>
      </c>
      <c r="J187" s="10">
        <v>454306.73</v>
      </c>
      <c r="K187" s="16" t="s">
        <v>27</v>
      </c>
      <c r="L187" s="16">
        <v>225324</v>
      </c>
      <c r="M187" s="16" t="s">
        <v>2855</v>
      </c>
      <c r="O187" s="16">
        <v>1</v>
      </c>
    </row>
    <row r="188" spans="1:18" s="16" customFormat="1" x14ac:dyDescent="0.25">
      <c r="A188" s="16">
        <v>8003879954</v>
      </c>
      <c r="B188" s="16">
        <v>43</v>
      </c>
      <c r="C188" s="16">
        <v>12122018</v>
      </c>
      <c r="D188" s="16">
        <v>341</v>
      </c>
      <c r="E188" s="16" t="s">
        <v>25</v>
      </c>
      <c r="F188" s="16">
        <v>9938</v>
      </c>
      <c r="G188" s="16" t="s">
        <v>2856</v>
      </c>
      <c r="H188" s="10">
        <v>240</v>
      </c>
      <c r="I188" s="16" t="s">
        <v>26</v>
      </c>
      <c r="J188" s="10">
        <v>454306.83</v>
      </c>
      <c r="K188" s="16" t="s">
        <v>27</v>
      </c>
      <c r="L188" s="16">
        <v>225324</v>
      </c>
      <c r="M188" s="16" t="s">
        <v>722</v>
      </c>
      <c r="O188" s="16">
        <v>1</v>
      </c>
      <c r="P188" s="16" t="s">
        <v>2857</v>
      </c>
      <c r="Q188" s="16" t="s">
        <v>44</v>
      </c>
    </row>
    <row r="189" spans="1:18" s="16" customFormat="1" x14ac:dyDescent="0.25">
      <c r="A189" s="16">
        <v>8003879954</v>
      </c>
      <c r="B189" s="16">
        <v>42</v>
      </c>
      <c r="C189" s="16">
        <v>12122018</v>
      </c>
      <c r="D189" s="16">
        <v>489</v>
      </c>
      <c r="E189" s="16" t="s">
        <v>31</v>
      </c>
      <c r="F189" s="16">
        <v>9938</v>
      </c>
      <c r="G189" s="16" t="s">
        <v>2856</v>
      </c>
      <c r="H189" s="10">
        <v>0.1</v>
      </c>
      <c r="I189" s="16" t="s">
        <v>26</v>
      </c>
      <c r="J189" s="10">
        <v>454546.83</v>
      </c>
      <c r="K189" s="16" t="s">
        <v>27</v>
      </c>
      <c r="L189" s="16">
        <v>225324</v>
      </c>
      <c r="M189" s="16" t="s">
        <v>2858</v>
      </c>
      <c r="O189" s="16">
        <v>1</v>
      </c>
    </row>
    <row r="190" spans="1:18" s="16" customFormat="1" x14ac:dyDescent="0.25">
      <c r="A190" s="16">
        <v>8003879954</v>
      </c>
      <c r="B190" s="16">
        <v>41</v>
      </c>
      <c r="C190" s="16">
        <v>12122018</v>
      </c>
      <c r="D190" s="16">
        <v>341</v>
      </c>
      <c r="E190" s="16" t="s">
        <v>25</v>
      </c>
      <c r="F190" s="16">
        <v>9938</v>
      </c>
      <c r="G190" s="16" t="s">
        <v>2859</v>
      </c>
      <c r="H190" s="10">
        <v>9240</v>
      </c>
      <c r="I190" s="16" t="s">
        <v>26</v>
      </c>
      <c r="J190" s="10">
        <v>454546.93</v>
      </c>
      <c r="K190" s="16" t="s">
        <v>27</v>
      </c>
      <c r="L190" s="16">
        <v>225324</v>
      </c>
      <c r="M190" s="16" t="s">
        <v>41</v>
      </c>
      <c r="O190" s="16">
        <v>1</v>
      </c>
      <c r="P190" s="16" t="s">
        <v>2860</v>
      </c>
      <c r="Q190" s="16" t="s">
        <v>2861</v>
      </c>
    </row>
    <row r="191" spans="1:18" s="16" customFormat="1" x14ac:dyDescent="0.25">
      <c r="A191" s="16">
        <v>8003879954</v>
      </c>
      <c r="B191" s="16">
        <v>40</v>
      </c>
      <c r="C191" s="16">
        <v>12122018</v>
      </c>
      <c r="D191" s="16">
        <v>489</v>
      </c>
      <c r="E191" s="16" t="s">
        <v>31</v>
      </c>
      <c r="F191" s="16">
        <v>9938</v>
      </c>
      <c r="G191" s="16" t="s">
        <v>2859</v>
      </c>
      <c r="H191" s="10">
        <v>0.1</v>
      </c>
      <c r="I191" s="16" t="s">
        <v>26</v>
      </c>
      <c r="J191" s="10">
        <v>463786.93</v>
      </c>
      <c r="K191" s="16" t="s">
        <v>27</v>
      </c>
      <c r="L191" s="16">
        <v>225324</v>
      </c>
      <c r="M191" s="16" t="s">
        <v>2862</v>
      </c>
      <c r="O191" s="16">
        <v>1</v>
      </c>
    </row>
    <row r="192" spans="1:18" s="16" customFormat="1" x14ac:dyDescent="0.25">
      <c r="A192" s="16">
        <v>8003879954</v>
      </c>
      <c r="B192" s="16">
        <v>39</v>
      </c>
      <c r="C192" s="16">
        <v>12122018</v>
      </c>
      <c r="D192" s="16">
        <v>60</v>
      </c>
      <c r="E192" s="16" t="s">
        <v>37</v>
      </c>
      <c r="F192" s="16">
        <v>9938</v>
      </c>
      <c r="G192" s="16" t="s">
        <v>2863</v>
      </c>
      <c r="H192" s="10">
        <v>3400</v>
      </c>
      <c r="I192" s="16" t="s">
        <v>26</v>
      </c>
      <c r="J192" s="10">
        <v>463787.03</v>
      </c>
      <c r="K192" s="16" t="s">
        <v>27</v>
      </c>
      <c r="L192" s="16">
        <v>225324</v>
      </c>
      <c r="M192" s="16" t="s">
        <v>2864</v>
      </c>
      <c r="O192" s="16">
        <v>1</v>
      </c>
      <c r="P192" s="16" t="s">
        <v>2865</v>
      </c>
      <c r="Q192" s="16" t="s">
        <v>2866</v>
      </c>
    </row>
    <row r="193" spans="1:17" s="16" customFormat="1" x14ac:dyDescent="0.25">
      <c r="A193" s="16">
        <v>8003879954</v>
      </c>
      <c r="B193" s="16">
        <v>38</v>
      </c>
      <c r="C193" s="16">
        <v>12122018</v>
      </c>
      <c r="D193" s="16">
        <v>341</v>
      </c>
      <c r="E193" s="16" t="s">
        <v>25</v>
      </c>
      <c r="F193" s="16">
        <v>9938</v>
      </c>
      <c r="G193" s="16" t="s">
        <v>2867</v>
      </c>
      <c r="H193" s="10">
        <v>5742.44</v>
      </c>
      <c r="I193" s="16" t="s">
        <v>26</v>
      </c>
      <c r="J193" s="10">
        <v>467187.03</v>
      </c>
      <c r="K193" s="16" t="s">
        <v>27</v>
      </c>
      <c r="L193" s="16">
        <v>225324</v>
      </c>
      <c r="M193" s="16" t="s">
        <v>408</v>
      </c>
      <c r="O193" s="16">
        <v>1</v>
      </c>
      <c r="P193" s="16" t="s">
        <v>2868</v>
      </c>
      <c r="Q193" s="16" t="s">
        <v>410</v>
      </c>
    </row>
    <row r="194" spans="1:17" s="16" customFormat="1" x14ac:dyDescent="0.25">
      <c r="A194" s="16">
        <v>8003879954</v>
      </c>
      <c r="B194" s="16">
        <v>37</v>
      </c>
      <c r="C194" s="16">
        <v>12122018</v>
      </c>
      <c r="D194" s="16">
        <v>489</v>
      </c>
      <c r="E194" s="16" t="s">
        <v>31</v>
      </c>
      <c r="F194" s="16">
        <v>9938</v>
      </c>
      <c r="G194" s="16" t="s">
        <v>2867</v>
      </c>
      <c r="H194" s="10">
        <v>0.1</v>
      </c>
      <c r="I194" s="16" t="s">
        <v>26</v>
      </c>
      <c r="J194" s="10">
        <v>472929.47</v>
      </c>
      <c r="K194" s="16" t="s">
        <v>27</v>
      </c>
      <c r="L194" s="16">
        <v>225324</v>
      </c>
      <c r="M194" s="16" t="s">
        <v>2869</v>
      </c>
      <c r="O194" s="16">
        <v>1</v>
      </c>
    </row>
    <row r="195" spans="1:17" s="16" customFormat="1" x14ac:dyDescent="0.25">
      <c r="A195" s="16">
        <v>8003879954</v>
      </c>
      <c r="B195" s="16">
        <v>36</v>
      </c>
      <c r="C195" s="16">
        <v>12122018</v>
      </c>
      <c r="D195" s="16">
        <v>60</v>
      </c>
      <c r="E195" s="16" t="s">
        <v>37</v>
      </c>
      <c r="F195" s="16">
        <v>9938</v>
      </c>
      <c r="G195" s="16" t="s">
        <v>2870</v>
      </c>
      <c r="H195" s="10">
        <v>1680</v>
      </c>
      <c r="I195" s="16" t="s">
        <v>26</v>
      </c>
      <c r="J195" s="10">
        <v>472929.57</v>
      </c>
      <c r="K195" s="16" t="s">
        <v>27</v>
      </c>
      <c r="L195" s="16">
        <v>225323</v>
      </c>
      <c r="M195" s="16" t="s">
        <v>2871</v>
      </c>
      <c r="O195" s="16">
        <v>1</v>
      </c>
      <c r="P195" s="16" t="s">
        <v>2872</v>
      </c>
      <c r="Q195" s="16" t="s">
        <v>2873</v>
      </c>
    </row>
    <row r="196" spans="1:17" s="16" customFormat="1" x14ac:dyDescent="0.25">
      <c r="A196" s="16">
        <v>8003879954</v>
      </c>
      <c r="B196" s="16">
        <v>35</v>
      </c>
      <c r="C196" s="16">
        <v>12122018</v>
      </c>
      <c r="D196" s="16">
        <v>60</v>
      </c>
      <c r="E196" s="16" t="s">
        <v>37</v>
      </c>
      <c r="F196" s="16">
        <v>9938</v>
      </c>
      <c r="G196" s="16" t="s">
        <v>2874</v>
      </c>
      <c r="H196" s="10">
        <v>630</v>
      </c>
      <c r="I196" s="16" t="s">
        <v>26</v>
      </c>
      <c r="J196" s="10">
        <v>474609.57</v>
      </c>
      <c r="K196" s="16" t="s">
        <v>27</v>
      </c>
      <c r="L196" s="16">
        <v>225323</v>
      </c>
      <c r="M196" s="16" t="s">
        <v>2875</v>
      </c>
      <c r="O196" s="16">
        <v>1</v>
      </c>
      <c r="P196" s="16" t="s">
        <v>2876</v>
      </c>
      <c r="Q196" s="16" t="s">
        <v>2877</v>
      </c>
    </row>
    <row r="197" spans="1:17" s="16" customFormat="1" x14ac:dyDescent="0.25">
      <c r="A197" s="16">
        <v>8003879954</v>
      </c>
      <c r="B197" s="16">
        <v>34</v>
      </c>
      <c r="C197" s="16">
        <v>12122018</v>
      </c>
      <c r="D197" s="16">
        <v>341</v>
      </c>
      <c r="E197" s="16" t="s">
        <v>25</v>
      </c>
      <c r="F197" s="16">
        <v>9938</v>
      </c>
      <c r="G197" s="16" t="s">
        <v>2878</v>
      </c>
      <c r="H197" s="10">
        <v>3000</v>
      </c>
      <c r="I197" s="16" t="s">
        <v>26</v>
      </c>
      <c r="J197" s="10">
        <v>475239.57</v>
      </c>
      <c r="K197" s="16" t="s">
        <v>27</v>
      </c>
      <c r="L197" s="16">
        <v>225024</v>
      </c>
      <c r="M197" s="16" t="s">
        <v>43</v>
      </c>
      <c r="O197" s="16">
        <v>1</v>
      </c>
      <c r="P197" s="16" t="s">
        <v>2879</v>
      </c>
      <c r="Q197" s="16" t="s">
        <v>44</v>
      </c>
    </row>
    <row r="198" spans="1:17" s="16" customFormat="1" x14ac:dyDescent="0.25">
      <c r="A198" s="16">
        <v>8003879954</v>
      </c>
      <c r="B198" s="16">
        <v>33</v>
      </c>
      <c r="C198" s="16">
        <v>12122018</v>
      </c>
      <c r="D198" s="16">
        <v>489</v>
      </c>
      <c r="E198" s="16" t="s">
        <v>31</v>
      </c>
      <c r="F198" s="16">
        <v>9938</v>
      </c>
      <c r="G198" s="16" t="s">
        <v>2878</v>
      </c>
      <c r="H198" s="10">
        <v>0.1</v>
      </c>
      <c r="I198" s="16" t="s">
        <v>26</v>
      </c>
      <c r="J198" s="10">
        <v>478239.57</v>
      </c>
      <c r="K198" s="16" t="s">
        <v>27</v>
      </c>
      <c r="L198" s="16">
        <v>225024</v>
      </c>
      <c r="M198" s="16" t="s">
        <v>2880</v>
      </c>
      <c r="O198" s="16">
        <v>1</v>
      </c>
    </row>
    <row r="199" spans="1:17" s="16" customFormat="1" x14ac:dyDescent="0.25">
      <c r="A199" s="16">
        <v>8003879954</v>
      </c>
      <c r="B199" s="16">
        <v>32</v>
      </c>
      <c r="C199" s="16">
        <v>12122018</v>
      </c>
      <c r="D199" s="16">
        <v>343</v>
      </c>
      <c r="E199" s="16" t="s">
        <v>115</v>
      </c>
      <c r="F199" s="16">
        <v>9938</v>
      </c>
      <c r="G199" s="16" t="s">
        <v>2881</v>
      </c>
      <c r="H199" s="10">
        <v>37.35</v>
      </c>
      <c r="I199" s="16" t="s">
        <v>26</v>
      </c>
      <c r="J199" s="10">
        <v>478239.67</v>
      </c>
      <c r="K199" s="16" t="s">
        <v>27</v>
      </c>
      <c r="L199" s="16">
        <v>225024</v>
      </c>
      <c r="M199" s="16" t="s">
        <v>334</v>
      </c>
      <c r="O199" s="16">
        <v>1</v>
      </c>
    </row>
    <row r="200" spans="1:17" s="16" customFormat="1" x14ac:dyDescent="0.25">
      <c r="A200" s="16">
        <v>8003879954</v>
      </c>
      <c r="B200" s="16">
        <v>31</v>
      </c>
      <c r="C200" s="16">
        <v>12122018</v>
      </c>
      <c r="D200" s="16">
        <v>343</v>
      </c>
      <c r="E200" s="16" t="s">
        <v>115</v>
      </c>
      <c r="F200" s="16">
        <v>9938</v>
      </c>
      <c r="G200" s="16" t="s">
        <v>2882</v>
      </c>
      <c r="H200" s="10">
        <v>707.19</v>
      </c>
      <c r="I200" s="16" t="s">
        <v>26</v>
      </c>
      <c r="J200" s="10">
        <v>478277.02</v>
      </c>
      <c r="K200" s="16" t="s">
        <v>27</v>
      </c>
      <c r="L200" s="16">
        <v>225024</v>
      </c>
      <c r="M200" s="16" t="s">
        <v>336</v>
      </c>
      <c r="O200" s="16">
        <v>1</v>
      </c>
    </row>
    <row r="201" spans="1:17" s="16" customFormat="1" x14ac:dyDescent="0.25">
      <c r="A201" s="16">
        <v>8003879954</v>
      </c>
      <c r="B201" s="16">
        <v>30</v>
      </c>
      <c r="C201" s="16">
        <v>12122018</v>
      </c>
      <c r="D201" s="16">
        <v>60</v>
      </c>
      <c r="E201" s="16" t="s">
        <v>37</v>
      </c>
      <c r="F201" s="16">
        <v>9938</v>
      </c>
      <c r="G201" s="16" t="s">
        <v>2883</v>
      </c>
      <c r="H201" s="10">
        <v>3270</v>
      </c>
      <c r="I201" s="16" t="s">
        <v>26</v>
      </c>
      <c r="J201" s="10">
        <v>478984.21</v>
      </c>
      <c r="K201" s="16" t="s">
        <v>27</v>
      </c>
      <c r="L201" s="16">
        <v>225024</v>
      </c>
      <c r="M201" s="16" t="s">
        <v>2884</v>
      </c>
      <c r="O201" s="16">
        <v>1</v>
      </c>
      <c r="P201" s="16" t="s">
        <v>2885</v>
      </c>
      <c r="Q201" s="16" t="s">
        <v>2886</v>
      </c>
    </row>
    <row r="202" spans="1:17" s="16" customFormat="1" x14ac:dyDescent="0.25">
      <c r="A202" s="16">
        <v>8003879954</v>
      </c>
      <c r="B202" s="16">
        <v>29</v>
      </c>
      <c r="C202" s="16">
        <v>12122018</v>
      </c>
      <c r="D202" s="16">
        <v>341</v>
      </c>
      <c r="E202" s="16" t="s">
        <v>25</v>
      </c>
      <c r="F202" s="16">
        <v>9938</v>
      </c>
      <c r="G202" s="16" t="s">
        <v>2887</v>
      </c>
      <c r="H202" s="10">
        <v>1400</v>
      </c>
      <c r="I202" s="16" t="s">
        <v>26</v>
      </c>
      <c r="J202" s="10">
        <v>482254.21</v>
      </c>
      <c r="K202" s="16" t="s">
        <v>27</v>
      </c>
      <c r="L202" s="16">
        <v>225024</v>
      </c>
      <c r="M202" s="16" t="s">
        <v>314</v>
      </c>
      <c r="O202" s="16">
        <v>1</v>
      </c>
      <c r="P202" s="16" t="s">
        <v>2888</v>
      </c>
      <c r="Q202" s="16" t="s">
        <v>1410</v>
      </c>
    </row>
    <row r="203" spans="1:17" s="16" customFormat="1" x14ac:dyDescent="0.25">
      <c r="A203" s="16">
        <v>8003879954</v>
      </c>
      <c r="B203" s="16">
        <v>28</v>
      </c>
      <c r="C203" s="16">
        <v>12122018</v>
      </c>
      <c r="D203" s="16">
        <v>489</v>
      </c>
      <c r="E203" s="16" t="s">
        <v>31</v>
      </c>
      <c r="F203" s="16">
        <v>9938</v>
      </c>
      <c r="G203" s="16" t="s">
        <v>2887</v>
      </c>
      <c r="H203" s="10">
        <v>0.1</v>
      </c>
      <c r="I203" s="16" t="s">
        <v>26</v>
      </c>
      <c r="J203" s="10">
        <v>483654.21</v>
      </c>
      <c r="K203" s="16" t="s">
        <v>27</v>
      </c>
      <c r="L203" s="16">
        <v>225024</v>
      </c>
      <c r="M203" s="16" t="s">
        <v>2889</v>
      </c>
      <c r="O203" s="16">
        <v>1</v>
      </c>
    </row>
    <row r="204" spans="1:17" s="16" customFormat="1" x14ac:dyDescent="0.25">
      <c r="A204" s="16">
        <v>8003879954</v>
      </c>
      <c r="B204" s="16">
        <v>27</v>
      </c>
      <c r="C204" s="16">
        <v>12122018</v>
      </c>
      <c r="D204" s="16">
        <v>343</v>
      </c>
      <c r="E204" s="16" t="s">
        <v>115</v>
      </c>
      <c r="F204" s="16">
        <v>9938</v>
      </c>
      <c r="G204" s="16" t="s">
        <v>2890</v>
      </c>
      <c r="H204" s="10">
        <v>1281.8499999999999</v>
      </c>
      <c r="I204" s="16" t="s">
        <v>26</v>
      </c>
      <c r="J204" s="10">
        <v>483654.31</v>
      </c>
      <c r="K204" s="16" t="s">
        <v>27</v>
      </c>
      <c r="L204" s="16">
        <v>225023</v>
      </c>
      <c r="M204" s="16" t="s">
        <v>338</v>
      </c>
      <c r="O204" s="16">
        <v>1</v>
      </c>
    </row>
    <row r="205" spans="1:17" x14ac:dyDescent="0.25">
      <c r="A205">
        <v>8003879954</v>
      </c>
      <c r="B205">
        <v>26</v>
      </c>
      <c r="C205">
        <v>12122018</v>
      </c>
      <c r="D205">
        <v>341</v>
      </c>
      <c r="E205" t="s">
        <v>25</v>
      </c>
      <c r="F205">
        <v>9938</v>
      </c>
      <c r="G205" t="s">
        <v>2891</v>
      </c>
      <c r="H205" s="2">
        <v>180</v>
      </c>
      <c r="I205" t="s">
        <v>26</v>
      </c>
      <c r="J205" s="2">
        <v>484936.16</v>
      </c>
      <c r="K205" t="s">
        <v>27</v>
      </c>
      <c r="L205">
        <v>225023</v>
      </c>
      <c r="M205" t="s">
        <v>2445</v>
      </c>
      <c r="O205">
        <v>1</v>
      </c>
      <c r="P205" t="s">
        <v>2892</v>
      </c>
      <c r="Q205" t="s">
        <v>2893</v>
      </c>
    </row>
    <row r="206" spans="1:17" x14ac:dyDescent="0.25">
      <c r="A206">
        <v>8003879954</v>
      </c>
      <c r="B206">
        <v>25</v>
      </c>
      <c r="C206">
        <v>12122018</v>
      </c>
      <c r="D206">
        <v>489</v>
      </c>
      <c r="E206" t="s">
        <v>31</v>
      </c>
      <c r="F206">
        <v>9938</v>
      </c>
      <c r="G206" t="s">
        <v>2891</v>
      </c>
      <c r="H206" s="2">
        <v>0.1</v>
      </c>
      <c r="I206" t="s">
        <v>26</v>
      </c>
      <c r="J206" s="2">
        <v>485116.15999999997</v>
      </c>
      <c r="K206" t="s">
        <v>27</v>
      </c>
      <c r="L206">
        <v>225023</v>
      </c>
      <c r="M206" t="s">
        <v>2894</v>
      </c>
      <c r="O206">
        <v>1</v>
      </c>
    </row>
    <row r="207" spans="1:17" x14ac:dyDescent="0.25">
      <c r="A207">
        <v>8003879954</v>
      </c>
      <c r="B207">
        <v>24</v>
      </c>
      <c r="C207">
        <v>12122018</v>
      </c>
      <c r="D207">
        <v>341</v>
      </c>
      <c r="E207" t="s">
        <v>25</v>
      </c>
      <c r="F207">
        <v>9938</v>
      </c>
      <c r="G207" t="s">
        <v>2895</v>
      </c>
      <c r="H207" s="2">
        <v>301</v>
      </c>
      <c r="I207" t="s">
        <v>26</v>
      </c>
      <c r="J207" s="2">
        <v>485116.26</v>
      </c>
      <c r="K207" t="s">
        <v>27</v>
      </c>
      <c r="L207">
        <v>225023</v>
      </c>
      <c r="M207" t="s">
        <v>1512</v>
      </c>
      <c r="O207">
        <v>1</v>
      </c>
      <c r="P207" t="s">
        <v>2896</v>
      </c>
      <c r="Q207" t="s">
        <v>2897</v>
      </c>
    </row>
    <row r="208" spans="1:17" x14ac:dyDescent="0.25">
      <c r="A208">
        <v>8003879954</v>
      </c>
      <c r="B208">
        <v>23</v>
      </c>
      <c r="C208">
        <v>12122018</v>
      </c>
      <c r="D208">
        <v>489</v>
      </c>
      <c r="E208" t="s">
        <v>31</v>
      </c>
      <c r="F208">
        <v>9938</v>
      </c>
      <c r="G208" t="s">
        <v>2895</v>
      </c>
      <c r="H208" s="2">
        <v>0.1</v>
      </c>
      <c r="I208" t="s">
        <v>26</v>
      </c>
      <c r="J208" s="2">
        <v>485417.26</v>
      </c>
      <c r="K208" t="s">
        <v>27</v>
      </c>
      <c r="L208">
        <v>225023</v>
      </c>
      <c r="M208" t="s">
        <v>2898</v>
      </c>
      <c r="O208">
        <v>1</v>
      </c>
    </row>
    <row r="209" spans="1:17" x14ac:dyDescent="0.25">
      <c r="A209">
        <v>8003879954</v>
      </c>
      <c r="B209">
        <v>22</v>
      </c>
      <c r="C209">
        <v>12122018</v>
      </c>
      <c r="D209">
        <v>341</v>
      </c>
      <c r="E209" t="s">
        <v>25</v>
      </c>
      <c r="F209">
        <v>9938</v>
      </c>
      <c r="G209" t="s">
        <v>2899</v>
      </c>
      <c r="H209" s="2">
        <v>207.75</v>
      </c>
      <c r="I209" t="s">
        <v>26</v>
      </c>
      <c r="J209" s="2">
        <v>485417.36</v>
      </c>
      <c r="K209" t="s">
        <v>27</v>
      </c>
      <c r="L209">
        <v>225023</v>
      </c>
      <c r="M209" t="s">
        <v>207</v>
      </c>
      <c r="O209">
        <v>1</v>
      </c>
      <c r="P209" t="s">
        <v>2900</v>
      </c>
      <c r="Q209" t="s">
        <v>2901</v>
      </c>
    </row>
    <row r="210" spans="1:17" x14ac:dyDescent="0.25">
      <c r="A210">
        <v>8003879954</v>
      </c>
      <c r="B210">
        <v>21</v>
      </c>
      <c r="C210">
        <v>12122018</v>
      </c>
      <c r="D210">
        <v>489</v>
      </c>
      <c r="E210" t="s">
        <v>31</v>
      </c>
      <c r="F210">
        <v>9938</v>
      </c>
      <c r="G210" t="s">
        <v>2899</v>
      </c>
      <c r="H210" s="2">
        <v>0.1</v>
      </c>
      <c r="I210" t="s">
        <v>26</v>
      </c>
      <c r="J210" s="2">
        <v>485625.11</v>
      </c>
      <c r="K210" t="s">
        <v>27</v>
      </c>
      <c r="L210">
        <v>225023</v>
      </c>
      <c r="M210" t="s">
        <v>2902</v>
      </c>
      <c r="O210">
        <v>1</v>
      </c>
    </row>
    <row r="211" spans="1:17" x14ac:dyDescent="0.25">
      <c r="A211">
        <v>8003879954</v>
      </c>
      <c r="B211">
        <v>20</v>
      </c>
      <c r="C211">
        <v>12122018</v>
      </c>
      <c r="D211">
        <v>345</v>
      </c>
      <c r="E211" t="s">
        <v>51</v>
      </c>
      <c r="F211">
        <v>9938</v>
      </c>
      <c r="G211" t="s">
        <v>2903</v>
      </c>
      <c r="H211" s="2">
        <v>3744.25</v>
      </c>
      <c r="I211" t="s">
        <v>26</v>
      </c>
      <c r="J211" s="2">
        <v>485625.21</v>
      </c>
      <c r="K211" t="s">
        <v>27</v>
      </c>
      <c r="L211">
        <v>225023</v>
      </c>
      <c r="M211" t="s">
        <v>2904</v>
      </c>
      <c r="O211">
        <v>1</v>
      </c>
      <c r="P211" t="s">
        <v>2905</v>
      </c>
      <c r="Q211" t="s">
        <v>52</v>
      </c>
    </row>
    <row r="212" spans="1:17" x14ac:dyDescent="0.25">
      <c r="A212">
        <v>8003879954</v>
      </c>
      <c r="B212">
        <v>19</v>
      </c>
      <c r="C212">
        <v>12122018</v>
      </c>
      <c r="D212">
        <v>341</v>
      </c>
      <c r="E212" t="s">
        <v>25</v>
      </c>
      <c r="F212">
        <v>9938</v>
      </c>
      <c r="G212" t="s">
        <v>2906</v>
      </c>
      <c r="H212" s="2">
        <v>56</v>
      </c>
      <c r="I212" t="s">
        <v>26</v>
      </c>
      <c r="J212" s="2">
        <v>489369.46</v>
      </c>
      <c r="K212" t="s">
        <v>27</v>
      </c>
      <c r="L212">
        <v>224515</v>
      </c>
      <c r="M212" t="s">
        <v>119</v>
      </c>
      <c r="O212">
        <v>1</v>
      </c>
      <c r="P212" t="s">
        <v>2907</v>
      </c>
      <c r="Q212" t="s">
        <v>2908</v>
      </c>
    </row>
    <row r="213" spans="1:17" x14ac:dyDescent="0.25">
      <c r="A213">
        <v>8003879954</v>
      </c>
      <c r="B213">
        <v>18</v>
      </c>
      <c r="C213">
        <v>12122018</v>
      </c>
      <c r="D213">
        <v>489</v>
      </c>
      <c r="E213" t="s">
        <v>31</v>
      </c>
      <c r="F213">
        <v>9938</v>
      </c>
      <c r="G213" t="s">
        <v>2906</v>
      </c>
      <c r="H213" s="2">
        <v>0.1</v>
      </c>
      <c r="I213" t="s">
        <v>26</v>
      </c>
      <c r="J213" s="2">
        <v>489425.46</v>
      </c>
      <c r="K213" t="s">
        <v>27</v>
      </c>
      <c r="L213">
        <v>224515</v>
      </c>
      <c r="M213" t="s">
        <v>2909</v>
      </c>
      <c r="O213">
        <v>1</v>
      </c>
    </row>
    <row r="214" spans="1:17" x14ac:dyDescent="0.25">
      <c r="A214">
        <v>8003879954</v>
      </c>
      <c r="B214">
        <v>17</v>
      </c>
      <c r="C214">
        <v>12122018</v>
      </c>
      <c r="D214">
        <v>341</v>
      </c>
      <c r="E214" t="s">
        <v>25</v>
      </c>
      <c r="F214">
        <v>9938</v>
      </c>
      <c r="G214" t="s">
        <v>2910</v>
      </c>
      <c r="H214" s="2">
        <v>3600</v>
      </c>
      <c r="I214" t="s">
        <v>26</v>
      </c>
      <c r="J214" s="2">
        <v>489425.56</v>
      </c>
      <c r="K214" t="s">
        <v>27</v>
      </c>
      <c r="L214">
        <v>224512</v>
      </c>
      <c r="M214" t="s">
        <v>2911</v>
      </c>
      <c r="O214">
        <v>1</v>
      </c>
      <c r="P214" t="s">
        <v>2912</v>
      </c>
      <c r="Q214" t="s">
        <v>2913</v>
      </c>
    </row>
    <row r="215" spans="1:17" x14ac:dyDescent="0.25">
      <c r="A215">
        <v>8003879954</v>
      </c>
      <c r="B215">
        <v>16</v>
      </c>
      <c r="C215">
        <v>12122018</v>
      </c>
      <c r="D215">
        <v>489</v>
      </c>
      <c r="E215" t="s">
        <v>31</v>
      </c>
      <c r="F215">
        <v>9938</v>
      </c>
      <c r="G215" t="s">
        <v>2910</v>
      </c>
      <c r="H215" s="2">
        <v>0.1</v>
      </c>
      <c r="I215" t="s">
        <v>26</v>
      </c>
      <c r="J215" s="2">
        <v>493025.56</v>
      </c>
      <c r="K215" t="s">
        <v>27</v>
      </c>
      <c r="L215">
        <v>224512</v>
      </c>
      <c r="M215" t="s">
        <v>2914</v>
      </c>
      <c r="O215">
        <v>1</v>
      </c>
    </row>
    <row r="216" spans="1:17" x14ac:dyDescent="0.25">
      <c r="A216">
        <v>8003879954</v>
      </c>
      <c r="B216">
        <v>15</v>
      </c>
      <c r="C216">
        <v>12122018</v>
      </c>
      <c r="D216">
        <v>341</v>
      </c>
      <c r="E216" t="s">
        <v>25</v>
      </c>
      <c r="F216">
        <v>9938</v>
      </c>
      <c r="G216" t="s">
        <v>2915</v>
      </c>
      <c r="H216" s="2">
        <v>470</v>
      </c>
      <c r="I216" t="s">
        <v>26</v>
      </c>
      <c r="J216" s="2">
        <v>493025.66</v>
      </c>
      <c r="K216" t="s">
        <v>27</v>
      </c>
      <c r="L216">
        <v>224514</v>
      </c>
      <c r="M216" t="s">
        <v>1700</v>
      </c>
      <c r="O216">
        <v>1</v>
      </c>
      <c r="P216" t="s">
        <v>2916</v>
      </c>
      <c r="Q216" t="s">
        <v>2917</v>
      </c>
    </row>
    <row r="217" spans="1:17" x14ac:dyDescent="0.25">
      <c r="A217">
        <v>8003879954</v>
      </c>
      <c r="B217">
        <v>14</v>
      </c>
      <c r="C217">
        <v>12122018</v>
      </c>
      <c r="D217">
        <v>489</v>
      </c>
      <c r="E217" t="s">
        <v>31</v>
      </c>
      <c r="F217">
        <v>9938</v>
      </c>
      <c r="G217" t="s">
        <v>2915</v>
      </c>
      <c r="H217" s="2">
        <v>0.1</v>
      </c>
      <c r="I217" t="s">
        <v>26</v>
      </c>
      <c r="J217" s="2">
        <v>493495.66</v>
      </c>
      <c r="K217" t="s">
        <v>27</v>
      </c>
      <c r="L217">
        <v>224514</v>
      </c>
      <c r="M217" t="s">
        <v>2918</v>
      </c>
      <c r="O217">
        <v>1</v>
      </c>
    </row>
    <row r="218" spans="1:17" x14ac:dyDescent="0.25">
      <c r="A218">
        <v>8003879954</v>
      </c>
      <c r="B218">
        <v>13</v>
      </c>
      <c r="C218">
        <v>12122018</v>
      </c>
      <c r="D218">
        <v>341</v>
      </c>
      <c r="E218" t="s">
        <v>25</v>
      </c>
      <c r="F218">
        <v>9938</v>
      </c>
      <c r="G218" t="s">
        <v>2919</v>
      </c>
      <c r="H218" s="2">
        <v>3384.8</v>
      </c>
      <c r="I218" t="s">
        <v>26</v>
      </c>
      <c r="J218" s="2">
        <v>493495.76</v>
      </c>
      <c r="K218" t="s">
        <v>27</v>
      </c>
      <c r="L218">
        <v>224512</v>
      </c>
      <c r="M218" t="s">
        <v>240</v>
      </c>
      <c r="O218">
        <v>1</v>
      </c>
      <c r="P218" t="s">
        <v>2920</v>
      </c>
      <c r="Q218" t="s">
        <v>2921</v>
      </c>
    </row>
    <row r="219" spans="1:17" x14ac:dyDescent="0.25">
      <c r="A219">
        <v>8003879954</v>
      </c>
      <c r="B219">
        <v>12</v>
      </c>
      <c r="C219">
        <v>12122018</v>
      </c>
      <c r="D219">
        <v>489</v>
      </c>
      <c r="E219" t="s">
        <v>31</v>
      </c>
      <c r="F219">
        <v>9938</v>
      </c>
      <c r="G219" t="s">
        <v>2919</v>
      </c>
      <c r="H219" s="2">
        <v>0.1</v>
      </c>
      <c r="I219" t="s">
        <v>26</v>
      </c>
      <c r="J219" s="2">
        <v>496880.56</v>
      </c>
      <c r="K219" t="s">
        <v>27</v>
      </c>
      <c r="L219">
        <v>224512</v>
      </c>
      <c r="M219" t="s">
        <v>2922</v>
      </c>
      <c r="O219">
        <v>1</v>
      </c>
    </row>
    <row r="220" spans="1:17" x14ac:dyDescent="0.25">
      <c r="A220">
        <v>8003879954</v>
      </c>
      <c r="B220">
        <v>11</v>
      </c>
      <c r="C220">
        <v>12122018</v>
      </c>
      <c r="D220">
        <v>341</v>
      </c>
      <c r="E220" t="s">
        <v>25</v>
      </c>
      <c r="F220">
        <v>9938</v>
      </c>
      <c r="G220" t="s">
        <v>2923</v>
      </c>
      <c r="H220" s="2">
        <v>300</v>
      </c>
      <c r="I220" t="s">
        <v>26</v>
      </c>
      <c r="J220" s="2">
        <v>496880.66</v>
      </c>
      <c r="K220" t="s">
        <v>27</v>
      </c>
      <c r="L220">
        <v>224513</v>
      </c>
      <c r="M220" t="s">
        <v>1004</v>
      </c>
      <c r="O220">
        <v>1</v>
      </c>
      <c r="P220" t="s">
        <v>2840</v>
      </c>
      <c r="Q220" t="s">
        <v>2924</v>
      </c>
    </row>
    <row r="221" spans="1:17" x14ac:dyDescent="0.25">
      <c r="A221">
        <v>8003879954</v>
      </c>
      <c r="B221">
        <v>10</v>
      </c>
      <c r="C221">
        <v>12122018</v>
      </c>
      <c r="D221">
        <v>489</v>
      </c>
      <c r="E221" t="s">
        <v>31</v>
      </c>
      <c r="F221">
        <v>9938</v>
      </c>
      <c r="G221" t="s">
        <v>2923</v>
      </c>
      <c r="H221" s="2">
        <v>0.1</v>
      </c>
      <c r="I221" t="s">
        <v>26</v>
      </c>
      <c r="J221" s="2">
        <v>497180.66</v>
      </c>
      <c r="K221" t="s">
        <v>27</v>
      </c>
      <c r="L221">
        <v>224513</v>
      </c>
      <c r="M221" t="s">
        <v>2925</v>
      </c>
      <c r="O221">
        <v>1</v>
      </c>
    </row>
    <row r="222" spans="1:17" x14ac:dyDescent="0.25">
      <c r="A222">
        <v>8003879954</v>
      </c>
      <c r="B222">
        <v>9</v>
      </c>
      <c r="C222">
        <v>12122018</v>
      </c>
      <c r="D222">
        <v>341</v>
      </c>
      <c r="E222" t="s">
        <v>25</v>
      </c>
      <c r="F222">
        <v>9938</v>
      </c>
      <c r="G222" t="s">
        <v>2926</v>
      </c>
      <c r="H222" s="2">
        <v>540</v>
      </c>
      <c r="I222" t="s">
        <v>26</v>
      </c>
      <c r="J222" s="2">
        <v>497180.76</v>
      </c>
      <c r="K222" t="s">
        <v>27</v>
      </c>
      <c r="L222">
        <v>224513</v>
      </c>
      <c r="M222" t="s">
        <v>47</v>
      </c>
      <c r="O222">
        <v>1</v>
      </c>
      <c r="P222" t="s">
        <v>2927</v>
      </c>
      <c r="Q222" t="s">
        <v>2928</v>
      </c>
    </row>
    <row r="223" spans="1:17" x14ac:dyDescent="0.25">
      <c r="A223">
        <v>8003879954</v>
      </c>
      <c r="B223">
        <v>8</v>
      </c>
      <c r="C223">
        <v>12122018</v>
      </c>
      <c r="D223">
        <v>489</v>
      </c>
      <c r="E223" t="s">
        <v>31</v>
      </c>
      <c r="F223">
        <v>9938</v>
      </c>
      <c r="G223" t="s">
        <v>2926</v>
      </c>
      <c r="H223" s="2">
        <v>0.1</v>
      </c>
      <c r="I223" t="s">
        <v>26</v>
      </c>
      <c r="J223" s="2">
        <v>497720.76</v>
      </c>
      <c r="K223" t="s">
        <v>27</v>
      </c>
      <c r="L223">
        <v>224513</v>
      </c>
      <c r="M223" t="s">
        <v>2929</v>
      </c>
      <c r="O223">
        <v>1</v>
      </c>
    </row>
    <row r="224" spans="1:17" x14ac:dyDescent="0.25">
      <c r="A224">
        <v>8003879954</v>
      </c>
      <c r="B224">
        <v>7</v>
      </c>
      <c r="C224">
        <v>12122018</v>
      </c>
      <c r="D224">
        <v>341</v>
      </c>
      <c r="E224" t="s">
        <v>25</v>
      </c>
      <c r="F224">
        <v>9938</v>
      </c>
      <c r="G224" t="s">
        <v>2930</v>
      </c>
      <c r="H224" s="2">
        <v>1037.52</v>
      </c>
      <c r="I224" t="s">
        <v>26</v>
      </c>
      <c r="J224" s="2">
        <v>497720.86</v>
      </c>
      <c r="K224" t="s">
        <v>27</v>
      </c>
      <c r="L224">
        <v>224513</v>
      </c>
      <c r="M224" t="s">
        <v>1709</v>
      </c>
      <c r="O224">
        <v>1</v>
      </c>
      <c r="P224" t="s">
        <v>2931</v>
      </c>
      <c r="Q224" t="s">
        <v>2932</v>
      </c>
    </row>
    <row r="225" spans="1:17" x14ac:dyDescent="0.25">
      <c r="A225">
        <v>8003879954</v>
      </c>
      <c r="B225">
        <v>6</v>
      </c>
      <c r="C225">
        <v>12122018</v>
      </c>
      <c r="D225">
        <v>489</v>
      </c>
      <c r="E225" t="s">
        <v>31</v>
      </c>
      <c r="F225">
        <v>9938</v>
      </c>
      <c r="G225" t="s">
        <v>2930</v>
      </c>
      <c r="H225" s="2">
        <v>0.1</v>
      </c>
      <c r="I225" t="s">
        <v>26</v>
      </c>
      <c r="J225" s="2">
        <v>498758.38</v>
      </c>
      <c r="K225" t="s">
        <v>27</v>
      </c>
      <c r="L225">
        <v>224513</v>
      </c>
      <c r="M225" t="s">
        <v>2933</v>
      </c>
      <c r="O225">
        <v>1</v>
      </c>
    </row>
    <row r="226" spans="1:17" x14ac:dyDescent="0.25">
      <c r="A226">
        <v>8003879954</v>
      </c>
      <c r="B226">
        <v>5</v>
      </c>
      <c r="C226">
        <v>12122018</v>
      </c>
      <c r="D226">
        <v>341</v>
      </c>
      <c r="E226" t="s">
        <v>25</v>
      </c>
      <c r="F226">
        <v>9938</v>
      </c>
      <c r="G226" t="s">
        <v>2934</v>
      </c>
      <c r="H226" s="2">
        <v>2450</v>
      </c>
      <c r="I226" t="s">
        <v>26</v>
      </c>
      <c r="J226" s="2">
        <v>498758.48</v>
      </c>
      <c r="K226" t="s">
        <v>27</v>
      </c>
      <c r="L226">
        <v>224512</v>
      </c>
      <c r="M226" t="s">
        <v>2839</v>
      </c>
      <c r="O226">
        <v>1</v>
      </c>
      <c r="P226" t="s">
        <v>2840</v>
      </c>
      <c r="Q226" t="s">
        <v>2935</v>
      </c>
    </row>
    <row r="227" spans="1:17" x14ac:dyDescent="0.25">
      <c r="A227">
        <v>8003879954</v>
      </c>
      <c r="B227">
        <v>4</v>
      </c>
      <c r="C227">
        <v>12122018</v>
      </c>
      <c r="D227">
        <v>489</v>
      </c>
      <c r="E227" t="s">
        <v>31</v>
      </c>
      <c r="F227">
        <v>9938</v>
      </c>
      <c r="G227" t="s">
        <v>2934</v>
      </c>
      <c r="H227" s="2">
        <v>0.1</v>
      </c>
      <c r="I227" t="s">
        <v>26</v>
      </c>
      <c r="J227" s="2">
        <v>501208.48</v>
      </c>
      <c r="K227" t="s">
        <v>27</v>
      </c>
      <c r="L227">
        <v>224512</v>
      </c>
      <c r="M227" t="s">
        <v>2936</v>
      </c>
      <c r="O227">
        <v>1</v>
      </c>
    </row>
    <row r="228" spans="1:17" x14ac:dyDescent="0.25">
      <c r="A228">
        <v>8003879954</v>
      </c>
      <c r="B228">
        <v>3</v>
      </c>
      <c r="C228">
        <v>12122018</v>
      </c>
      <c r="D228">
        <v>341</v>
      </c>
      <c r="E228" t="s">
        <v>25</v>
      </c>
      <c r="F228">
        <v>9938</v>
      </c>
      <c r="G228" t="s">
        <v>2937</v>
      </c>
      <c r="H228" s="2">
        <v>4420</v>
      </c>
      <c r="I228" t="s">
        <v>26</v>
      </c>
      <c r="J228" s="2">
        <v>501208.58</v>
      </c>
      <c r="K228" t="s">
        <v>27</v>
      </c>
      <c r="L228">
        <v>224512</v>
      </c>
      <c r="M228" t="s">
        <v>263</v>
      </c>
      <c r="O228">
        <v>1</v>
      </c>
      <c r="P228" t="s">
        <v>2938</v>
      </c>
      <c r="Q228" t="s">
        <v>2939</v>
      </c>
    </row>
    <row r="229" spans="1:17" x14ac:dyDescent="0.25">
      <c r="A229">
        <v>8003879954</v>
      </c>
      <c r="B229">
        <v>2</v>
      </c>
      <c r="C229">
        <v>12122018</v>
      </c>
      <c r="D229">
        <v>489</v>
      </c>
      <c r="E229" t="s">
        <v>31</v>
      </c>
      <c r="F229">
        <v>9938</v>
      </c>
      <c r="G229" t="s">
        <v>2937</v>
      </c>
      <c r="H229" s="2">
        <v>0.1</v>
      </c>
      <c r="I229" t="s">
        <v>26</v>
      </c>
      <c r="J229" s="2">
        <v>505628.58</v>
      </c>
      <c r="K229" t="s">
        <v>27</v>
      </c>
      <c r="L229">
        <v>224512</v>
      </c>
      <c r="M229" t="s">
        <v>2940</v>
      </c>
      <c r="O229">
        <v>1</v>
      </c>
    </row>
    <row r="230" spans="1:17" x14ac:dyDescent="0.25">
      <c r="A230">
        <v>8003879954</v>
      </c>
      <c r="B230">
        <v>1</v>
      </c>
      <c r="C230">
        <v>12122018</v>
      </c>
      <c r="D230">
        <v>345</v>
      </c>
      <c r="E230" t="s">
        <v>51</v>
      </c>
      <c r="F230">
        <v>9938</v>
      </c>
      <c r="G230" t="s">
        <v>2941</v>
      </c>
      <c r="H230" s="2">
        <v>1660</v>
      </c>
      <c r="I230" t="s">
        <v>26</v>
      </c>
      <c r="J230" s="2">
        <v>505628.68</v>
      </c>
      <c r="K230" t="s">
        <v>27</v>
      </c>
      <c r="L230">
        <v>224512</v>
      </c>
      <c r="M230" t="s">
        <v>2942</v>
      </c>
      <c r="O230">
        <v>1</v>
      </c>
      <c r="P230" t="s">
        <v>2943</v>
      </c>
      <c r="Q230" t="s">
        <v>1391</v>
      </c>
    </row>
    <row r="231" spans="1:17" x14ac:dyDescent="0.25">
      <c r="A231">
        <v>8003879954</v>
      </c>
      <c r="B231">
        <v>4</v>
      </c>
      <c r="C231">
        <v>10122018</v>
      </c>
      <c r="D231">
        <v>819</v>
      </c>
      <c r="E231" t="s">
        <v>35</v>
      </c>
      <c r="H231" s="2">
        <v>0.5</v>
      </c>
      <c r="I231" t="s">
        <v>26</v>
      </c>
      <c r="J231" s="2">
        <v>507288.68</v>
      </c>
      <c r="K231" t="s">
        <v>27</v>
      </c>
      <c r="L231">
        <v>10115</v>
      </c>
      <c r="M231" t="s">
        <v>32</v>
      </c>
      <c r="O231">
        <v>1</v>
      </c>
    </row>
    <row r="232" spans="1:17" x14ac:dyDescent="0.25">
      <c r="A232">
        <v>8003879954</v>
      </c>
      <c r="B232">
        <v>3</v>
      </c>
      <c r="C232">
        <v>10122018</v>
      </c>
      <c r="D232">
        <v>819</v>
      </c>
      <c r="E232" t="s">
        <v>35</v>
      </c>
      <c r="H232" s="2">
        <v>0.5</v>
      </c>
      <c r="I232" t="s">
        <v>26</v>
      </c>
      <c r="J232" s="2">
        <v>507289.18</v>
      </c>
      <c r="K232" t="s">
        <v>27</v>
      </c>
      <c r="L232">
        <v>10115</v>
      </c>
      <c r="M232" t="s">
        <v>32</v>
      </c>
      <c r="O232">
        <v>1</v>
      </c>
    </row>
    <row r="233" spans="1:17" x14ac:dyDescent="0.25">
      <c r="A233">
        <v>8003879954</v>
      </c>
      <c r="B233">
        <v>2</v>
      </c>
      <c r="C233">
        <v>10122018</v>
      </c>
      <c r="D233">
        <v>321</v>
      </c>
      <c r="E233" t="s">
        <v>36</v>
      </c>
      <c r="F233">
        <v>0</v>
      </c>
      <c r="G233" t="s">
        <v>2944</v>
      </c>
      <c r="H233" s="2">
        <v>528.35</v>
      </c>
      <c r="I233" t="s">
        <v>26</v>
      </c>
      <c r="J233" s="2">
        <v>507289.68</v>
      </c>
      <c r="K233" t="s">
        <v>27</v>
      </c>
      <c r="L233">
        <v>5943</v>
      </c>
      <c r="M233" t="s">
        <v>32</v>
      </c>
      <c r="O233">
        <v>1</v>
      </c>
    </row>
    <row r="234" spans="1:17" x14ac:dyDescent="0.25">
      <c r="A234">
        <v>8003879954</v>
      </c>
      <c r="B234">
        <v>1</v>
      </c>
      <c r="C234">
        <v>10122018</v>
      </c>
      <c r="D234">
        <v>323</v>
      </c>
      <c r="E234" t="s">
        <v>50</v>
      </c>
      <c r="F234">
        <v>0</v>
      </c>
      <c r="G234" t="s">
        <v>2945</v>
      </c>
      <c r="H234" s="2">
        <v>170</v>
      </c>
      <c r="I234" t="s">
        <v>26</v>
      </c>
      <c r="J234" s="2">
        <v>507818.03</v>
      </c>
      <c r="K234" t="s">
        <v>27</v>
      </c>
      <c r="L234">
        <v>5943</v>
      </c>
      <c r="M234" t="s">
        <v>32</v>
      </c>
      <c r="O234">
        <v>1</v>
      </c>
    </row>
    <row r="235" spans="1:17" x14ac:dyDescent="0.25">
      <c r="A235">
        <v>8003879954</v>
      </c>
      <c r="B235">
        <v>5</v>
      </c>
      <c r="C235">
        <v>7122018</v>
      </c>
      <c r="D235">
        <v>341</v>
      </c>
      <c r="E235" t="s">
        <v>25</v>
      </c>
      <c r="F235">
        <v>9938</v>
      </c>
      <c r="G235" t="s">
        <v>2946</v>
      </c>
      <c r="H235" s="2">
        <v>2500</v>
      </c>
      <c r="I235" t="s">
        <v>26</v>
      </c>
      <c r="J235" s="2">
        <v>507988.03</v>
      </c>
      <c r="K235" t="s">
        <v>27</v>
      </c>
      <c r="L235">
        <v>61334</v>
      </c>
      <c r="M235" t="s">
        <v>658</v>
      </c>
      <c r="O235">
        <v>1</v>
      </c>
      <c r="P235" t="s">
        <v>2947</v>
      </c>
      <c r="Q235" t="s">
        <v>2948</v>
      </c>
    </row>
    <row r="236" spans="1:17" x14ac:dyDescent="0.25">
      <c r="A236">
        <v>8003879954</v>
      </c>
      <c r="B236">
        <v>4</v>
      </c>
      <c r="C236">
        <v>7122018</v>
      </c>
      <c r="D236">
        <v>489</v>
      </c>
      <c r="E236" t="s">
        <v>31</v>
      </c>
      <c r="F236">
        <v>9938</v>
      </c>
      <c r="G236" t="s">
        <v>2946</v>
      </c>
      <c r="H236" s="2">
        <v>0.1</v>
      </c>
      <c r="I236" t="s">
        <v>26</v>
      </c>
      <c r="J236" s="2">
        <v>510488.03</v>
      </c>
      <c r="K236" t="s">
        <v>27</v>
      </c>
      <c r="L236">
        <v>61334</v>
      </c>
      <c r="M236" t="s">
        <v>2949</v>
      </c>
      <c r="O236">
        <v>1</v>
      </c>
    </row>
    <row r="237" spans="1:17" x14ac:dyDescent="0.25">
      <c r="A237">
        <v>8003879954</v>
      </c>
      <c r="B237">
        <v>3</v>
      </c>
      <c r="C237">
        <v>7122018</v>
      </c>
      <c r="D237">
        <v>341</v>
      </c>
      <c r="E237" t="s">
        <v>25</v>
      </c>
      <c r="F237">
        <v>9938</v>
      </c>
      <c r="G237" t="s">
        <v>2950</v>
      </c>
      <c r="H237" s="2">
        <v>850</v>
      </c>
      <c r="I237" t="s">
        <v>26</v>
      </c>
      <c r="J237" s="2">
        <v>510488.13</v>
      </c>
      <c r="K237" t="s">
        <v>27</v>
      </c>
      <c r="L237">
        <v>61333</v>
      </c>
      <c r="M237" t="s">
        <v>747</v>
      </c>
      <c r="O237">
        <v>1</v>
      </c>
      <c r="P237" t="s">
        <v>2951</v>
      </c>
      <c r="Q237" t="s">
        <v>749</v>
      </c>
    </row>
    <row r="238" spans="1:17" x14ac:dyDescent="0.25">
      <c r="A238">
        <v>8003879954</v>
      </c>
      <c r="B238">
        <v>2</v>
      </c>
      <c r="C238">
        <v>7122018</v>
      </c>
      <c r="D238">
        <v>489</v>
      </c>
      <c r="E238" t="s">
        <v>31</v>
      </c>
      <c r="F238">
        <v>9938</v>
      </c>
      <c r="G238" t="s">
        <v>2950</v>
      </c>
      <c r="H238" s="2">
        <v>0.1</v>
      </c>
      <c r="I238" t="s">
        <v>26</v>
      </c>
      <c r="J238" s="2">
        <v>511338.13</v>
      </c>
      <c r="K238" t="s">
        <v>27</v>
      </c>
      <c r="L238">
        <v>61333</v>
      </c>
      <c r="M238" t="s">
        <v>2952</v>
      </c>
      <c r="O238">
        <v>1</v>
      </c>
    </row>
    <row r="239" spans="1:17" x14ac:dyDescent="0.25">
      <c r="A239">
        <v>8003879954</v>
      </c>
      <c r="B239">
        <v>1</v>
      </c>
      <c r="C239">
        <v>7122018</v>
      </c>
      <c r="D239">
        <v>345</v>
      </c>
      <c r="E239" t="s">
        <v>51</v>
      </c>
      <c r="F239">
        <v>9938</v>
      </c>
      <c r="G239" t="s">
        <v>2953</v>
      </c>
      <c r="H239" s="2">
        <v>3422</v>
      </c>
      <c r="I239" t="s">
        <v>26</v>
      </c>
      <c r="J239" s="2">
        <v>511338.23</v>
      </c>
      <c r="K239" t="s">
        <v>27</v>
      </c>
      <c r="L239">
        <v>61333</v>
      </c>
      <c r="M239" t="s">
        <v>2954</v>
      </c>
      <c r="O239">
        <v>1</v>
      </c>
      <c r="P239" t="s">
        <v>2661</v>
      </c>
      <c r="Q239" t="s">
        <v>2955</v>
      </c>
    </row>
    <row r="240" spans="1:17" x14ac:dyDescent="0.25">
      <c r="A240">
        <v>8003879954</v>
      </c>
      <c r="B240">
        <v>3</v>
      </c>
      <c r="C240">
        <v>6122018</v>
      </c>
      <c r="D240">
        <v>819</v>
      </c>
      <c r="E240" t="s">
        <v>35</v>
      </c>
      <c r="H240" s="2">
        <v>1</v>
      </c>
      <c r="I240" t="s">
        <v>26</v>
      </c>
      <c r="J240" s="2">
        <v>514760.23</v>
      </c>
      <c r="K240" t="s">
        <v>27</v>
      </c>
      <c r="L240">
        <v>10427</v>
      </c>
      <c r="M240" t="s">
        <v>32</v>
      </c>
      <c r="O240">
        <v>1</v>
      </c>
    </row>
    <row r="241" spans="1:18" x14ac:dyDescent="0.25">
      <c r="A241">
        <v>8003879954</v>
      </c>
      <c r="B241">
        <v>2</v>
      </c>
      <c r="C241">
        <v>6122018</v>
      </c>
      <c r="D241">
        <v>323</v>
      </c>
      <c r="E241" t="s">
        <v>50</v>
      </c>
      <c r="F241">
        <v>0</v>
      </c>
      <c r="G241" t="s">
        <v>2956</v>
      </c>
      <c r="H241" s="2">
        <v>3000000</v>
      </c>
      <c r="I241" t="s">
        <v>26</v>
      </c>
      <c r="J241" s="2">
        <v>514761.23</v>
      </c>
      <c r="K241" t="s">
        <v>27</v>
      </c>
      <c r="L241">
        <v>10259</v>
      </c>
      <c r="M241" t="s">
        <v>32</v>
      </c>
      <c r="O241">
        <v>1</v>
      </c>
    </row>
    <row r="242" spans="1:18" x14ac:dyDescent="0.25">
      <c r="A242">
        <v>8003879954</v>
      </c>
      <c r="B242">
        <v>1</v>
      </c>
      <c r="C242">
        <v>6122018</v>
      </c>
      <c r="D242">
        <v>323</v>
      </c>
      <c r="E242" t="s">
        <v>50</v>
      </c>
      <c r="F242">
        <v>0</v>
      </c>
      <c r="G242" t="s">
        <v>2957</v>
      </c>
      <c r="H242" s="2">
        <v>238.2</v>
      </c>
      <c r="I242" t="s">
        <v>26</v>
      </c>
      <c r="J242" s="2">
        <v>3514761.23</v>
      </c>
      <c r="K242" t="s">
        <v>27</v>
      </c>
      <c r="L242">
        <v>10259</v>
      </c>
      <c r="M242" t="s">
        <v>32</v>
      </c>
      <c r="O242">
        <v>1</v>
      </c>
    </row>
    <row r="243" spans="1:18" x14ac:dyDescent="0.25">
      <c r="A243">
        <v>8003879954</v>
      </c>
      <c r="B243">
        <v>7</v>
      </c>
      <c r="C243">
        <v>4122018</v>
      </c>
      <c r="D243">
        <v>415</v>
      </c>
      <c r="E243" t="s">
        <v>48</v>
      </c>
      <c r="F243">
        <v>72</v>
      </c>
      <c r="G243" t="s">
        <v>2958</v>
      </c>
      <c r="H243" s="2">
        <v>10</v>
      </c>
      <c r="I243" t="s">
        <v>26</v>
      </c>
      <c r="J243" s="2">
        <v>3514999.43</v>
      </c>
      <c r="K243" t="s">
        <v>27</v>
      </c>
      <c r="L243">
        <v>184911</v>
      </c>
      <c r="M243" t="s">
        <v>2959</v>
      </c>
      <c r="O243">
        <v>1</v>
      </c>
    </row>
    <row r="244" spans="1:18" x14ac:dyDescent="0.25">
      <c r="A244">
        <v>8003879954</v>
      </c>
      <c r="B244">
        <v>6</v>
      </c>
      <c r="C244">
        <v>4122018</v>
      </c>
      <c r="D244">
        <v>349</v>
      </c>
      <c r="E244" t="s">
        <v>49</v>
      </c>
      <c r="F244">
        <v>72</v>
      </c>
      <c r="G244" t="s">
        <v>2958</v>
      </c>
      <c r="H244" s="2">
        <v>28582.62</v>
      </c>
      <c r="I244" t="s">
        <v>26</v>
      </c>
      <c r="J244" s="2">
        <v>3515009.43</v>
      </c>
      <c r="K244" t="s">
        <v>27</v>
      </c>
      <c r="L244">
        <v>184911</v>
      </c>
      <c r="M244" t="s">
        <v>2959</v>
      </c>
      <c r="O244">
        <v>1</v>
      </c>
    </row>
    <row r="245" spans="1:18" x14ac:dyDescent="0.25">
      <c r="A245">
        <v>8003879954</v>
      </c>
      <c r="B245">
        <v>5</v>
      </c>
      <c r="C245">
        <v>4122018</v>
      </c>
      <c r="D245">
        <v>415</v>
      </c>
      <c r="E245" t="s">
        <v>48</v>
      </c>
      <c r="F245">
        <v>72</v>
      </c>
      <c r="G245" t="s">
        <v>2960</v>
      </c>
      <c r="H245" s="2">
        <v>10</v>
      </c>
      <c r="I245" t="s">
        <v>26</v>
      </c>
      <c r="J245" s="2">
        <v>3543592.05</v>
      </c>
      <c r="K245" t="s">
        <v>27</v>
      </c>
      <c r="L245">
        <v>184322</v>
      </c>
      <c r="M245" t="s">
        <v>2961</v>
      </c>
      <c r="O245">
        <v>1</v>
      </c>
    </row>
    <row r="246" spans="1:18" x14ac:dyDescent="0.25">
      <c r="A246">
        <v>8003879954</v>
      </c>
      <c r="B246">
        <v>4</v>
      </c>
      <c r="C246">
        <v>4122018</v>
      </c>
      <c r="D246">
        <v>349</v>
      </c>
      <c r="E246" t="s">
        <v>49</v>
      </c>
      <c r="F246">
        <v>72</v>
      </c>
      <c r="G246" t="s">
        <v>2960</v>
      </c>
      <c r="H246" s="2">
        <v>6424.94</v>
      </c>
      <c r="I246" t="s">
        <v>26</v>
      </c>
      <c r="J246" s="2">
        <v>3543602.05</v>
      </c>
      <c r="K246" t="s">
        <v>27</v>
      </c>
      <c r="L246">
        <v>184322</v>
      </c>
      <c r="M246" t="s">
        <v>2961</v>
      </c>
      <c r="O246">
        <v>1</v>
      </c>
    </row>
    <row r="247" spans="1:18" x14ac:dyDescent="0.25">
      <c r="A247">
        <v>8003879954</v>
      </c>
      <c r="B247">
        <v>3</v>
      </c>
      <c r="C247">
        <v>4122018</v>
      </c>
      <c r="D247">
        <v>415</v>
      </c>
      <c r="E247" t="s">
        <v>48</v>
      </c>
      <c r="F247">
        <v>72</v>
      </c>
      <c r="G247" t="s">
        <v>2962</v>
      </c>
      <c r="H247" s="2">
        <v>20</v>
      </c>
      <c r="I247" t="s">
        <v>26</v>
      </c>
      <c r="J247" s="2">
        <v>3550026.99</v>
      </c>
      <c r="K247" t="s">
        <v>27</v>
      </c>
      <c r="L247">
        <v>181206</v>
      </c>
      <c r="M247" t="s">
        <v>2963</v>
      </c>
      <c r="O247">
        <v>1</v>
      </c>
    </row>
    <row r="248" spans="1:18" x14ac:dyDescent="0.25">
      <c r="A248">
        <v>8003879954</v>
      </c>
      <c r="B248">
        <v>2</v>
      </c>
      <c r="C248">
        <v>4122018</v>
      </c>
      <c r="D248">
        <v>349</v>
      </c>
      <c r="E248" t="s">
        <v>49</v>
      </c>
      <c r="F248">
        <v>72</v>
      </c>
      <c r="G248" t="s">
        <v>2962</v>
      </c>
      <c r="H248" s="2">
        <v>35891.370000000003</v>
      </c>
      <c r="I248" t="s">
        <v>26</v>
      </c>
      <c r="J248" s="2">
        <v>3550046.99</v>
      </c>
      <c r="K248" t="s">
        <v>27</v>
      </c>
      <c r="L248">
        <v>181206</v>
      </c>
      <c r="M248" t="s">
        <v>2963</v>
      </c>
      <c r="O248">
        <v>1</v>
      </c>
    </row>
    <row r="249" spans="1:18" x14ac:dyDescent="0.25">
      <c r="A249">
        <v>8003879954</v>
      </c>
      <c r="B249">
        <v>1</v>
      </c>
      <c r="C249">
        <v>4122018</v>
      </c>
      <c r="D249">
        <v>143</v>
      </c>
      <c r="E249" t="s">
        <v>680</v>
      </c>
      <c r="F249">
        <v>9938</v>
      </c>
      <c r="G249" t="s">
        <v>2964</v>
      </c>
      <c r="H249" s="2">
        <v>4000</v>
      </c>
      <c r="I249" t="s">
        <v>27</v>
      </c>
      <c r="J249" s="2">
        <v>3585938.36</v>
      </c>
      <c r="K249" t="s">
        <v>27</v>
      </c>
      <c r="L249">
        <v>153519</v>
      </c>
      <c r="M249" t="s">
        <v>2965</v>
      </c>
      <c r="O249">
        <v>1</v>
      </c>
      <c r="P249" t="s">
        <v>2965</v>
      </c>
      <c r="Q249" t="s">
        <v>2966</v>
      </c>
      <c r="R249" t="s">
        <v>2967</v>
      </c>
    </row>
    <row r="250" spans="1:18" x14ac:dyDescent="0.25">
      <c r="A250">
        <v>8003879954</v>
      </c>
      <c r="B250">
        <v>9</v>
      </c>
      <c r="C250">
        <v>3122018</v>
      </c>
      <c r="D250">
        <v>819</v>
      </c>
      <c r="E250" t="s">
        <v>35</v>
      </c>
      <c r="H250" s="2">
        <v>2</v>
      </c>
      <c r="I250" t="s">
        <v>26</v>
      </c>
      <c r="J250" s="2">
        <v>3581938.36</v>
      </c>
      <c r="K250" t="s">
        <v>27</v>
      </c>
      <c r="L250">
        <v>11512</v>
      </c>
      <c r="M250" t="s">
        <v>32</v>
      </c>
      <c r="O250">
        <v>1</v>
      </c>
    </row>
    <row r="251" spans="1:18" x14ac:dyDescent="0.25">
      <c r="A251">
        <v>8003879954</v>
      </c>
      <c r="B251">
        <v>8</v>
      </c>
      <c r="C251">
        <v>3122018</v>
      </c>
      <c r="D251">
        <v>323</v>
      </c>
      <c r="E251" t="s">
        <v>50</v>
      </c>
      <c r="F251">
        <v>0</v>
      </c>
      <c r="G251" t="s">
        <v>2968</v>
      </c>
      <c r="H251" s="2">
        <v>27900</v>
      </c>
      <c r="I251" t="s">
        <v>26</v>
      </c>
      <c r="J251" s="2">
        <v>3581940.36</v>
      </c>
      <c r="K251" t="s">
        <v>27</v>
      </c>
      <c r="L251">
        <v>11355</v>
      </c>
      <c r="M251" t="s">
        <v>32</v>
      </c>
      <c r="O251">
        <v>1</v>
      </c>
    </row>
    <row r="252" spans="1:18" x14ac:dyDescent="0.25">
      <c r="A252">
        <v>8003879954</v>
      </c>
      <c r="B252">
        <v>7</v>
      </c>
      <c r="C252">
        <v>3122018</v>
      </c>
      <c r="D252">
        <v>323</v>
      </c>
      <c r="E252" t="s">
        <v>50</v>
      </c>
      <c r="F252">
        <v>0</v>
      </c>
      <c r="G252" t="s">
        <v>2969</v>
      </c>
      <c r="H252" s="2">
        <v>15694.35</v>
      </c>
      <c r="I252" t="s">
        <v>26</v>
      </c>
      <c r="J252" s="2">
        <v>3609840.36</v>
      </c>
      <c r="K252" t="s">
        <v>27</v>
      </c>
      <c r="L252">
        <v>11355</v>
      </c>
      <c r="M252" t="s">
        <v>32</v>
      </c>
      <c r="O252">
        <v>1</v>
      </c>
    </row>
    <row r="253" spans="1:18" x14ac:dyDescent="0.25">
      <c r="A253">
        <v>8003879954</v>
      </c>
      <c r="B253">
        <v>6</v>
      </c>
      <c r="C253">
        <v>3122018</v>
      </c>
      <c r="D253">
        <v>323</v>
      </c>
      <c r="E253" t="s">
        <v>50</v>
      </c>
      <c r="F253">
        <v>0</v>
      </c>
      <c r="G253" t="s">
        <v>2970</v>
      </c>
      <c r="H253" s="2">
        <v>42347</v>
      </c>
      <c r="I253" t="s">
        <v>26</v>
      </c>
      <c r="J253" s="2">
        <v>3625534.71</v>
      </c>
      <c r="K253" t="s">
        <v>27</v>
      </c>
      <c r="L253">
        <v>11355</v>
      </c>
      <c r="M253" t="s">
        <v>32</v>
      </c>
      <c r="O253">
        <v>1</v>
      </c>
    </row>
    <row r="254" spans="1:18" x14ac:dyDescent="0.25">
      <c r="A254">
        <v>8003879954</v>
      </c>
      <c r="B254">
        <v>5</v>
      </c>
      <c r="C254">
        <v>3122018</v>
      </c>
      <c r="D254">
        <v>323</v>
      </c>
      <c r="E254" t="s">
        <v>50</v>
      </c>
      <c r="F254">
        <v>0</v>
      </c>
      <c r="G254" t="s">
        <v>2971</v>
      </c>
      <c r="H254" s="2">
        <v>2400000</v>
      </c>
      <c r="I254" t="s">
        <v>26</v>
      </c>
      <c r="J254" s="2">
        <v>3667881.71</v>
      </c>
      <c r="K254" t="s">
        <v>27</v>
      </c>
      <c r="L254">
        <v>11355</v>
      </c>
      <c r="M254" t="s">
        <v>32</v>
      </c>
      <c r="O254">
        <v>1</v>
      </c>
    </row>
    <row r="255" spans="1:18" x14ac:dyDescent="0.25">
      <c r="A255">
        <v>8003879954</v>
      </c>
      <c r="B255">
        <v>4</v>
      </c>
      <c r="C255">
        <v>3122018</v>
      </c>
      <c r="D255">
        <v>60</v>
      </c>
      <c r="E255" t="s">
        <v>37</v>
      </c>
      <c r="F255">
        <v>9938</v>
      </c>
      <c r="G255" t="s">
        <v>2972</v>
      </c>
      <c r="H255" s="2">
        <v>155</v>
      </c>
      <c r="I255" t="s">
        <v>26</v>
      </c>
      <c r="J255" s="2">
        <v>6067881.71</v>
      </c>
      <c r="K255" t="s">
        <v>27</v>
      </c>
      <c r="L255">
        <v>124551</v>
      </c>
      <c r="M255" t="s">
        <v>2973</v>
      </c>
      <c r="O255">
        <v>1</v>
      </c>
      <c r="P255" t="s">
        <v>2840</v>
      </c>
      <c r="Q255" t="s">
        <v>835</v>
      </c>
    </row>
    <row r="256" spans="1:18" x14ac:dyDescent="0.25">
      <c r="A256">
        <v>8003879954</v>
      </c>
      <c r="B256">
        <v>3</v>
      </c>
      <c r="C256">
        <v>3122018</v>
      </c>
      <c r="D256">
        <v>341</v>
      </c>
      <c r="E256" t="s">
        <v>25</v>
      </c>
      <c r="F256">
        <v>9938</v>
      </c>
      <c r="G256" t="s">
        <v>2974</v>
      </c>
      <c r="H256" s="2">
        <v>10064</v>
      </c>
      <c r="I256" t="s">
        <v>26</v>
      </c>
      <c r="J256" s="2">
        <v>6068036.71</v>
      </c>
      <c r="K256" t="s">
        <v>27</v>
      </c>
      <c r="L256">
        <v>124550</v>
      </c>
      <c r="M256" t="s">
        <v>1451</v>
      </c>
      <c r="O256">
        <v>1</v>
      </c>
      <c r="P256" t="s">
        <v>2975</v>
      </c>
      <c r="Q256" t="s">
        <v>2976</v>
      </c>
    </row>
    <row r="257" spans="1:17" x14ac:dyDescent="0.25">
      <c r="A257">
        <v>8003879954</v>
      </c>
      <c r="B257">
        <v>2</v>
      </c>
      <c r="C257">
        <v>3122018</v>
      </c>
      <c r="D257">
        <v>489</v>
      </c>
      <c r="E257" t="s">
        <v>31</v>
      </c>
      <c r="F257">
        <v>9938</v>
      </c>
      <c r="G257" t="s">
        <v>2974</v>
      </c>
      <c r="H257" s="2">
        <v>0.1</v>
      </c>
      <c r="I257" t="s">
        <v>26</v>
      </c>
      <c r="J257" s="2">
        <v>6078100.71</v>
      </c>
      <c r="K257" t="s">
        <v>27</v>
      </c>
      <c r="L257">
        <v>124550</v>
      </c>
      <c r="M257" t="s">
        <v>2977</v>
      </c>
      <c r="O257">
        <v>1</v>
      </c>
    </row>
    <row r="258" spans="1:17" x14ac:dyDescent="0.25">
      <c r="A258">
        <v>8003879954</v>
      </c>
      <c r="B258">
        <v>1</v>
      </c>
      <c r="C258">
        <v>3122018</v>
      </c>
      <c r="D258">
        <v>345</v>
      </c>
      <c r="E258" t="s">
        <v>51</v>
      </c>
      <c r="F258">
        <v>9938</v>
      </c>
      <c r="G258" t="s">
        <v>2978</v>
      </c>
      <c r="H258" s="2">
        <v>1700</v>
      </c>
      <c r="I258" t="s">
        <v>26</v>
      </c>
      <c r="J258" s="2">
        <v>6078100.8099999996</v>
      </c>
      <c r="K258" t="s">
        <v>27</v>
      </c>
      <c r="L258">
        <v>124550</v>
      </c>
      <c r="M258" t="s">
        <v>2979</v>
      </c>
      <c r="O258">
        <v>1</v>
      </c>
      <c r="P258" t="s">
        <v>2975</v>
      </c>
      <c r="Q258" t="s">
        <v>653</v>
      </c>
    </row>
    <row r="261" spans="1:17" x14ac:dyDescent="0.25">
      <c r="H261" s="2">
        <f>SUBTOTAL(9,H10:H260)</f>
        <v>9626577.1200000048</v>
      </c>
    </row>
  </sheetData>
  <autoFilter ref="A8:M258" xr:uid="{B1B85419-5780-47F1-BFBD-D8C471736851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3B50-ED15-4E73-9902-22B6B46C048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84"/>
  <sheetViews>
    <sheetView workbookViewId="0">
      <selection activeCell="D9" sqref="D9"/>
    </sheetView>
  </sheetViews>
  <sheetFormatPr defaultRowHeight="15" x14ac:dyDescent="0.25"/>
  <cols>
    <col min="1" max="1" width="12.42578125" bestFit="1" customWidth="1"/>
    <col min="2" max="2" width="11" customWidth="1"/>
    <col min="5" max="5" width="24.140625" customWidth="1"/>
    <col min="6" max="6" width="11" customWidth="1"/>
    <col min="7" max="7" width="11.28515625" customWidth="1"/>
    <col min="8" max="8" width="15.85546875" customWidth="1"/>
    <col min="9" max="9" width="13" customWidth="1"/>
    <col min="10" max="10" width="14.42578125" style="2" customWidth="1"/>
    <col min="11" max="11" width="12.5703125" bestFit="1" customWidth="1"/>
    <col min="12" max="12" width="16.140625" bestFit="1" customWidth="1"/>
    <col min="13" max="13" width="46.7109375" bestFit="1" customWidth="1"/>
    <col min="14" max="14" width="5.5703125" bestFit="1" customWidth="1"/>
    <col min="15" max="15" width="11.85546875" bestFit="1" customWidth="1"/>
    <col min="16" max="16" width="23.285156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57</v>
      </c>
    </row>
    <row r="5" spans="1:18" x14ac:dyDescent="0.25">
      <c r="A5" t="s">
        <v>58</v>
      </c>
    </row>
    <row r="6" spans="1:18" x14ac:dyDescent="0.25">
      <c r="A6" t="s">
        <v>59</v>
      </c>
    </row>
    <row r="9" spans="1:18" s="5" customFormat="1" ht="45" x14ac:dyDescent="0.2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6" t="s">
        <v>16</v>
      </c>
      <c r="K9" s="5" t="s">
        <v>17</v>
      </c>
      <c r="L9" s="5" t="s">
        <v>18</v>
      </c>
      <c r="M9" s="5" t="s">
        <v>19</v>
      </c>
      <c r="N9" s="5" t="s">
        <v>20</v>
      </c>
      <c r="O9" s="5" t="s">
        <v>21</v>
      </c>
      <c r="P9" s="5" t="s">
        <v>22</v>
      </c>
      <c r="Q9" s="5" t="s">
        <v>23</v>
      </c>
      <c r="R9" s="5" t="s">
        <v>24</v>
      </c>
    </row>
    <row r="10" spans="1:18" x14ac:dyDescent="0.25">
      <c r="A10">
        <v>8003879954</v>
      </c>
      <c r="B10">
        <v>16</v>
      </c>
      <c r="C10">
        <v>28022018</v>
      </c>
      <c r="D10">
        <v>299</v>
      </c>
      <c r="E10" t="s">
        <v>506</v>
      </c>
      <c r="F10">
        <v>72</v>
      </c>
      <c r="G10" t="str">
        <f>"283098990"</f>
        <v>283098990</v>
      </c>
      <c r="H10" s="2">
        <v>0.6</v>
      </c>
      <c r="I10" t="s">
        <v>26</v>
      </c>
      <c r="J10" s="2">
        <v>176845.32</v>
      </c>
      <c r="K10" t="s">
        <v>27</v>
      </c>
      <c r="L10">
        <v>181616</v>
      </c>
      <c r="M10" t="str">
        <f>"00722280218T5848                       I"</f>
        <v>00722280218T5848                       I</v>
      </c>
      <c r="O10">
        <v>1</v>
      </c>
    </row>
    <row r="11" spans="1:18" x14ac:dyDescent="0.25">
      <c r="A11">
        <v>8003879954</v>
      </c>
      <c r="B11">
        <v>15</v>
      </c>
      <c r="C11">
        <v>28022018</v>
      </c>
      <c r="D11">
        <v>415</v>
      </c>
      <c r="E11" s="14" t="str">
        <f>"TELEX/FAX"</f>
        <v>TELEX/FAX</v>
      </c>
      <c r="F11">
        <v>72</v>
      </c>
      <c r="G11" t="str">
        <f>"283098990"</f>
        <v>283098990</v>
      </c>
      <c r="H11" s="2">
        <v>10</v>
      </c>
      <c r="I11" t="s">
        <v>26</v>
      </c>
      <c r="J11" s="2">
        <v>176845.92</v>
      </c>
      <c r="K11" t="s">
        <v>27</v>
      </c>
      <c r="L11">
        <v>181616</v>
      </c>
      <c r="M11" t="str">
        <f>"00722280218T5848                       I"</f>
        <v>00722280218T5848                       I</v>
      </c>
      <c r="O11">
        <v>1</v>
      </c>
    </row>
    <row r="12" spans="1:18" x14ac:dyDescent="0.25">
      <c r="A12">
        <v>8003879954</v>
      </c>
      <c r="B12">
        <v>14</v>
      </c>
      <c r="C12">
        <v>28022018</v>
      </c>
      <c r="D12">
        <v>349</v>
      </c>
      <c r="E12" t="str">
        <f>"TR TO REMITT"</f>
        <v>TR TO REMITT</v>
      </c>
      <c r="F12">
        <v>72</v>
      </c>
      <c r="G12" t="str">
        <f>"283098990"</f>
        <v>283098990</v>
      </c>
      <c r="H12" s="2">
        <v>27868.38</v>
      </c>
      <c r="I12" t="s">
        <v>26</v>
      </c>
      <c r="J12" s="2">
        <v>176855.92</v>
      </c>
      <c r="K12" t="s">
        <v>27</v>
      </c>
      <c r="L12">
        <v>181616</v>
      </c>
      <c r="M12" t="str">
        <f>"00722280218T5848                       I"</f>
        <v>00722280218T5848                       I</v>
      </c>
      <c r="O12">
        <v>1</v>
      </c>
    </row>
    <row r="13" spans="1:18" x14ac:dyDescent="0.25">
      <c r="A13">
        <v>8003879954</v>
      </c>
      <c r="B13">
        <v>13</v>
      </c>
      <c r="C13">
        <v>28022018</v>
      </c>
      <c r="D13">
        <v>299</v>
      </c>
      <c r="E13" t="s">
        <v>506</v>
      </c>
      <c r="F13">
        <v>982</v>
      </c>
      <c r="G13" t="str">
        <f>"583097442"</f>
        <v>583097442</v>
      </c>
      <c r="H13" s="2">
        <v>1.2</v>
      </c>
      <c r="I13" t="s">
        <v>26</v>
      </c>
      <c r="J13" s="2">
        <v>204724.3</v>
      </c>
      <c r="K13" t="s">
        <v>27</v>
      </c>
      <c r="L13">
        <v>171944</v>
      </c>
      <c r="M13" t="str">
        <f>"09825280218T5533                       J"</f>
        <v>09825280218T5533                       J</v>
      </c>
      <c r="O13">
        <v>1</v>
      </c>
    </row>
    <row r="14" spans="1:18" x14ac:dyDescent="0.25">
      <c r="A14">
        <v>8003879954</v>
      </c>
      <c r="B14">
        <v>12</v>
      </c>
      <c r="C14">
        <v>28022018</v>
      </c>
      <c r="D14">
        <v>415</v>
      </c>
      <c r="E14" s="14" t="str">
        <f>"TELEX/FAX"</f>
        <v>TELEX/FAX</v>
      </c>
      <c r="F14">
        <v>982</v>
      </c>
      <c r="G14" t="str">
        <f>"583097442"</f>
        <v>583097442</v>
      </c>
      <c r="H14" s="2">
        <v>20</v>
      </c>
      <c r="I14" t="s">
        <v>26</v>
      </c>
      <c r="J14" s="2">
        <v>204725.5</v>
      </c>
      <c r="K14" t="s">
        <v>27</v>
      </c>
      <c r="L14">
        <v>171944</v>
      </c>
      <c r="M14" t="str">
        <f>"09825280218T5533                       J"</f>
        <v>09825280218T5533                       J</v>
      </c>
      <c r="O14">
        <v>1</v>
      </c>
    </row>
    <row r="15" spans="1:18" x14ac:dyDescent="0.25">
      <c r="A15">
        <v>8003879954</v>
      </c>
      <c r="B15">
        <v>11</v>
      </c>
      <c r="C15">
        <v>28022018</v>
      </c>
      <c r="D15">
        <v>349</v>
      </c>
      <c r="E15" t="str">
        <f>"TR TO REMITT"</f>
        <v>TR TO REMITT</v>
      </c>
      <c r="F15">
        <v>982</v>
      </c>
      <c r="G15" t="str">
        <f>"583097442"</f>
        <v>583097442</v>
      </c>
      <c r="H15" s="2">
        <v>2345.48</v>
      </c>
      <c r="I15" t="s">
        <v>26</v>
      </c>
      <c r="J15" s="2">
        <v>204745.5</v>
      </c>
      <c r="K15" t="s">
        <v>27</v>
      </c>
      <c r="L15">
        <v>171944</v>
      </c>
      <c r="M15" t="str">
        <f>"09825280218T5533                       J"</f>
        <v>09825280218T5533                       J</v>
      </c>
      <c r="O15">
        <v>1</v>
      </c>
    </row>
    <row r="16" spans="1:18" x14ac:dyDescent="0.25">
      <c r="A16">
        <v>8003879954</v>
      </c>
      <c r="B16">
        <v>10</v>
      </c>
      <c r="C16">
        <v>28022018</v>
      </c>
      <c r="D16">
        <v>299</v>
      </c>
      <c r="E16" t="s">
        <v>506</v>
      </c>
      <c r="F16">
        <v>72</v>
      </c>
      <c r="G16" t="str">
        <f>"283098541"</f>
        <v>283098541</v>
      </c>
      <c r="H16" s="2">
        <v>1.2</v>
      </c>
      <c r="I16" t="s">
        <v>26</v>
      </c>
      <c r="J16" s="2">
        <v>207090.98</v>
      </c>
      <c r="K16" t="s">
        <v>27</v>
      </c>
      <c r="L16">
        <v>171033</v>
      </c>
      <c r="M16" t="str">
        <f>"00722280218T5732                       P"</f>
        <v>00722280218T5732                       P</v>
      </c>
      <c r="O16">
        <v>1</v>
      </c>
    </row>
    <row r="17" spans="1:18" x14ac:dyDescent="0.25">
      <c r="A17">
        <v>8003879954</v>
      </c>
      <c r="B17">
        <v>9</v>
      </c>
      <c r="C17">
        <v>28022018</v>
      </c>
      <c r="D17">
        <v>415</v>
      </c>
      <c r="E17" s="14" t="str">
        <f>"TELEX/FAX"</f>
        <v>TELEX/FAX</v>
      </c>
      <c r="F17">
        <v>72</v>
      </c>
      <c r="G17" t="str">
        <f>"283098541"</f>
        <v>283098541</v>
      </c>
      <c r="H17" s="2">
        <v>20</v>
      </c>
      <c r="I17" t="s">
        <v>26</v>
      </c>
      <c r="J17" s="2">
        <v>207092.18</v>
      </c>
      <c r="K17" t="s">
        <v>27</v>
      </c>
      <c r="L17">
        <v>171033</v>
      </c>
      <c r="M17" t="str">
        <f>"00722280218T5732                       P"</f>
        <v>00722280218T5732                       P</v>
      </c>
      <c r="O17">
        <v>1</v>
      </c>
    </row>
    <row r="18" spans="1:18" x14ac:dyDescent="0.25">
      <c r="A18">
        <v>8003879954</v>
      </c>
      <c r="B18">
        <v>8</v>
      </c>
      <c r="C18">
        <v>28022018</v>
      </c>
      <c r="D18">
        <v>349</v>
      </c>
      <c r="E18" t="str">
        <f>"TR TO REMITT"</f>
        <v>TR TO REMITT</v>
      </c>
      <c r="F18">
        <v>72</v>
      </c>
      <c r="G18" t="str">
        <f>"283098541"</f>
        <v>283098541</v>
      </c>
      <c r="H18" s="2">
        <v>90300</v>
      </c>
      <c r="I18" t="s">
        <v>26</v>
      </c>
      <c r="J18" s="2">
        <v>207112.18</v>
      </c>
      <c r="K18" t="s">
        <v>27</v>
      </c>
      <c r="L18">
        <v>171033</v>
      </c>
      <c r="M18" t="str">
        <f>"00722280218T5732                       P"</f>
        <v>00722280218T5732                       P</v>
      </c>
      <c r="O18">
        <v>1</v>
      </c>
    </row>
    <row r="19" spans="1:18" x14ac:dyDescent="0.25">
      <c r="A19">
        <v>8003879954</v>
      </c>
      <c r="B19">
        <v>7</v>
      </c>
      <c r="C19">
        <v>28022018</v>
      </c>
      <c r="D19">
        <v>341</v>
      </c>
      <c r="E19" t="str">
        <f>"TR IBG"</f>
        <v>TR IBG</v>
      </c>
      <c r="F19">
        <v>9938</v>
      </c>
      <c r="G19" t="str">
        <f>"26995820"</f>
        <v>26995820</v>
      </c>
      <c r="H19" s="2">
        <v>850</v>
      </c>
      <c r="I19" t="s">
        <v>26</v>
      </c>
      <c r="J19" s="2">
        <v>297412.18</v>
      </c>
      <c r="K19" t="s">
        <v>27</v>
      </c>
      <c r="L19">
        <v>170022</v>
      </c>
      <c r="M19" t="str">
        <f>"JAYKODI RESOURCES"</f>
        <v>JAYKODI RESOURCES</v>
      </c>
      <c r="O19">
        <v>1</v>
      </c>
      <c r="P19" t="str">
        <f>"PGTEFT3008"</f>
        <v>PGTEFT3008</v>
      </c>
      <c r="Q19" t="str">
        <f>"CLEANING SERVICES"</f>
        <v>CLEANING SERVICES</v>
      </c>
    </row>
    <row r="20" spans="1:18" x14ac:dyDescent="0.25">
      <c r="A20">
        <v>8003879954</v>
      </c>
      <c r="B20">
        <v>6</v>
      </c>
      <c r="C20">
        <v>28022018</v>
      </c>
      <c r="D20">
        <v>299</v>
      </c>
      <c r="E20" t="str">
        <f>"GST"</f>
        <v>GST</v>
      </c>
      <c r="F20">
        <v>9938</v>
      </c>
      <c r="G20" t="str">
        <f>"26995820"</f>
        <v>26995820</v>
      </c>
      <c r="H20" s="2">
        <v>0.01</v>
      </c>
      <c r="I20" t="s">
        <v>26</v>
      </c>
      <c r="J20" s="2">
        <v>298262.18</v>
      </c>
      <c r="K20" t="s">
        <v>27</v>
      </c>
      <c r="L20">
        <v>170022</v>
      </c>
      <c r="M20" t="str">
        <f>"PGTEFT3008          CLEANING SERVICES"</f>
        <v>PGTEFT3008          CLEANING SERVICES</v>
      </c>
      <c r="O20">
        <v>1</v>
      </c>
    </row>
    <row r="21" spans="1:18" x14ac:dyDescent="0.25">
      <c r="A21">
        <v>8003879954</v>
      </c>
      <c r="B21">
        <v>5</v>
      </c>
      <c r="C21">
        <v>28022018</v>
      </c>
      <c r="D21">
        <v>489</v>
      </c>
      <c r="E21" t="str">
        <f>"OTHER TRANSFER FEE"</f>
        <v>OTHER TRANSFER FEE</v>
      </c>
      <c r="F21">
        <v>9938</v>
      </c>
      <c r="G21" t="str">
        <f>"26995820"</f>
        <v>26995820</v>
      </c>
      <c r="H21" s="2">
        <v>0.1</v>
      </c>
      <c r="I21" t="s">
        <v>26</v>
      </c>
      <c r="J21" s="2">
        <v>298262.19</v>
      </c>
      <c r="K21" t="s">
        <v>27</v>
      </c>
      <c r="L21">
        <v>170022</v>
      </c>
      <c r="M21" t="str">
        <f>"PGTEFT3008          CLEANING SERVICES"</f>
        <v>PGTEFT3008          CLEANING SERVICES</v>
      </c>
      <c r="O21">
        <v>1</v>
      </c>
    </row>
    <row r="22" spans="1:18" x14ac:dyDescent="0.25">
      <c r="A22">
        <v>8003879954</v>
      </c>
      <c r="B22">
        <v>4</v>
      </c>
      <c r="C22">
        <v>28022018</v>
      </c>
      <c r="D22">
        <v>345</v>
      </c>
      <c r="E22" t="str">
        <f>"TR TO SAVINGS"</f>
        <v>TR TO SAVINGS</v>
      </c>
      <c r="F22">
        <v>9938</v>
      </c>
      <c r="G22" t="str">
        <f>"26995995"</f>
        <v>26995995</v>
      </c>
      <c r="H22" s="2">
        <v>3000</v>
      </c>
      <c r="I22" t="s">
        <v>26</v>
      </c>
      <c r="J22" s="2">
        <v>298262.28999999998</v>
      </c>
      <c r="K22" t="s">
        <v>27</v>
      </c>
      <c r="L22">
        <v>170021</v>
      </c>
      <c r="M22" t="str">
        <f>"PCET&amp;PMED FEB'18 TAN SEANG AUN"</f>
        <v>PCET&amp;PMED FEB'18 TAN SEANG AUN</v>
      </c>
      <c r="O22">
        <v>1</v>
      </c>
      <c r="P22" t="str">
        <f>"PGTEFT3007"</f>
        <v>PGTEFT3007</v>
      </c>
      <c r="Q22" t="str">
        <f>"SERVICES RENDERED"</f>
        <v>SERVICES RENDERED</v>
      </c>
    </row>
    <row r="23" spans="1:18" x14ac:dyDescent="0.25">
      <c r="A23">
        <v>8003879954</v>
      </c>
      <c r="B23">
        <v>3</v>
      </c>
      <c r="C23">
        <v>28022018</v>
      </c>
      <c r="D23">
        <v>299</v>
      </c>
      <c r="E23" t="str">
        <f>"GST"</f>
        <v>GST</v>
      </c>
      <c r="F23">
        <v>3471</v>
      </c>
      <c r="G23" t="str">
        <f>"15191134"</f>
        <v>15191134</v>
      </c>
      <c r="H23" s="2">
        <v>2.0699999999999998</v>
      </c>
      <c r="I23" t="s">
        <v>26</v>
      </c>
      <c r="J23" s="2">
        <v>301262.28999999998</v>
      </c>
      <c r="K23" t="s">
        <v>27</v>
      </c>
      <c r="L23">
        <v>64403</v>
      </c>
      <c r="M23" t="str">
        <f>""</f>
        <v/>
      </c>
      <c r="O23">
        <v>1</v>
      </c>
    </row>
    <row r="24" spans="1:18" x14ac:dyDescent="0.25">
      <c r="A24">
        <v>8003879954</v>
      </c>
      <c r="B24">
        <v>2</v>
      </c>
      <c r="C24">
        <v>28022018</v>
      </c>
      <c r="D24">
        <v>489</v>
      </c>
      <c r="E24" t="str">
        <f>"AUTOPAY CHARGES"</f>
        <v>AUTOPAY CHARGES</v>
      </c>
      <c r="F24">
        <v>3471</v>
      </c>
      <c r="G24" t="str">
        <f>"15191134"</f>
        <v>15191134</v>
      </c>
      <c r="H24" s="2">
        <v>34.5</v>
      </c>
      <c r="I24" t="s">
        <v>26</v>
      </c>
      <c r="J24" s="2">
        <v>301264.36</v>
      </c>
      <c r="K24" t="s">
        <v>27</v>
      </c>
      <c r="L24">
        <v>64403</v>
      </c>
      <c r="M24" t="str">
        <f>""</f>
        <v/>
      </c>
      <c r="O24">
        <v>1</v>
      </c>
    </row>
    <row r="25" spans="1:18" x14ac:dyDescent="0.25">
      <c r="A25">
        <v>8003879954</v>
      </c>
      <c r="B25">
        <v>1</v>
      </c>
      <c r="C25">
        <v>28022018</v>
      </c>
      <c r="D25">
        <v>669</v>
      </c>
      <c r="E25" t="str">
        <f>"AUTOPAY DR"</f>
        <v>AUTOPAY DR</v>
      </c>
      <c r="F25">
        <v>3471</v>
      </c>
      <c r="G25" t="str">
        <f>"15164577"</f>
        <v>15164577</v>
      </c>
      <c r="H25" s="2">
        <v>82301.960000000006</v>
      </c>
      <c r="I25" t="s">
        <v>26</v>
      </c>
      <c r="J25" s="2">
        <v>301298.86</v>
      </c>
      <c r="K25" t="s">
        <v>27</v>
      </c>
      <c r="L25">
        <v>53241</v>
      </c>
      <c r="M25" t="str">
        <f>"U2018022302671 Autopay20180228-Encrypted"</f>
        <v>U2018022302671 Autopay20180228-Encrypted</v>
      </c>
      <c r="O25">
        <v>1</v>
      </c>
      <c r="P25" t="str">
        <f>"347115164577"</f>
        <v>347115164577</v>
      </c>
      <c r="R25" t="str">
        <f>"/"</f>
        <v>/</v>
      </c>
    </row>
    <row r="26" spans="1:18" x14ac:dyDescent="0.25">
      <c r="A26">
        <v>8003879954</v>
      </c>
      <c r="B26">
        <v>17</v>
      </c>
      <c r="C26">
        <v>27022018</v>
      </c>
      <c r="D26">
        <v>123</v>
      </c>
      <c r="E26" t="str">
        <f>"2D LOCAL CHQ"</f>
        <v>2D LOCAL CHQ</v>
      </c>
      <c r="F26">
        <v>2007</v>
      </c>
      <c r="G26" t="str">
        <f>"43106117"</f>
        <v>43106117</v>
      </c>
      <c r="H26" s="2">
        <v>750</v>
      </c>
      <c r="I26" t="s">
        <v>27</v>
      </c>
      <c r="J26" s="2">
        <v>383600.82</v>
      </c>
      <c r="K26" t="s">
        <v>27</v>
      </c>
      <c r="L26">
        <v>190751</v>
      </c>
      <c r="M26" t="str">
        <f>""</f>
        <v/>
      </c>
      <c r="O26">
        <v>1</v>
      </c>
    </row>
    <row r="27" spans="1:18" x14ac:dyDescent="0.25">
      <c r="A27">
        <v>8003879954</v>
      </c>
      <c r="B27">
        <v>16</v>
      </c>
      <c r="C27">
        <v>27022018</v>
      </c>
      <c r="D27">
        <v>141</v>
      </c>
      <c r="E27" t="str">
        <f>"I-FUNDS TR FROM SA"</f>
        <v>I-FUNDS TR FROM SA</v>
      </c>
      <c r="F27">
        <v>6219</v>
      </c>
      <c r="G27" t="str">
        <f>"10535"</f>
        <v>10535</v>
      </c>
      <c r="H27" s="2">
        <v>395.74</v>
      </c>
      <c r="I27" t="s">
        <v>27</v>
      </c>
      <c r="J27" s="2">
        <v>382850.82</v>
      </c>
      <c r="K27" t="s">
        <v>27</v>
      </c>
      <c r="L27">
        <v>160507</v>
      </c>
      <c r="M27" t="str">
        <f>""</f>
        <v/>
      </c>
      <c r="O27">
        <v>1</v>
      </c>
      <c r="P27" t="str">
        <f>"Taitung Advance"</f>
        <v>Taitung Advance</v>
      </c>
      <c r="R27" t="str">
        <f>"JOANNE KHOO ROU YAN"</f>
        <v>JOANNE KHOO ROU YAN</v>
      </c>
    </row>
    <row r="28" spans="1:18" x14ac:dyDescent="0.25">
      <c r="A28">
        <v>8003879954</v>
      </c>
      <c r="B28">
        <v>15</v>
      </c>
      <c r="C28">
        <v>27022018</v>
      </c>
      <c r="D28">
        <v>299</v>
      </c>
      <c r="E28" t="s">
        <v>506</v>
      </c>
      <c r="F28">
        <v>722</v>
      </c>
      <c r="G28" t="str">
        <f>"25151121"</f>
        <v>25151121</v>
      </c>
      <c r="H28" s="2">
        <v>1.8</v>
      </c>
      <c r="I28" t="s">
        <v>26</v>
      </c>
      <c r="J28" s="2">
        <v>382455.08</v>
      </c>
      <c r="K28" t="s">
        <v>27</v>
      </c>
      <c r="L28">
        <v>152705</v>
      </c>
      <c r="M28" t="str">
        <f>"SRV CHRGS ON AMENDMENT OTT REF"</f>
        <v>SRV CHRGS ON AMENDMENT OTT REF</v>
      </c>
      <c r="O28">
        <v>1</v>
      </c>
    </row>
    <row r="29" spans="1:18" x14ac:dyDescent="0.25">
      <c r="A29">
        <v>8003879954</v>
      </c>
      <c r="B29">
        <v>14</v>
      </c>
      <c r="C29">
        <v>27022018</v>
      </c>
      <c r="D29">
        <v>489</v>
      </c>
      <c r="E29" t="s">
        <v>507</v>
      </c>
      <c r="F29">
        <v>722</v>
      </c>
      <c r="G29" t="str">
        <f>"25151121"</f>
        <v>25151121</v>
      </c>
      <c r="H29" s="2">
        <v>30</v>
      </c>
      <c r="I29" t="s">
        <v>26</v>
      </c>
      <c r="J29" s="2">
        <v>382456.88</v>
      </c>
      <c r="K29" t="s">
        <v>27</v>
      </c>
      <c r="L29">
        <v>152705</v>
      </c>
      <c r="M29" t="str">
        <f>"SRV CHRGS ON AMENDMENT OTT REF"</f>
        <v>SRV CHRGS ON AMENDMENT OTT REF</v>
      </c>
      <c r="O29">
        <v>1</v>
      </c>
    </row>
    <row r="30" spans="1:18" x14ac:dyDescent="0.25">
      <c r="A30">
        <v>8003879954</v>
      </c>
      <c r="B30">
        <v>13</v>
      </c>
      <c r="C30">
        <v>27022018</v>
      </c>
      <c r="D30">
        <v>341</v>
      </c>
      <c r="E30" t="str">
        <f>"TR IBG"</f>
        <v>TR IBG</v>
      </c>
      <c r="F30">
        <v>9938</v>
      </c>
      <c r="G30" t="str">
        <f>"26903797"</f>
        <v>26903797</v>
      </c>
      <c r="H30" s="2">
        <v>6000</v>
      </c>
      <c r="I30" t="s">
        <v>26</v>
      </c>
      <c r="J30" s="2">
        <v>382486.88</v>
      </c>
      <c r="K30" t="s">
        <v>27</v>
      </c>
      <c r="L30">
        <v>141208</v>
      </c>
      <c r="M30" t="str">
        <f>"MALAYSIAN HUB"</f>
        <v>MALAYSIAN HUB</v>
      </c>
      <c r="O30">
        <v>1</v>
      </c>
      <c r="P30" t="str">
        <f>"PGTEFT3006"</f>
        <v>PGTEFT3006</v>
      </c>
      <c r="Q30" t="str">
        <f>"RD-2002"</f>
        <v>RD-2002</v>
      </c>
    </row>
    <row r="31" spans="1:18" x14ac:dyDescent="0.25">
      <c r="A31">
        <v>8003879954</v>
      </c>
      <c r="B31">
        <v>12</v>
      </c>
      <c r="C31">
        <v>27022018</v>
      </c>
      <c r="D31">
        <v>299</v>
      </c>
      <c r="E31" t="str">
        <f>"GST"</f>
        <v>GST</v>
      </c>
      <c r="F31">
        <v>9938</v>
      </c>
      <c r="G31" t="str">
        <f>"26903797"</f>
        <v>26903797</v>
      </c>
      <c r="H31" s="2">
        <v>0.01</v>
      </c>
      <c r="I31" t="s">
        <v>26</v>
      </c>
      <c r="J31" s="2">
        <v>388486.88</v>
      </c>
      <c r="K31" t="s">
        <v>27</v>
      </c>
      <c r="L31">
        <v>141208</v>
      </c>
      <c r="M31" t="str">
        <f>"PGTEFT3006          RD-2002"</f>
        <v>PGTEFT3006          RD-2002</v>
      </c>
      <c r="O31">
        <v>1</v>
      </c>
    </row>
    <row r="32" spans="1:18" x14ac:dyDescent="0.25">
      <c r="A32">
        <v>8003879954</v>
      </c>
      <c r="B32">
        <v>11</v>
      </c>
      <c r="C32">
        <v>27022018</v>
      </c>
      <c r="D32">
        <v>489</v>
      </c>
      <c r="E32" t="str">
        <f>"OTHER TRANSFER FEE"</f>
        <v>OTHER TRANSFER FEE</v>
      </c>
      <c r="F32">
        <v>9938</v>
      </c>
      <c r="G32" t="str">
        <f>"26903797"</f>
        <v>26903797</v>
      </c>
      <c r="H32" s="2">
        <v>0.1</v>
      </c>
      <c r="I32" t="s">
        <v>26</v>
      </c>
      <c r="J32" s="2">
        <v>388486.89</v>
      </c>
      <c r="K32" t="s">
        <v>27</v>
      </c>
      <c r="L32">
        <v>141208</v>
      </c>
      <c r="M32" t="str">
        <f>"PGTEFT3006          RD-2002"</f>
        <v>PGTEFT3006          RD-2002</v>
      </c>
      <c r="O32">
        <v>1</v>
      </c>
    </row>
    <row r="33" spans="1:18" x14ac:dyDescent="0.25">
      <c r="A33">
        <v>8003879954</v>
      </c>
      <c r="B33">
        <v>10</v>
      </c>
      <c r="C33">
        <v>27022018</v>
      </c>
      <c r="D33">
        <v>345</v>
      </c>
      <c r="E33" t="str">
        <f>"TR TO SAVINGS"</f>
        <v>TR TO SAVINGS</v>
      </c>
      <c r="F33">
        <v>9938</v>
      </c>
      <c r="G33" t="str">
        <f>"26904131"</f>
        <v>26904131</v>
      </c>
      <c r="H33" s="2">
        <v>869.17</v>
      </c>
      <c r="I33" t="s">
        <v>26</v>
      </c>
      <c r="J33" s="2">
        <v>388486.99</v>
      </c>
      <c r="K33" t="s">
        <v>27</v>
      </c>
      <c r="L33">
        <v>141208</v>
      </c>
      <c r="M33" t="str">
        <f>"KL TRIP &amp; KOREA OOI CHOK YAN"</f>
        <v>KL TRIP &amp; KOREA OOI CHOK YAN</v>
      </c>
      <c r="O33">
        <v>1</v>
      </c>
      <c r="P33" t="str">
        <f>"PGTEFT3004"</f>
        <v>PGTEFT3004</v>
      </c>
      <c r="Q33" t="str">
        <f>"CLAIMS"</f>
        <v>CLAIMS</v>
      </c>
    </row>
    <row r="34" spans="1:18" x14ac:dyDescent="0.25">
      <c r="A34">
        <v>8003879954</v>
      </c>
      <c r="B34">
        <v>9</v>
      </c>
      <c r="C34">
        <v>27022018</v>
      </c>
      <c r="D34">
        <v>345</v>
      </c>
      <c r="E34" t="str">
        <f>"TR TO SAVINGS"</f>
        <v>TR TO SAVINGS</v>
      </c>
      <c r="F34">
        <v>9938</v>
      </c>
      <c r="G34" t="str">
        <f>"26904315"</f>
        <v>26904315</v>
      </c>
      <c r="H34" s="2">
        <v>220</v>
      </c>
      <c r="I34" t="s">
        <v>26</v>
      </c>
      <c r="J34" s="2">
        <v>389356.16</v>
      </c>
      <c r="K34" t="s">
        <v>27</v>
      </c>
      <c r="L34">
        <v>141208</v>
      </c>
      <c r="M34" t="str">
        <f>"TM NEW DELHI ADVANCE LIM YEE HARNG"</f>
        <v>TM NEW DELHI ADVANCE LIM YEE HARNG</v>
      </c>
      <c r="O34">
        <v>1</v>
      </c>
      <c r="P34" t="str">
        <f>"PGTEFT3002"</f>
        <v>PGTEFT3002</v>
      </c>
      <c r="Q34" t="str">
        <f>"CLAIMS"</f>
        <v>CLAIMS</v>
      </c>
    </row>
    <row r="35" spans="1:18" x14ac:dyDescent="0.25">
      <c r="A35">
        <v>8003879954</v>
      </c>
      <c r="B35">
        <v>8</v>
      </c>
      <c r="C35">
        <v>27022018</v>
      </c>
      <c r="D35">
        <v>346</v>
      </c>
      <c r="E35" t="str">
        <f>"I-PYMT TO CCARD"</f>
        <v>I-PYMT TO CCARD</v>
      </c>
      <c r="F35">
        <v>9938</v>
      </c>
      <c r="G35" t="str">
        <f>"201802270026904273"</f>
        <v>201802270026904273</v>
      </c>
      <c r="H35" s="2">
        <v>2458.61</v>
      </c>
      <c r="I35" t="s">
        <v>26</v>
      </c>
      <c r="J35" s="2">
        <v>389576.16</v>
      </c>
      <c r="K35" t="s">
        <v>27</v>
      </c>
      <c r="L35">
        <v>141207</v>
      </c>
      <c r="M35" t="str">
        <f>"OOI CHOK YAN"</f>
        <v>OOI CHOK YAN</v>
      </c>
      <c r="O35">
        <v>1</v>
      </c>
      <c r="P35" t="str">
        <f>"PGTEFT3003"</f>
        <v>PGTEFT3003</v>
      </c>
      <c r="Q35" t="str">
        <f>"CIMB CREDIT CARD"</f>
        <v>CIMB CREDIT CARD</v>
      </c>
    </row>
    <row r="36" spans="1:18" x14ac:dyDescent="0.25">
      <c r="A36">
        <v>8003879954</v>
      </c>
      <c r="B36">
        <v>7</v>
      </c>
      <c r="C36">
        <v>27022018</v>
      </c>
      <c r="D36">
        <v>341</v>
      </c>
      <c r="E36" t="str">
        <f>"TR IBG"</f>
        <v>TR IBG</v>
      </c>
      <c r="F36">
        <v>9938</v>
      </c>
      <c r="G36" t="str">
        <f>"26904361"</f>
        <v>26904361</v>
      </c>
      <c r="H36" s="2">
        <v>400</v>
      </c>
      <c r="I36" t="s">
        <v>26</v>
      </c>
      <c r="J36" s="2">
        <v>392034.77</v>
      </c>
      <c r="K36" t="s">
        <v>27</v>
      </c>
      <c r="L36">
        <v>141207</v>
      </c>
      <c r="M36" t="str">
        <f>"CHONG LEE CHOO"</f>
        <v>CHONG LEE CHOO</v>
      </c>
      <c r="O36">
        <v>1</v>
      </c>
      <c r="P36" t="str">
        <f>"PGTEFT3000"</f>
        <v>PGTEFT3000</v>
      </c>
      <c r="Q36" t="str">
        <f>"HAB2018"</f>
        <v>HAB2018</v>
      </c>
    </row>
    <row r="37" spans="1:18" x14ac:dyDescent="0.25">
      <c r="A37">
        <v>8003879954</v>
      </c>
      <c r="B37">
        <v>6</v>
      </c>
      <c r="C37">
        <v>27022018</v>
      </c>
      <c r="D37">
        <v>299</v>
      </c>
      <c r="E37" t="str">
        <f>"GST"</f>
        <v>GST</v>
      </c>
      <c r="F37">
        <v>9938</v>
      </c>
      <c r="G37" t="str">
        <f>"26904361"</f>
        <v>26904361</v>
      </c>
      <c r="H37" s="2">
        <v>0.01</v>
      </c>
      <c r="I37" t="s">
        <v>26</v>
      </c>
      <c r="J37" s="2">
        <v>392434.77</v>
      </c>
      <c r="K37" t="s">
        <v>27</v>
      </c>
      <c r="L37">
        <v>141207</v>
      </c>
      <c r="M37" t="str">
        <f>"PGTEFT3000          HAB2018"</f>
        <v>PGTEFT3000          HAB2018</v>
      </c>
      <c r="O37">
        <v>1</v>
      </c>
    </row>
    <row r="38" spans="1:18" x14ac:dyDescent="0.25">
      <c r="A38">
        <v>8003879954</v>
      </c>
      <c r="B38">
        <v>5</v>
      </c>
      <c r="C38">
        <v>27022018</v>
      </c>
      <c r="D38">
        <v>489</v>
      </c>
      <c r="E38" t="str">
        <f>"OTHER TRANSFER FEE"</f>
        <v>OTHER TRANSFER FEE</v>
      </c>
      <c r="F38">
        <v>9938</v>
      </c>
      <c r="G38" t="str">
        <f>"26904361"</f>
        <v>26904361</v>
      </c>
      <c r="H38" s="2">
        <v>0.1</v>
      </c>
      <c r="I38" t="s">
        <v>26</v>
      </c>
      <c r="J38" s="2">
        <v>392434.78</v>
      </c>
      <c r="K38" t="s">
        <v>27</v>
      </c>
      <c r="L38">
        <v>141207</v>
      </c>
      <c r="M38" t="str">
        <f>"PGTEFT3000          HAB2018"</f>
        <v>PGTEFT3000          HAB2018</v>
      </c>
      <c r="O38">
        <v>1</v>
      </c>
    </row>
    <row r="39" spans="1:18" x14ac:dyDescent="0.25">
      <c r="A39">
        <v>8003879954</v>
      </c>
      <c r="B39">
        <v>4</v>
      </c>
      <c r="C39">
        <v>27022018</v>
      </c>
      <c r="D39">
        <v>341</v>
      </c>
      <c r="E39" t="str">
        <f>"TR IBG"</f>
        <v>TR IBG</v>
      </c>
      <c r="F39">
        <v>9938</v>
      </c>
      <c r="G39" t="str">
        <f>"26904030"</f>
        <v>26904030</v>
      </c>
      <c r="H39" s="2">
        <v>1956</v>
      </c>
      <c r="I39" t="s">
        <v>26</v>
      </c>
      <c r="J39" s="2">
        <v>392434.88</v>
      </c>
      <c r="K39" t="s">
        <v>27</v>
      </c>
      <c r="L39">
        <v>141207</v>
      </c>
      <c r="M39" t="str">
        <f>"PINNACLE NEXUS SDN B"</f>
        <v>PINNACLE NEXUS SDN B</v>
      </c>
      <c r="O39">
        <v>1</v>
      </c>
      <c r="P39" t="str">
        <f>"PGTEFT3005"</f>
        <v>PGTEFT3005</v>
      </c>
      <c r="Q39" t="str">
        <f>"PROFORMA INV"</f>
        <v>PROFORMA INV</v>
      </c>
    </row>
    <row r="40" spans="1:18" x14ac:dyDescent="0.25">
      <c r="A40">
        <v>8003879954</v>
      </c>
      <c r="B40">
        <v>3</v>
      </c>
      <c r="C40">
        <v>27022018</v>
      </c>
      <c r="D40">
        <v>299</v>
      </c>
      <c r="E40" t="str">
        <f>"GST"</f>
        <v>GST</v>
      </c>
      <c r="F40">
        <v>9938</v>
      </c>
      <c r="G40" t="str">
        <f>"26904030"</f>
        <v>26904030</v>
      </c>
      <c r="H40" s="2">
        <v>0.01</v>
      </c>
      <c r="I40" t="s">
        <v>26</v>
      </c>
      <c r="J40" s="2">
        <v>394390.88</v>
      </c>
      <c r="K40" t="s">
        <v>27</v>
      </c>
      <c r="L40">
        <v>141207</v>
      </c>
      <c r="M40" t="str">
        <f>"PGTEFT3005          PROFORMA INV"</f>
        <v>PGTEFT3005          PROFORMA INV</v>
      </c>
      <c r="O40">
        <v>1</v>
      </c>
    </row>
    <row r="41" spans="1:18" x14ac:dyDescent="0.25">
      <c r="A41">
        <v>8003879954</v>
      </c>
      <c r="B41">
        <v>2</v>
      </c>
      <c r="C41">
        <v>27022018</v>
      </c>
      <c r="D41">
        <v>489</v>
      </c>
      <c r="E41" t="str">
        <f>"OTHER TRANSFER FEE"</f>
        <v>OTHER TRANSFER FEE</v>
      </c>
      <c r="F41">
        <v>9938</v>
      </c>
      <c r="G41" t="str">
        <f>"26904030"</f>
        <v>26904030</v>
      </c>
      <c r="H41" s="2">
        <v>0.1</v>
      </c>
      <c r="I41" t="s">
        <v>26</v>
      </c>
      <c r="J41" s="2">
        <v>394390.89</v>
      </c>
      <c r="K41" t="s">
        <v>27</v>
      </c>
      <c r="L41">
        <v>141207</v>
      </c>
      <c r="M41" t="str">
        <f>"PGTEFT3005          PROFORMA INV"</f>
        <v>PGTEFT3005          PROFORMA INV</v>
      </c>
      <c r="O41">
        <v>1</v>
      </c>
    </row>
    <row r="42" spans="1:18" x14ac:dyDescent="0.25">
      <c r="A42">
        <v>8003879954</v>
      </c>
      <c r="B42">
        <v>1</v>
      </c>
      <c r="C42">
        <v>27022018</v>
      </c>
      <c r="D42">
        <v>5</v>
      </c>
      <c r="E42" t="str">
        <f>"REMITTANCE CR"</f>
        <v>REMITTANCE CR</v>
      </c>
      <c r="H42" s="2">
        <v>300000</v>
      </c>
      <c r="I42" t="s">
        <v>27</v>
      </c>
      <c r="J42" s="2">
        <v>394390.99</v>
      </c>
      <c r="K42" t="s">
        <v>27</v>
      </c>
      <c r="L42">
        <v>104412</v>
      </c>
      <c r="M42" t="str">
        <f>"/ROC/FROM RHB REFLE RHB ASSET MANAGEMENT"</f>
        <v>/ROC/FROM RHB REFLE RHB ASSET MANAGEMENT</v>
      </c>
      <c r="O42">
        <v>1</v>
      </c>
      <c r="P42" t="str">
        <f>"FROM RHB REFLEX"</f>
        <v>FROM RHB REFLEX</v>
      </c>
      <c r="Q42" t="str">
        <f>"RHB ASSET MGMT SB"</f>
        <v>RHB ASSET MGMT SB</v>
      </c>
      <c r="R42" t="str">
        <f>"RHB ASSET MANAGEMENT"</f>
        <v>RHB ASSET MANAGEMENT</v>
      </c>
    </row>
    <row r="43" spans="1:18" x14ac:dyDescent="0.25">
      <c r="A43">
        <v>8003879954</v>
      </c>
      <c r="B43">
        <v>2</v>
      </c>
      <c r="C43">
        <v>26022018</v>
      </c>
      <c r="D43">
        <v>123</v>
      </c>
      <c r="E43" t="str">
        <f>"2D LOCAL CHQ"</f>
        <v>2D LOCAL CHQ</v>
      </c>
      <c r="F43">
        <v>2007</v>
      </c>
      <c r="G43" t="str">
        <f>"43910508"</f>
        <v>43910508</v>
      </c>
      <c r="H43" s="2">
        <v>3000</v>
      </c>
      <c r="I43" t="s">
        <v>27</v>
      </c>
      <c r="J43" s="2">
        <v>94390.99</v>
      </c>
      <c r="K43" t="s">
        <v>27</v>
      </c>
      <c r="L43">
        <v>190729</v>
      </c>
      <c r="M43" t="str">
        <f>""</f>
        <v/>
      </c>
      <c r="O43">
        <v>1</v>
      </c>
    </row>
    <row r="44" spans="1:18" x14ac:dyDescent="0.25">
      <c r="A44">
        <v>8003879954</v>
      </c>
      <c r="B44">
        <v>1</v>
      </c>
      <c r="C44">
        <v>26022018</v>
      </c>
      <c r="D44">
        <v>174</v>
      </c>
      <c r="E44" t="str">
        <f>"IBG CREDIT"</f>
        <v>IBG CREDIT</v>
      </c>
      <c r="F44">
        <v>2001</v>
      </c>
      <c r="G44" t="str">
        <f>"418057710455762"</f>
        <v>418057710455762</v>
      </c>
      <c r="H44" s="2">
        <v>2000</v>
      </c>
      <c r="I44" t="s">
        <v>27</v>
      </c>
      <c r="J44" s="2">
        <v>91390.99</v>
      </c>
      <c r="K44" t="s">
        <v>27</v>
      </c>
      <c r="L44">
        <v>91601</v>
      </c>
      <c r="M44" t="str">
        <f>"3508151"</f>
        <v>3508151</v>
      </c>
      <c r="O44">
        <v>1</v>
      </c>
      <c r="P44" t="str">
        <f>"3508151"</f>
        <v>3508151</v>
      </c>
      <c r="R44" t="str">
        <f>"MOUNT MIRIAM CANCER"</f>
        <v>MOUNT MIRIAM CANCER</v>
      </c>
    </row>
    <row r="45" spans="1:18" x14ac:dyDescent="0.25">
      <c r="A45">
        <v>8003879954</v>
      </c>
      <c r="B45">
        <v>1</v>
      </c>
      <c r="C45">
        <v>24022018</v>
      </c>
      <c r="D45">
        <v>141</v>
      </c>
      <c r="E45" t="str">
        <f>"I-FUNDS TR FROM SA"</f>
        <v>I-FUNDS TR FROM SA</v>
      </c>
      <c r="F45">
        <v>4098</v>
      </c>
      <c r="G45" t="str">
        <f>"05236"</f>
        <v>05236</v>
      </c>
      <c r="H45" s="2">
        <v>144.12</v>
      </c>
      <c r="I45" t="s">
        <v>27</v>
      </c>
      <c r="J45" s="2">
        <v>89390.99</v>
      </c>
      <c r="K45" t="s">
        <v>27</v>
      </c>
      <c r="L45">
        <v>164445</v>
      </c>
      <c r="M45" t="str">
        <f>""</f>
        <v/>
      </c>
      <c r="O45">
        <v>1</v>
      </c>
      <c r="P45" t="str">
        <f>"India Roadshow"</f>
        <v>India Roadshow</v>
      </c>
      <c r="Q45" t="str">
        <f>"Return to PGT"</f>
        <v>Return to PGT</v>
      </c>
      <c r="R45" t="str">
        <f>"LIM YEE HARNG"</f>
        <v>LIM YEE HARNG</v>
      </c>
    </row>
    <row r="46" spans="1:18" x14ac:dyDescent="0.25">
      <c r="A46">
        <v>8003879954</v>
      </c>
      <c r="B46">
        <v>9</v>
      </c>
      <c r="C46">
        <v>23022018</v>
      </c>
      <c r="D46">
        <v>299</v>
      </c>
      <c r="E46" t="str">
        <f>"GST"</f>
        <v>GST</v>
      </c>
      <c r="H46" s="2">
        <v>0.03</v>
      </c>
      <c r="I46" t="s">
        <v>26</v>
      </c>
      <c r="J46" s="2">
        <v>89246.87</v>
      </c>
      <c r="K46" t="s">
        <v>27</v>
      </c>
      <c r="L46">
        <v>10005</v>
      </c>
      <c r="M46" t="str">
        <f>""</f>
        <v/>
      </c>
      <c r="O46">
        <v>1</v>
      </c>
    </row>
    <row r="47" spans="1:18" x14ac:dyDescent="0.25">
      <c r="A47">
        <v>8003879954</v>
      </c>
      <c r="B47">
        <v>8</v>
      </c>
      <c r="C47">
        <v>23022018</v>
      </c>
      <c r="D47">
        <v>819</v>
      </c>
      <c r="E47" t="str">
        <f>"CHQ PROCESSING FEE"</f>
        <v>CHQ PROCESSING FEE</v>
      </c>
      <c r="H47" s="2">
        <v>0.5</v>
      </c>
      <c r="I47" t="s">
        <v>26</v>
      </c>
      <c r="J47" s="2">
        <v>89246.9</v>
      </c>
      <c r="K47" t="s">
        <v>27</v>
      </c>
      <c r="L47">
        <v>10005</v>
      </c>
      <c r="M47" t="str">
        <f>""</f>
        <v/>
      </c>
      <c r="O47">
        <v>1</v>
      </c>
    </row>
    <row r="48" spans="1:18" x14ac:dyDescent="0.25">
      <c r="A48">
        <v>8003879954</v>
      </c>
      <c r="B48">
        <v>7</v>
      </c>
      <c r="C48">
        <v>23022018</v>
      </c>
      <c r="D48">
        <v>299</v>
      </c>
      <c r="E48" t="str">
        <f>"GST"</f>
        <v>GST</v>
      </c>
      <c r="H48" s="2">
        <v>0.09</v>
      </c>
      <c r="I48" t="s">
        <v>26</v>
      </c>
      <c r="J48" s="2">
        <v>89247.4</v>
      </c>
      <c r="K48" t="s">
        <v>27</v>
      </c>
      <c r="L48">
        <v>10005</v>
      </c>
      <c r="M48" t="str">
        <f>""</f>
        <v/>
      </c>
      <c r="O48">
        <v>1</v>
      </c>
    </row>
    <row r="49" spans="1:18" x14ac:dyDescent="0.25">
      <c r="A49">
        <v>8003879954</v>
      </c>
      <c r="B49">
        <v>6</v>
      </c>
      <c r="C49">
        <v>23022018</v>
      </c>
      <c r="D49">
        <v>819</v>
      </c>
      <c r="E49" t="str">
        <f>"CHQ PROCESSING FEE"</f>
        <v>CHQ PROCESSING FEE</v>
      </c>
      <c r="H49" s="2">
        <v>1.5</v>
      </c>
      <c r="I49" t="s">
        <v>26</v>
      </c>
      <c r="J49" s="2">
        <v>89247.49</v>
      </c>
      <c r="K49" t="s">
        <v>27</v>
      </c>
      <c r="L49">
        <v>10005</v>
      </c>
      <c r="M49" t="str">
        <f>""</f>
        <v/>
      </c>
      <c r="O49">
        <v>1</v>
      </c>
    </row>
    <row r="50" spans="1:18" x14ac:dyDescent="0.25">
      <c r="A50">
        <v>8003879954</v>
      </c>
      <c r="B50">
        <v>5</v>
      </c>
      <c r="C50">
        <v>23022018</v>
      </c>
      <c r="D50">
        <v>323</v>
      </c>
      <c r="E50" t="str">
        <f>"CLRG CHQ DR"</f>
        <v>CLRG CHQ DR</v>
      </c>
      <c r="F50">
        <v>0</v>
      </c>
      <c r="G50" t="str">
        <f>"00688143"</f>
        <v>00688143</v>
      </c>
      <c r="H50" s="2">
        <v>500000</v>
      </c>
      <c r="I50" t="s">
        <v>26</v>
      </c>
      <c r="J50" s="2">
        <v>89248.99</v>
      </c>
      <c r="K50" t="s">
        <v>27</v>
      </c>
      <c r="L50">
        <v>5819</v>
      </c>
      <c r="M50" t="str">
        <f>""</f>
        <v/>
      </c>
      <c r="O50">
        <v>1</v>
      </c>
    </row>
    <row r="51" spans="1:18" x14ac:dyDescent="0.25">
      <c r="A51">
        <v>8003879954</v>
      </c>
      <c r="B51">
        <v>4</v>
      </c>
      <c r="C51">
        <v>23022018</v>
      </c>
      <c r="D51">
        <v>321</v>
      </c>
      <c r="E51" t="str">
        <f>"HOUSE CHQ DR"</f>
        <v>HOUSE CHQ DR</v>
      </c>
      <c r="F51">
        <v>0</v>
      </c>
      <c r="G51" t="str">
        <f>"00688139"</f>
        <v>00688139</v>
      </c>
      <c r="H51" s="2">
        <v>151136</v>
      </c>
      <c r="I51" t="s">
        <v>26</v>
      </c>
      <c r="J51" s="2">
        <v>589248.99</v>
      </c>
      <c r="K51" t="s">
        <v>27</v>
      </c>
      <c r="L51">
        <v>5819</v>
      </c>
      <c r="M51" t="str">
        <f>""</f>
        <v/>
      </c>
      <c r="O51">
        <v>1</v>
      </c>
    </row>
    <row r="52" spans="1:18" x14ac:dyDescent="0.25">
      <c r="A52">
        <v>8003879954</v>
      </c>
      <c r="B52">
        <v>3</v>
      </c>
      <c r="C52">
        <v>23022018</v>
      </c>
      <c r="D52">
        <v>323</v>
      </c>
      <c r="E52" t="str">
        <f>"CLRG CHQ DR"</f>
        <v>CLRG CHQ DR</v>
      </c>
      <c r="F52">
        <v>0</v>
      </c>
      <c r="G52" t="str">
        <f>"00688136"</f>
        <v>00688136</v>
      </c>
      <c r="H52" s="2">
        <v>200000</v>
      </c>
      <c r="I52" t="s">
        <v>26</v>
      </c>
      <c r="J52" s="2">
        <v>740384.99</v>
      </c>
      <c r="K52" t="s">
        <v>27</v>
      </c>
      <c r="L52">
        <v>5819</v>
      </c>
      <c r="M52" t="str">
        <f>""</f>
        <v/>
      </c>
      <c r="O52">
        <v>1</v>
      </c>
    </row>
    <row r="53" spans="1:18" x14ac:dyDescent="0.25">
      <c r="A53">
        <v>8003879954</v>
      </c>
      <c r="B53">
        <v>2</v>
      </c>
      <c r="C53">
        <v>23022018</v>
      </c>
      <c r="D53">
        <v>323</v>
      </c>
      <c r="E53" t="str">
        <f>"CLRG CHQ DR"</f>
        <v>CLRG CHQ DR</v>
      </c>
      <c r="F53">
        <v>0</v>
      </c>
      <c r="G53" t="str">
        <f>"00688133"</f>
        <v>00688133</v>
      </c>
      <c r="H53" s="2">
        <v>192538.8</v>
      </c>
      <c r="I53" t="s">
        <v>26</v>
      </c>
      <c r="J53" s="2">
        <v>940384.99</v>
      </c>
      <c r="K53" t="s">
        <v>27</v>
      </c>
      <c r="L53">
        <v>5819</v>
      </c>
      <c r="M53" t="str">
        <f>""</f>
        <v/>
      </c>
      <c r="O53">
        <v>1</v>
      </c>
    </row>
    <row r="54" spans="1:18" x14ac:dyDescent="0.25">
      <c r="A54">
        <v>8003879954</v>
      </c>
      <c r="B54">
        <v>1</v>
      </c>
      <c r="C54">
        <v>23022018</v>
      </c>
      <c r="D54">
        <v>5</v>
      </c>
      <c r="E54" t="str">
        <f>"REMITTANCE CR"</f>
        <v>REMITTANCE CR</v>
      </c>
      <c r="H54" s="2">
        <v>120000</v>
      </c>
      <c r="I54" t="s">
        <v>27</v>
      </c>
      <c r="J54" s="2">
        <v>1132923.79</v>
      </c>
      <c r="K54" t="s">
        <v>27</v>
      </c>
      <c r="L54">
        <v>143554</v>
      </c>
      <c r="M54" t="str">
        <f>"/ROC/KLMP0002317RES RHB ASSET MANAGEMENT"</f>
        <v>/ROC/KLMP0002317RES RHB ASSET MANAGEMENT</v>
      </c>
      <c r="O54">
        <v>1</v>
      </c>
      <c r="P54" t="str">
        <f>"KLMP0002317"</f>
        <v>KLMP0002317</v>
      </c>
      <c r="Q54" t="str">
        <f>"RESIDENT"</f>
        <v>RESIDENT</v>
      </c>
      <c r="R54" t="str">
        <f>"RHB ASSET MANAGEMENT"</f>
        <v>RHB ASSET MANAGEMENT</v>
      </c>
    </row>
    <row r="55" spans="1:18" x14ac:dyDescent="0.25">
      <c r="A55">
        <v>8003879954</v>
      </c>
      <c r="B55">
        <v>41</v>
      </c>
      <c r="C55">
        <v>22022018</v>
      </c>
      <c r="D55">
        <v>299</v>
      </c>
      <c r="E55" t="str">
        <f>"GST"</f>
        <v>GST</v>
      </c>
      <c r="H55" s="2">
        <v>0.03</v>
      </c>
      <c r="I55" t="s">
        <v>26</v>
      </c>
      <c r="J55" s="2">
        <v>1012923.79</v>
      </c>
      <c r="K55" t="s">
        <v>27</v>
      </c>
      <c r="L55">
        <v>10147</v>
      </c>
      <c r="M55" t="str">
        <f>""</f>
        <v/>
      </c>
      <c r="O55">
        <v>1</v>
      </c>
    </row>
    <row r="56" spans="1:18" x14ac:dyDescent="0.25">
      <c r="A56">
        <v>8003879954</v>
      </c>
      <c r="B56">
        <v>40</v>
      </c>
      <c r="C56">
        <v>22022018</v>
      </c>
      <c r="D56">
        <v>819</v>
      </c>
      <c r="E56" t="str">
        <f>"CHQ PROCESSING FEE"</f>
        <v>CHQ PROCESSING FEE</v>
      </c>
      <c r="H56" s="2">
        <v>0.5</v>
      </c>
      <c r="I56" t="s">
        <v>26</v>
      </c>
      <c r="J56" s="2">
        <v>1012923.82</v>
      </c>
      <c r="K56" t="s">
        <v>27</v>
      </c>
      <c r="L56">
        <v>10147</v>
      </c>
      <c r="M56" t="str">
        <f>""</f>
        <v/>
      </c>
      <c r="O56">
        <v>1</v>
      </c>
    </row>
    <row r="57" spans="1:18" x14ac:dyDescent="0.25">
      <c r="A57">
        <v>8003879954</v>
      </c>
      <c r="B57">
        <v>39</v>
      </c>
      <c r="C57">
        <v>22022018</v>
      </c>
      <c r="D57">
        <v>299</v>
      </c>
      <c r="E57" t="str">
        <f>"GST"</f>
        <v>GST</v>
      </c>
      <c r="H57" s="2">
        <v>0.15</v>
      </c>
      <c r="I57" t="s">
        <v>26</v>
      </c>
      <c r="J57" s="2">
        <v>1012924.32</v>
      </c>
      <c r="K57" t="s">
        <v>27</v>
      </c>
      <c r="L57">
        <v>10146</v>
      </c>
      <c r="M57" t="str">
        <f>""</f>
        <v/>
      </c>
      <c r="O57">
        <v>1</v>
      </c>
    </row>
    <row r="58" spans="1:18" x14ac:dyDescent="0.25">
      <c r="A58">
        <v>8003879954</v>
      </c>
      <c r="B58">
        <v>38</v>
      </c>
      <c r="C58">
        <v>22022018</v>
      </c>
      <c r="D58">
        <v>819</v>
      </c>
      <c r="E58" t="str">
        <f>"CHQ PROCESSING FEE"</f>
        <v>CHQ PROCESSING FEE</v>
      </c>
      <c r="H58" s="2">
        <v>2.5</v>
      </c>
      <c r="I58" t="s">
        <v>26</v>
      </c>
      <c r="J58" s="2">
        <v>1012924.47</v>
      </c>
      <c r="K58" t="s">
        <v>27</v>
      </c>
      <c r="L58">
        <v>10146</v>
      </c>
      <c r="M58" t="str">
        <f>""</f>
        <v/>
      </c>
      <c r="O58">
        <v>1</v>
      </c>
    </row>
    <row r="59" spans="1:18" x14ac:dyDescent="0.25">
      <c r="A59">
        <v>8003879954</v>
      </c>
      <c r="B59">
        <v>37</v>
      </c>
      <c r="C59">
        <v>22022018</v>
      </c>
      <c r="D59">
        <v>323</v>
      </c>
      <c r="E59" t="str">
        <f>"CLRG CHQ DR"</f>
        <v>CLRG CHQ DR</v>
      </c>
      <c r="F59">
        <v>0</v>
      </c>
      <c r="G59" t="str">
        <f>"00688142"</f>
        <v>00688142</v>
      </c>
      <c r="H59" s="2">
        <v>39900</v>
      </c>
      <c r="I59" t="s">
        <v>26</v>
      </c>
      <c r="J59" s="2">
        <v>1012926.97</v>
      </c>
      <c r="K59" t="s">
        <v>27</v>
      </c>
      <c r="L59">
        <v>10033</v>
      </c>
      <c r="M59" t="str">
        <f>""</f>
        <v/>
      </c>
      <c r="O59">
        <v>1</v>
      </c>
    </row>
    <row r="60" spans="1:18" x14ac:dyDescent="0.25">
      <c r="A60">
        <v>8003879954</v>
      </c>
      <c r="B60">
        <v>36</v>
      </c>
      <c r="C60">
        <v>22022018</v>
      </c>
      <c r="D60">
        <v>323</v>
      </c>
      <c r="E60" t="str">
        <f>"CLRG CHQ DR"</f>
        <v>CLRG CHQ DR</v>
      </c>
      <c r="F60">
        <v>0</v>
      </c>
      <c r="G60" t="str">
        <f>"00688141"</f>
        <v>00688141</v>
      </c>
      <c r="H60" s="2">
        <v>10575</v>
      </c>
      <c r="I60" t="s">
        <v>26</v>
      </c>
      <c r="J60" s="2">
        <v>1052826.97</v>
      </c>
      <c r="K60" t="s">
        <v>27</v>
      </c>
      <c r="L60">
        <v>10033</v>
      </c>
      <c r="M60" t="str">
        <f>""</f>
        <v/>
      </c>
      <c r="O60">
        <v>1</v>
      </c>
    </row>
    <row r="61" spans="1:18" x14ac:dyDescent="0.25">
      <c r="A61">
        <v>8003879954</v>
      </c>
      <c r="B61">
        <v>35</v>
      </c>
      <c r="C61">
        <v>22022018</v>
      </c>
      <c r="D61">
        <v>323</v>
      </c>
      <c r="E61" t="str">
        <f>"CLRG CHQ DR"</f>
        <v>CLRG CHQ DR</v>
      </c>
      <c r="F61">
        <v>0</v>
      </c>
      <c r="G61" t="str">
        <f>"00688140"</f>
        <v>00688140</v>
      </c>
      <c r="H61" s="2">
        <v>21545.09</v>
      </c>
      <c r="I61" t="s">
        <v>26</v>
      </c>
      <c r="J61" s="2">
        <v>1063401.97</v>
      </c>
      <c r="K61" t="s">
        <v>27</v>
      </c>
      <c r="L61">
        <v>10033</v>
      </c>
      <c r="M61" t="str">
        <f>""</f>
        <v/>
      </c>
      <c r="O61">
        <v>1</v>
      </c>
    </row>
    <row r="62" spans="1:18" x14ac:dyDescent="0.25">
      <c r="A62">
        <v>8003879954</v>
      </c>
      <c r="B62">
        <v>34</v>
      </c>
      <c r="C62">
        <v>22022018</v>
      </c>
      <c r="D62">
        <v>321</v>
      </c>
      <c r="E62" t="str">
        <f>"HOUSE CHQ DR"</f>
        <v>HOUSE CHQ DR</v>
      </c>
      <c r="F62">
        <v>0</v>
      </c>
      <c r="G62" t="str">
        <f>"00688138"</f>
        <v>00688138</v>
      </c>
      <c r="H62" s="2">
        <v>15900</v>
      </c>
      <c r="I62" t="s">
        <v>26</v>
      </c>
      <c r="J62" s="2">
        <v>1084947.06</v>
      </c>
      <c r="K62" t="s">
        <v>27</v>
      </c>
      <c r="L62">
        <v>10033</v>
      </c>
      <c r="M62" t="str">
        <f>""</f>
        <v/>
      </c>
      <c r="O62">
        <v>1</v>
      </c>
    </row>
    <row r="63" spans="1:18" x14ac:dyDescent="0.25">
      <c r="A63">
        <v>8003879954</v>
      </c>
      <c r="B63">
        <v>33</v>
      </c>
      <c r="C63">
        <v>22022018</v>
      </c>
      <c r="D63">
        <v>323</v>
      </c>
      <c r="E63" t="str">
        <f>"CLRG CHQ DR"</f>
        <v>CLRG CHQ DR</v>
      </c>
      <c r="F63">
        <v>0</v>
      </c>
      <c r="G63" t="str">
        <f>"00688137"</f>
        <v>00688137</v>
      </c>
      <c r="H63" s="2">
        <v>18661.22</v>
      </c>
      <c r="I63" t="s">
        <v>26</v>
      </c>
      <c r="J63" s="2">
        <v>1100847.06</v>
      </c>
      <c r="K63" t="s">
        <v>27</v>
      </c>
      <c r="L63">
        <v>10033</v>
      </c>
      <c r="M63" t="str">
        <f>""</f>
        <v/>
      </c>
      <c r="O63">
        <v>1</v>
      </c>
    </row>
    <row r="64" spans="1:18" x14ac:dyDescent="0.25">
      <c r="A64">
        <v>8003879954</v>
      </c>
      <c r="B64">
        <v>32</v>
      </c>
      <c r="C64">
        <v>22022018</v>
      </c>
      <c r="D64">
        <v>323</v>
      </c>
      <c r="E64" t="str">
        <f>"CLRG CHQ DR"</f>
        <v>CLRG CHQ DR</v>
      </c>
      <c r="F64">
        <v>0</v>
      </c>
      <c r="G64" t="str">
        <f>"00688135"</f>
        <v>00688135</v>
      </c>
      <c r="H64" s="2">
        <v>19080</v>
      </c>
      <c r="I64" t="s">
        <v>26</v>
      </c>
      <c r="J64" s="2">
        <v>1119508.28</v>
      </c>
      <c r="K64" t="s">
        <v>27</v>
      </c>
      <c r="L64">
        <v>10033</v>
      </c>
      <c r="M64" t="str">
        <f>""</f>
        <v/>
      </c>
      <c r="O64">
        <v>1</v>
      </c>
    </row>
    <row r="65" spans="1:17" x14ac:dyDescent="0.25">
      <c r="A65">
        <v>8003879954</v>
      </c>
      <c r="B65">
        <v>31</v>
      </c>
      <c r="C65">
        <v>22022018</v>
      </c>
      <c r="D65">
        <v>341</v>
      </c>
      <c r="E65" t="str">
        <f>"TR IBG"</f>
        <v>TR IBG</v>
      </c>
      <c r="F65">
        <v>9938</v>
      </c>
      <c r="G65" t="str">
        <f>"26747208"</f>
        <v>26747208</v>
      </c>
      <c r="H65" s="2">
        <v>187.13</v>
      </c>
      <c r="I65" t="s">
        <v>26</v>
      </c>
      <c r="J65" s="2">
        <v>1138588.28</v>
      </c>
      <c r="K65" t="s">
        <v>27</v>
      </c>
      <c r="L65">
        <v>172254</v>
      </c>
      <c r="M65" t="str">
        <f>"TOONG LI STATIONERY"</f>
        <v>TOONG LI STATIONERY</v>
      </c>
      <c r="O65">
        <v>1</v>
      </c>
      <c r="P65" t="str">
        <f>"PGTEFT2995"</f>
        <v>PGTEFT2995</v>
      </c>
      <c r="Q65" t="str">
        <f>"IV-135310"</f>
        <v>IV-135310</v>
      </c>
    </row>
    <row r="66" spans="1:17" x14ac:dyDescent="0.25">
      <c r="A66">
        <v>8003879954</v>
      </c>
      <c r="B66">
        <v>30</v>
      </c>
      <c r="C66">
        <v>22022018</v>
      </c>
      <c r="D66">
        <v>299</v>
      </c>
      <c r="E66" t="str">
        <f>"GST"</f>
        <v>GST</v>
      </c>
      <c r="F66">
        <v>9938</v>
      </c>
      <c r="G66" t="str">
        <f>"26747208"</f>
        <v>26747208</v>
      </c>
      <c r="H66" s="2">
        <v>0.01</v>
      </c>
      <c r="I66" t="s">
        <v>26</v>
      </c>
      <c r="J66" s="2">
        <v>1138775.4099999999</v>
      </c>
      <c r="K66" t="s">
        <v>27</v>
      </c>
      <c r="L66">
        <v>172254</v>
      </c>
      <c r="M66" t="str">
        <f>"PGTEFT2995          IV-135310"</f>
        <v>PGTEFT2995          IV-135310</v>
      </c>
      <c r="O66">
        <v>1</v>
      </c>
    </row>
    <row r="67" spans="1:17" x14ac:dyDescent="0.25">
      <c r="A67">
        <v>8003879954</v>
      </c>
      <c r="B67">
        <v>29</v>
      </c>
      <c r="C67">
        <v>22022018</v>
      </c>
      <c r="D67">
        <v>489</v>
      </c>
      <c r="E67" t="str">
        <f>"OTHER TRANSFER FEE"</f>
        <v>OTHER TRANSFER FEE</v>
      </c>
      <c r="F67">
        <v>9938</v>
      </c>
      <c r="G67" t="str">
        <f>"26747208"</f>
        <v>26747208</v>
      </c>
      <c r="H67" s="2">
        <v>0.1</v>
      </c>
      <c r="I67" t="s">
        <v>26</v>
      </c>
      <c r="J67" s="2">
        <v>1138775.42</v>
      </c>
      <c r="K67" t="s">
        <v>27</v>
      </c>
      <c r="L67">
        <v>172254</v>
      </c>
      <c r="M67" t="str">
        <f>"PGTEFT2995          IV-135310"</f>
        <v>PGTEFT2995          IV-135310</v>
      </c>
      <c r="O67">
        <v>1</v>
      </c>
    </row>
    <row r="68" spans="1:17" x14ac:dyDescent="0.25">
      <c r="A68">
        <v>8003879954</v>
      </c>
      <c r="B68">
        <v>28</v>
      </c>
      <c r="C68">
        <v>22022018</v>
      </c>
      <c r="D68">
        <v>341</v>
      </c>
      <c r="E68" t="str">
        <f>"TR IBG"</f>
        <v>TR IBG</v>
      </c>
      <c r="F68">
        <v>9938</v>
      </c>
      <c r="G68" t="str">
        <f>"26746779"</f>
        <v>26746779</v>
      </c>
      <c r="H68" s="2">
        <v>2045.8</v>
      </c>
      <c r="I68" t="s">
        <v>26</v>
      </c>
      <c r="J68" s="2">
        <v>1138775.52</v>
      </c>
      <c r="K68" t="s">
        <v>27</v>
      </c>
      <c r="L68">
        <v>172254</v>
      </c>
      <c r="M68" t="str">
        <f>"VCREATE SDN BHD"</f>
        <v>VCREATE SDN BHD</v>
      </c>
      <c r="O68">
        <v>1</v>
      </c>
      <c r="P68" t="str">
        <f>"PGTEFT2997"</f>
        <v>PGTEFT2997</v>
      </c>
      <c r="Q68" t="str">
        <f>"10131-18 AND10148-18"</f>
        <v>10131-18 AND10148-18</v>
      </c>
    </row>
    <row r="69" spans="1:17" x14ac:dyDescent="0.25">
      <c r="A69">
        <v>8003879954</v>
      </c>
      <c r="B69">
        <v>27</v>
      </c>
      <c r="C69">
        <v>22022018</v>
      </c>
      <c r="D69">
        <v>299</v>
      </c>
      <c r="E69" t="str">
        <f>"GST"</f>
        <v>GST</v>
      </c>
      <c r="F69">
        <v>9938</v>
      </c>
      <c r="G69" t="str">
        <f>"26746779"</f>
        <v>26746779</v>
      </c>
      <c r="H69" s="2">
        <v>0.01</v>
      </c>
      <c r="I69" t="s">
        <v>26</v>
      </c>
      <c r="J69" s="2">
        <v>1140821.32</v>
      </c>
      <c r="K69" t="s">
        <v>27</v>
      </c>
      <c r="L69">
        <v>172254</v>
      </c>
      <c r="M69" t="str">
        <f>"PGTEFT2997          10131-18 AND10148-18"</f>
        <v>PGTEFT2997          10131-18 AND10148-18</v>
      </c>
      <c r="O69">
        <v>1</v>
      </c>
    </row>
    <row r="70" spans="1:17" x14ac:dyDescent="0.25">
      <c r="A70">
        <v>8003879954</v>
      </c>
      <c r="B70">
        <v>26</v>
      </c>
      <c r="C70">
        <v>22022018</v>
      </c>
      <c r="D70">
        <v>489</v>
      </c>
      <c r="E70" t="str">
        <f>"OTHER TRANSFER FEE"</f>
        <v>OTHER TRANSFER FEE</v>
      </c>
      <c r="F70">
        <v>9938</v>
      </c>
      <c r="G70" t="str">
        <f>"26746779"</f>
        <v>26746779</v>
      </c>
      <c r="H70" s="2">
        <v>0.1</v>
      </c>
      <c r="I70" t="s">
        <v>26</v>
      </c>
      <c r="J70" s="2">
        <v>1140821.33</v>
      </c>
      <c r="K70" t="s">
        <v>27</v>
      </c>
      <c r="L70">
        <v>172254</v>
      </c>
      <c r="M70" t="str">
        <f>"PGTEFT2997          10131-18 AND10148-18"</f>
        <v>PGTEFT2997          10131-18 AND10148-18</v>
      </c>
      <c r="O70">
        <v>1</v>
      </c>
    </row>
    <row r="71" spans="1:17" x14ac:dyDescent="0.25">
      <c r="A71">
        <v>8003879954</v>
      </c>
      <c r="B71">
        <v>25</v>
      </c>
      <c r="C71">
        <v>22022018</v>
      </c>
      <c r="D71">
        <v>341</v>
      </c>
      <c r="E71" t="str">
        <f>"TR IBG"</f>
        <v>TR IBG</v>
      </c>
      <c r="F71">
        <v>9938</v>
      </c>
      <c r="G71" t="str">
        <f>"26747289"</f>
        <v>26747289</v>
      </c>
      <c r="H71" s="2">
        <v>92.2</v>
      </c>
      <c r="I71" t="s">
        <v>26</v>
      </c>
      <c r="J71" s="2">
        <v>1140821.43</v>
      </c>
      <c r="K71" t="s">
        <v>27</v>
      </c>
      <c r="L71">
        <v>172252</v>
      </c>
      <c r="M71" t="str">
        <f>"TOP ONE DIGITAL SHOP"</f>
        <v>TOP ONE DIGITAL SHOP</v>
      </c>
      <c r="O71">
        <v>1</v>
      </c>
      <c r="P71" t="str">
        <f>"PGTEFT2994"</f>
        <v>PGTEFT2994</v>
      </c>
      <c r="Q71" t="str">
        <f>"IV-0028778"</f>
        <v>IV-0028778</v>
      </c>
    </row>
    <row r="72" spans="1:17" x14ac:dyDescent="0.25">
      <c r="A72">
        <v>8003879954</v>
      </c>
      <c r="B72">
        <v>24</v>
      </c>
      <c r="C72">
        <v>22022018</v>
      </c>
      <c r="D72">
        <v>299</v>
      </c>
      <c r="E72" t="str">
        <f>"GST"</f>
        <v>GST</v>
      </c>
      <c r="F72">
        <v>9938</v>
      </c>
      <c r="G72" t="str">
        <f>"26747289"</f>
        <v>26747289</v>
      </c>
      <c r="H72" s="2">
        <v>0.01</v>
      </c>
      <c r="I72" t="s">
        <v>26</v>
      </c>
      <c r="J72" s="2">
        <v>1140913.6299999999</v>
      </c>
      <c r="K72" t="s">
        <v>27</v>
      </c>
      <c r="L72">
        <v>172252</v>
      </c>
      <c r="M72" t="str">
        <f>"PGTEFT2994          IV-0028778"</f>
        <v>PGTEFT2994          IV-0028778</v>
      </c>
      <c r="O72">
        <v>1</v>
      </c>
    </row>
    <row r="73" spans="1:17" x14ac:dyDescent="0.25">
      <c r="A73">
        <v>8003879954</v>
      </c>
      <c r="B73">
        <v>23</v>
      </c>
      <c r="C73">
        <v>22022018</v>
      </c>
      <c r="D73">
        <v>489</v>
      </c>
      <c r="E73" t="str">
        <f>"OTHER TRANSFER FEE"</f>
        <v>OTHER TRANSFER FEE</v>
      </c>
      <c r="F73">
        <v>9938</v>
      </c>
      <c r="G73" t="str">
        <f>"26747289"</f>
        <v>26747289</v>
      </c>
      <c r="H73" s="2">
        <v>0.1</v>
      </c>
      <c r="I73" t="s">
        <v>26</v>
      </c>
      <c r="J73" s="2">
        <v>1140913.6399999999</v>
      </c>
      <c r="K73" t="s">
        <v>27</v>
      </c>
      <c r="L73">
        <v>172252</v>
      </c>
      <c r="M73" t="str">
        <f>"PGTEFT2994          IV-0028778"</f>
        <v>PGTEFT2994          IV-0028778</v>
      </c>
      <c r="O73">
        <v>1</v>
      </c>
    </row>
    <row r="74" spans="1:17" x14ac:dyDescent="0.25">
      <c r="A74">
        <v>8003879954</v>
      </c>
      <c r="B74">
        <v>22</v>
      </c>
      <c r="C74">
        <v>22022018</v>
      </c>
      <c r="D74">
        <v>345</v>
      </c>
      <c r="E74" t="str">
        <f>"TR TO SAVINGS"</f>
        <v>TR TO SAVINGS</v>
      </c>
      <c r="F74">
        <v>9938</v>
      </c>
      <c r="G74" t="str">
        <f>"26746683"</f>
        <v>26746683</v>
      </c>
      <c r="H74" s="2">
        <v>8526.5499999999993</v>
      </c>
      <c r="I74" t="s">
        <v>26</v>
      </c>
      <c r="J74" s="2">
        <v>1140913.74</v>
      </c>
      <c r="K74" t="s">
        <v>27</v>
      </c>
      <c r="L74">
        <v>172252</v>
      </c>
      <c r="M74" t="str">
        <f>"KOREA, SEOUL &amp; TITF YOON PAULINE"</f>
        <v>KOREA, SEOUL &amp; TITF YOON PAULINE</v>
      </c>
      <c r="O74">
        <v>1</v>
      </c>
      <c r="P74" t="str">
        <f>"PGTEFT2998"</f>
        <v>PGTEFT2998</v>
      </c>
      <c r="Q74" t="str">
        <f>"CLAIMS"</f>
        <v>CLAIMS</v>
      </c>
    </row>
    <row r="75" spans="1:17" x14ac:dyDescent="0.25">
      <c r="A75">
        <v>8003879954</v>
      </c>
      <c r="B75">
        <v>21</v>
      </c>
      <c r="C75">
        <v>22022018</v>
      </c>
      <c r="D75">
        <v>60</v>
      </c>
      <c r="E75" t="str">
        <f>"TR TO C/A"</f>
        <v>TR TO C/A</v>
      </c>
      <c r="F75">
        <v>9938</v>
      </c>
      <c r="G75" t="str">
        <f>"26747045"</f>
        <v>26747045</v>
      </c>
      <c r="H75" s="2">
        <v>1200</v>
      </c>
      <c r="I75" t="s">
        <v>26</v>
      </c>
      <c r="J75" s="2">
        <v>1149440.29</v>
      </c>
      <c r="K75" t="s">
        <v>27</v>
      </c>
      <c r="L75">
        <v>172252</v>
      </c>
      <c r="M75" t="str">
        <f>"SG AIRLINE FAM TOUR &amp; INCENTIVE TR"</f>
        <v>SG AIRLINE FAM TOUR &amp; INCENTIVE TR</v>
      </c>
      <c r="O75">
        <v>1</v>
      </c>
      <c r="P75" t="str">
        <f>"PGTEFT2996"</f>
        <v>PGTEFT2996</v>
      </c>
      <c r="Q75" t="str">
        <f>"PRO0146-18"</f>
        <v>PRO0146-18</v>
      </c>
    </row>
    <row r="76" spans="1:17" x14ac:dyDescent="0.25">
      <c r="A76">
        <v>8003879954</v>
      </c>
      <c r="B76">
        <v>20</v>
      </c>
      <c r="C76">
        <v>22022018</v>
      </c>
      <c r="D76">
        <v>343</v>
      </c>
      <c r="E76" t="str">
        <f>"I-PAYMENT"</f>
        <v>I-PAYMENT</v>
      </c>
      <c r="F76">
        <v>9938</v>
      </c>
      <c r="G76" t="str">
        <f>"2018022251775447"</f>
        <v>2018022251775447</v>
      </c>
      <c r="H76" s="2">
        <v>483.36</v>
      </c>
      <c r="I76" t="s">
        <v>26</v>
      </c>
      <c r="J76" s="2">
        <v>1150640.29</v>
      </c>
      <c r="K76" t="s">
        <v>27</v>
      </c>
      <c r="L76">
        <v>171956</v>
      </c>
      <c r="M76" t="str">
        <f>"Pay to CELCOM: 191908888"</f>
        <v>Pay to CELCOM: 191908888</v>
      </c>
      <c r="O76">
        <v>1</v>
      </c>
    </row>
    <row r="77" spans="1:17" x14ac:dyDescent="0.25">
      <c r="A77">
        <v>8003879954</v>
      </c>
      <c r="B77">
        <v>19</v>
      </c>
      <c r="C77">
        <v>22022018</v>
      </c>
      <c r="D77">
        <v>341</v>
      </c>
      <c r="E77" t="str">
        <f>"TR IBG"</f>
        <v>TR IBG</v>
      </c>
      <c r="F77">
        <v>9938</v>
      </c>
      <c r="G77" t="str">
        <f>"26748153"</f>
        <v>26748153</v>
      </c>
      <c r="H77" s="2">
        <v>402.8</v>
      </c>
      <c r="I77" t="s">
        <v>26</v>
      </c>
      <c r="J77" s="2">
        <v>1151123.6499999999</v>
      </c>
      <c r="K77" t="s">
        <v>27</v>
      </c>
      <c r="L77">
        <v>171956</v>
      </c>
      <c r="M77" t="str">
        <f>"CHEONG SENG CHAN SDN"</f>
        <v>CHEONG SENG CHAN SDN</v>
      </c>
      <c r="O77">
        <v>1</v>
      </c>
      <c r="P77" t="str">
        <f>"PGTEFT2985"</f>
        <v>PGTEFT2985</v>
      </c>
      <c r="Q77" t="str">
        <f>"INV00010095"</f>
        <v>INV00010095</v>
      </c>
    </row>
    <row r="78" spans="1:17" x14ac:dyDescent="0.25">
      <c r="A78">
        <v>8003879954</v>
      </c>
      <c r="B78">
        <v>18</v>
      </c>
      <c r="C78">
        <v>22022018</v>
      </c>
      <c r="D78">
        <v>299</v>
      </c>
      <c r="E78" t="str">
        <f>"GST"</f>
        <v>GST</v>
      </c>
      <c r="F78">
        <v>9938</v>
      </c>
      <c r="G78" t="str">
        <f>"26748153"</f>
        <v>26748153</v>
      </c>
      <c r="H78" s="2">
        <v>0.01</v>
      </c>
      <c r="I78" t="s">
        <v>26</v>
      </c>
      <c r="J78" s="2">
        <v>1151526.45</v>
      </c>
      <c r="K78" t="s">
        <v>27</v>
      </c>
      <c r="L78">
        <v>171956</v>
      </c>
      <c r="M78" t="str">
        <f>"PGTEFT2985          INV00010095"</f>
        <v>PGTEFT2985          INV00010095</v>
      </c>
      <c r="O78">
        <v>1</v>
      </c>
    </row>
    <row r="79" spans="1:17" x14ac:dyDescent="0.25">
      <c r="A79">
        <v>8003879954</v>
      </c>
      <c r="B79">
        <v>17</v>
      </c>
      <c r="C79">
        <v>22022018</v>
      </c>
      <c r="D79">
        <v>489</v>
      </c>
      <c r="E79" t="str">
        <f>"OTHER TRANSFER FEE"</f>
        <v>OTHER TRANSFER FEE</v>
      </c>
      <c r="F79">
        <v>9938</v>
      </c>
      <c r="G79" t="str">
        <f>"26748153"</f>
        <v>26748153</v>
      </c>
      <c r="H79" s="2">
        <v>0.1</v>
      </c>
      <c r="I79" t="s">
        <v>26</v>
      </c>
      <c r="J79" s="2">
        <v>1151526.46</v>
      </c>
      <c r="K79" t="s">
        <v>27</v>
      </c>
      <c r="L79">
        <v>171956</v>
      </c>
      <c r="M79" t="str">
        <f>"PGTEFT2985          INV00010095"</f>
        <v>PGTEFT2985          INV00010095</v>
      </c>
      <c r="O79">
        <v>1</v>
      </c>
    </row>
    <row r="80" spans="1:17" x14ac:dyDescent="0.25">
      <c r="A80">
        <v>8003879954</v>
      </c>
      <c r="B80">
        <v>16</v>
      </c>
      <c r="C80">
        <v>22022018</v>
      </c>
      <c r="D80">
        <v>341</v>
      </c>
      <c r="E80" t="str">
        <f>"TR IBG"</f>
        <v>TR IBG</v>
      </c>
      <c r="F80">
        <v>9938</v>
      </c>
      <c r="G80" t="str">
        <f>"26747537"</f>
        <v>26747537</v>
      </c>
      <c r="H80" s="2">
        <v>270</v>
      </c>
      <c r="I80" t="s">
        <v>26</v>
      </c>
      <c r="J80" s="2">
        <v>1151526.56</v>
      </c>
      <c r="K80" t="s">
        <v>27</v>
      </c>
      <c r="L80">
        <v>171955</v>
      </c>
      <c r="M80" t="str">
        <f>"LIANG CHOW MING"</f>
        <v>LIANG CHOW MING</v>
      </c>
      <c r="O80">
        <v>1</v>
      </c>
      <c r="P80" t="str">
        <f>"PGTEFT2992"</f>
        <v>PGTEFT2992</v>
      </c>
      <c r="Q80" t="str">
        <f>"INV19566"</f>
        <v>INV19566</v>
      </c>
    </row>
    <row r="81" spans="1:17" x14ac:dyDescent="0.25">
      <c r="A81">
        <v>8003879954</v>
      </c>
      <c r="B81">
        <v>15</v>
      </c>
      <c r="C81">
        <v>22022018</v>
      </c>
      <c r="D81">
        <v>299</v>
      </c>
      <c r="E81" t="str">
        <f>"GST"</f>
        <v>GST</v>
      </c>
      <c r="F81">
        <v>9938</v>
      </c>
      <c r="G81" t="str">
        <f>"26747537"</f>
        <v>26747537</v>
      </c>
      <c r="H81" s="2">
        <v>0.01</v>
      </c>
      <c r="I81" t="s">
        <v>26</v>
      </c>
      <c r="J81" s="2">
        <v>1151796.56</v>
      </c>
      <c r="K81" t="s">
        <v>27</v>
      </c>
      <c r="L81">
        <v>171955</v>
      </c>
      <c r="M81" t="str">
        <f>"PGTEFT2992          INV19566"</f>
        <v>PGTEFT2992          INV19566</v>
      </c>
      <c r="O81">
        <v>1</v>
      </c>
    </row>
    <row r="82" spans="1:17" x14ac:dyDescent="0.25">
      <c r="A82">
        <v>8003879954</v>
      </c>
      <c r="B82">
        <v>14</v>
      </c>
      <c r="C82">
        <v>22022018</v>
      </c>
      <c r="D82">
        <v>489</v>
      </c>
      <c r="E82" t="str">
        <f>"OTHER TRANSFER FEE"</f>
        <v>OTHER TRANSFER FEE</v>
      </c>
      <c r="F82">
        <v>9938</v>
      </c>
      <c r="G82" t="str">
        <f>"26747537"</f>
        <v>26747537</v>
      </c>
      <c r="H82" s="2">
        <v>0.1</v>
      </c>
      <c r="I82" t="s">
        <v>26</v>
      </c>
      <c r="J82" s="2">
        <v>1151796.57</v>
      </c>
      <c r="K82" t="s">
        <v>27</v>
      </c>
      <c r="L82">
        <v>171955</v>
      </c>
      <c r="M82" t="str">
        <f>"PGTEFT2992          INV19566"</f>
        <v>PGTEFT2992          INV19566</v>
      </c>
      <c r="O82">
        <v>1</v>
      </c>
    </row>
    <row r="83" spans="1:17" x14ac:dyDescent="0.25">
      <c r="A83">
        <v>8003879954</v>
      </c>
      <c r="B83">
        <v>13</v>
      </c>
      <c r="C83">
        <v>22022018</v>
      </c>
      <c r="D83">
        <v>341</v>
      </c>
      <c r="E83" t="str">
        <f>"TR IBG"</f>
        <v>TR IBG</v>
      </c>
      <c r="F83">
        <v>9938</v>
      </c>
      <c r="G83" t="str">
        <f>"26747788"</f>
        <v>26747788</v>
      </c>
      <c r="H83" s="2">
        <v>1038.8</v>
      </c>
      <c r="I83" t="s">
        <v>26</v>
      </c>
      <c r="J83" s="2">
        <v>1151796.67</v>
      </c>
      <c r="K83" t="s">
        <v>27</v>
      </c>
      <c r="L83">
        <v>171955</v>
      </c>
      <c r="M83" t="str">
        <f>"EXOTIC PRINTER SDN B"</f>
        <v>EXOTIC PRINTER SDN B</v>
      </c>
      <c r="O83">
        <v>1</v>
      </c>
      <c r="P83" t="str">
        <f>"PGTEFT2988"</f>
        <v>PGTEFT2988</v>
      </c>
      <c r="Q83" t="str">
        <f>"IO29762"</f>
        <v>IO29762</v>
      </c>
    </row>
    <row r="84" spans="1:17" x14ac:dyDescent="0.25">
      <c r="A84">
        <v>8003879954</v>
      </c>
      <c r="B84">
        <v>12</v>
      </c>
      <c r="C84">
        <v>22022018</v>
      </c>
      <c r="D84">
        <v>299</v>
      </c>
      <c r="E84" t="str">
        <f>"GST"</f>
        <v>GST</v>
      </c>
      <c r="F84">
        <v>9938</v>
      </c>
      <c r="G84" t="str">
        <f>"26747788"</f>
        <v>26747788</v>
      </c>
      <c r="H84" s="2">
        <v>0.01</v>
      </c>
      <c r="I84" t="s">
        <v>26</v>
      </c>
      <c r="J84" s="2">
        <v>1152835.47</v>
      </c>
      <c r="K84" t="s">
        <v>27</v>
      </c>
      <c r="L84">
        <v>171955</v>
      </c>
      <c r="M84" t="str">
        <f>"PGTEFT2988          IO29762"</f>
        <v>PGTEFT2988          IO29762</v>
      </c>
      <c r="O84">
        <v>1</v>
      </c>
    </row>
    <row r="85" spans="1:17" x14ac:dyDescent="0.25">
      <c r="A85">
        <v>8003879954</v>
      </c>
      <c r="B85">
        <v>11</v>
      </c>
      <c r="C85">
        <v>22022018</v>
      </c>
      <c r="D85">
        <v>489</v>
      </c>
      <c r="E85" t="str">
        <f>"OTHER TRANSFER FEE"</f>
        <v>OTHER TRANSFER FEE</v>
      </c>
      <c r="F85">
        <v>9938</v>
      </c>
      <c r="G85" t="str">
        <f>"26747788"</f>
        <v>26747788</v>
      </c>
      <c r="H85" s="2">
        <v>0.1</v>
      </c>
      <c r="I85" t="s">
        <v>26</v>
      </c>
      <c r="J85" s="2">
        <v>1152835.48</v>
      </c>
      <c r="K85" t="s">
        <v>27</v>
      </c>
      <c r="L85">
        <v>171955</v>
      </c>
      <c r="M85" t="str">
        <f>"PGTEFT2988          IO29762"</f>
        <v>PGTEFT2988          IO29762</v>
      </c>
      <c r="O85">
        <v>1</v>
      </c>
    </row>
    <row r="86" spans="1:17" x14ac:dyDescent="0.25">
      <c r="A86">
        <v>8003879954</v>
      </c>
      <c r="B86">
        <v>10</v>
      </c>
      <c r="C86">
        <v>22022018</v>
      </c>
      <c r="D86">
        <v>345</v>
      </c>
      <c r="E86" t="str">
        <f>"TR TO SAVINGS"</f>
        <v>TR TO SAVINGS</v>
      </c>
      <c r="F86">
        <v>9938</v>
      </c>
      <c r="G86" t="str">
        <f>"26747656"</f>
        <v>26747656</v>
      </c>
      <c r="H86" s="2">
        <v>679.24</v>
      </c>
      <c r="I86" t="s">
        <v>26</v>
      </c>
      <c r="J86" s="2">
        <v>1152835.58</v>
      </c>
      <c r="K86" t="s">
        <v>27</v>
      </c>
      <c r="L86">
        <v>171955</v>
      </c>
      <c r="M86" t="str">
        <f>"WORKING GROUP MEETIN NG CHUN HOW"</f>
        <v>WORKING GROUP MEETIN NG CHUN HOW</v>
      </c>
      <c r="O86">
        <v>1</v>
      </c>
      <c r="P86" t="str">
        <f>"PGTEFT2990"</f>
        <v>PGTEFT2990</v>
      </c>
      <c r="Q86" t="str">
        <f>"CLAIMS"</f>
        <v>CLAIMS</v>
      </c>
    </row>
    <row r="87" spans="1:17" x14ac:dyDescent="0.25">
      <c r="A87">
        <v>8003879954</v>
      </c>
      <c r="B87">
        <v>9</v>
      </c>
      <c r="C87">
        <v>22022018</v>
      </c>
      <c r="D87">
        <v>341</v>
      </c>
      <c r="E87" t="str">
        <f>"TR IBG"</f>
        <v>TR IBG</v>
      </c>
      <c r="F87">
        <v>9938</v>
      </c>
      <c r="G87" t="str">
        <f>"26747882"</f>
        <v>26747882</v>
      </c>
      <c r="H87" s="2">
        <v>3380.38</v>
      </c>
      <c r="I87" t="s">
        <v>26</v>
      </c>
      <c r="J87" s="2">
        <v>1153514.82</v>
      </c>
      <c r="K87" t="s">
        <v>27</v>
      </c>
      <c r="L87">
        <v>171954</v>
      </c>
      <c r="M87" t="str">
        <f>"FUJI XEROX ASIA PACI"</f>
        <v>FUJI XEROX ASIA PACI</v>
      </c>
      <c r="O87">
        <v>1</v>
      </c>
      <c r="P87" t="str">
        <f>"PGTEFT2987"</f>
        <v>PGTEFT2987</v>
      </c>
      <c r="Q87" t="str">
        <f>"ACC 316057"</f>
        <v>ACC 316057</v>
      </c>
    </row>
    <row r="88" spans="1:17" x14ac:dyDescent="0.25">
      <c r="A88">
        <v>8003879954</v>
      </c>
      <c r="B88">
        <v>8</v>
      </c>
      <c r="C88">
        <v>22022018</v>
      </c>
      <c r="D88">
        <v>299</v>
      </c>
      <c r="E88" t="str">
        <f>"GST"</f>
        <v>GST</v>
      </c>
      <c r="F88">
        <v>9938</v>
      </c>
      <c r="G88" t="str">
        <f>"26747882"</f>
        <v>26747882</v>
      </c>
      <c r="H88" s="2">
        <v>0.01</v>
      </c>
      <c r="I88" t="s">
        <v>26</v>
      </c>
      <c r="J88" s="2">
        <v>1156895.2</v>
      </c>
      <c r="K88" t="s">
        <v>27</v>
      </c>
      <c r="L88">
        <v>171954</v>
      </c>
      <c r="M88" t="str">
        <f>"PGTEFT2987          ACC 316057"</f>
        <v>PGTEFT2987          ACC 316057</v>
      </c>
      <c r="O88">
        <v>1</v>
      </c>
    </row>
    <row r="89" spans="1:17" x14ac:dyDescent="0.25">
      <c r="A89">
        <v>8003879954</v>
      </c>
      <c r="B89">
        <v>7</v>
      </c>
      <c r="C89">
        <v>22022018</v>
      </c>
      <c r="D89">
        <v>489</v>
      </c>
      <c r="E89" t="str">
        <f>"OTHER TRANSFER FEE"</f>
        <v>OTHER TRANSFER FEE</v>
      </c>
      <c r="F89">
        <v>9938</v>
      </c>
      <c r="G89" t="str">
        <f>"26747882"</f>
        <v>26747882</v>
      </c>
      <c r="H89" s="2">
        <v>0.1</v>
      </c>
      <c r="I89" t="s">
        <v>26</v>
      </c>
      <c r="J89" s="2">
        <v>1156895.21</v>
      </c>
      <c r="K89" t="s">
        <v>27</v>
      </c>
      <c r="L89">
        <v>171954</v>
      </c>
      <c r="M89" t="str">
        <f>"PGTEFT2987          ACC 316057"</f>
        <v>PGTEFT2987          ACC 316057</v>
      </c>
      <c r="O89">
        <v>1</v>
      </c>
    </row>
    <row r="90" spans="1:17" x14ac:dyDescent="0.25">
      <c r="A90">
        <v>8003879954</v>
      </c>
      <c r="B90">
        <v>6</v>
      </c>
      <c r="C90">
        <v>22022018</v>
      </c>
      <c r="D90">
        <v>345</v>
      </c>
      <c r="E90" t="str">
        <f>"TR TO SAVINGS"</f>
        <v>TR TO SAVINGS</v>
      </c>
      <c r="F90">
        <v>9938</v>
      </c>
      <c r="G90" t="str">
        <f>"26747608"</f>
        <v>26747608</v>
      </c>
      <c r="H90" s="2">
        <v>3004.04</v>
      </c>
      <c r="I90" t="s">
        <v>26</v>
      </c>
      <c r="J90" s="2">
        <v>1156895.31</v>
      </c>
      <c r="K90" t="s">
        <v>27</v>
      </c>
      <c r="L90">
        <v>171954</v>
      </c>
      <c r="M90" t="str">
        <f>"TAITUNG COUNTRY GOVN JOANNE KHOO ROU YAN"</f>
        <v>TAITUNG COUNTRY GOVN JOANNE KHOO ROU YAN</v>
      </c>
      <c r="O90">
        <v>1</v>
      </c>
      <c r="P90" t="str">
        <f>"PGTEFT2991"</f>
        <v>PGTEFT2991</v>
      </c>
      <c r="Q90" t="str">
        <f>"ADVANCE"</f>
        <v>ADVANCE</v>
      </c>
    </row>
    <row r="91" spans="1:17" x14ac:dyDescent="0.25">
      <c r="A91">
        <v>8003879954</v>
      </c>
      <c r="B91">
        <v>5</v>
      </c>
      <c r="C91">
        <v>22022018</v>
      </c>
      <c r="D91">
        <v>345</v>
      </c>
      <c r="E91" t="str">
        <f>"TR TO SAVINGS"</f>
        <v>TR TO SAVINGS</v>
      </c>
      <c r="F91">
        <v>9938</v>
      </c>
      <c r="G91" t="str">
        <f>"26747491"</f>
        <v>26747491</v>
      </c>
      <c r="H91" s="2">
        <v>133.55000000000001</v>
      </c>
      <c r="I91" t="s">
        <v>26</v>
      </c>
      <c r="J91" s="2">
        <v>1159899.3500000001</v>
      </c>
      <c r="K91" t="s">
        <v>27</v>
      </c>
      <c r="L91">
        <v>171954</v>
      </c>
      <c r="M91" t="str">
        <f>"PARKROYAL MEDIA FAM LIM YEE HARNG"</f>
        <v>PARKROYAL MEDIA FAM LIM YEE HARNG</v>
      </c>
      <c r="O91">
        <v>1</v>
      </c>
      <c r="P91" t="str">
        <f>"PGTEFT2993"</f>
        <v>PGTEFT2993</v>
      </c>
      <c r="Q91" t="str">
        <f>"CLAIMS"</f>
        <v>CLAIMS</v>
      </c>
    </row>
    <row r="92" spans="1:17" x14ac:dyDescent="0.25">
      <c r="A92">
        <v>8003879954</v>
      </c>
      <c r="B92">
        <v>4</v>
      </c>
      <c r="C92">
        <v>22022018</v>
      </c>
      <c r="D92">
        <v>345</v>
      </c>
      <c r="E92" t="str">
        <f>"TR TO SAVINGS"</f>
        <v>TR TO SAVINGS</v>
      </c>
      <c r="F92">
        <v>9938</v>
      </c>
      <c r="G92" t="str">
        <f>"26747699"</f>
        <v>26747699</v>
      </c>
      <c r="H92" s="2">
        <v>654</v>
      </c>
      <c r="I92" t="s">
        <v>26</v>
      </c>
      <c r="J92" s="2">
        <v>1160032.8999999999</v>
      </c>
      <c r="K92" t="s">
        <v>27</v>
      </c>
      <c r="L92">
        <v>171954</v>
      </c>
      <c r="M92" t="str">
        <f>"INDIA ROADSHOW DANNY TAN LEE KEONG"</f>
        <v>INDIA ROADSHOW DANNY TAN LEE KEONG</v>
      </c>
      <c r="O92">
        <v>1</v>
      </c>
      <c r="P92" t="str">
        <f>"PGTEFT2989"</f>
        <v>PGTEFT2989</v>
      </c>
      <c r="Q92" t="str">
        <f>"CLAIMS"</f>
        <v>CLAIMS</v>
      </c>
    </row>
    <row r="93" spans="1:17" x14ac:dyDescent="0.25">
      <c r="A93">
        <v>8003879954</v>
      </c>
      <c r="B93">
        <v>3</v>
      </c>
      <c r="C93">
        <v>22022018</v>
      </c>
      <c r="D93">
        <v>299</v>
      </c>
      <c r="E93" t="s">
        <v>506</v>
      </c>
      <c r="F93">
        <v>72</v>
      </c>
      <c r="G93" t="str">
        <f>"283077913"</f>
        <v>283077913</v>
      </c>
      <c r="H93" s="2">
        <v>1.2</v>
      </c>
      <c r="I93" t="s">
        <v>26</v>
      </c>
      <c r="J93" s="2">
        <v>1160686.8999999999</v>
      </c>
      <c r="K93" t="s">
        <v>27</v>
      </c>
      <c r="L93">
        <v>140958</v>
      </c>
      <c r="M93" t="str">
        <f>"00722220218T5267                       P"</f>
        <v>00722220218T5267                       P</v>
      </c>
      <c r="O93">
        <v>1</v>
      </c>
    </row>
    <row r="94" spans="1:17" x14ac:dyDescent="0.25">
      <c r="A94">
        <v>8003879954</v>
      </c>
      <c r="B94">
        <v>2</v>
      </c>
      <c r="C94">
        <v>22022018</v>
      </c>
      <c r="D94">
        <v>415</v>
      </c>
      <c r="E94" s="14" t="str">
        <f>"TELEX/FAX"</f>
        <v>TELEX/FAX</v>
      </c>
      <c r="F94">
        <v>72</v>
      </c>
      <c r="G94" t="str">
        <f>"283077913"</f>
        <v>283077913</v>
      </c>
      <c r="H94" s="2">
        <v>20</v>
      </c>
      <c r="I94" t="s">
        <v>26</v>
      </c>
      <c r="J94" s="2">
        <v>1160688.1000000001</v>
      </c>
      <c r="K94" t="s">
        <v>27</v>
      </c>
      <c r="L94">
        <v>140958</v>
      </c>
      <c r="M94" t="str">
        <f>"00722220218T5267                       P"</f>
        <v>00722220218T5267                       P</v>
      </c>
      <c r="O94">
        <v>1</v>
      </c>
    </row>
    <row r="95" spans="1:17" x14ac:dyDescent="0.25">
      <c r="A95">
        <v>8003879954</v>
      </c>
      <c r="B95">
        <v>1</v>
      </c>
      <c r="C95">
        <v>22022018</v>
      </c>
      <c r="D95">
        <v>349</v>
      </c>
      <c r="E95" t="str">
        <f>"TR TO REMITT"</f>
        <v>TR TO REMITT</v>
      </c>
      <c r="F95">
        <v>72</v>
      </c>
      <c r="G95" t="str">
        <f>"283077913"</f>
        <v>283077913</v>
      </c>
      <c r="H95" s="2">
        <v>7625</v>
      </c>
      <c r="I95" t="s">
        <v>26</v>
      </c>
      <c r="J95" s="2">
        <v>1160708.1000000001</v>
      </c>
      <c r="K95" t="s">
        <v>27</v>
      </c>
      <c r="L95">
        <v>140958</v>
      </c>
      <c r="M95" t="str">
        <f>"00722220218T5267                       P"</f>
        <v>00722220218T5267                       P</v>
      </c>
      <c r="O95">
        <v>1</v>
      </c>
    </row>
    <row r="96" spans="1:17" x14ac:dyDescent="0.25">
      <c r="A96">
        <v>8003879954</v>
      </c>
      <c r="B96">
        <v>3</v>
      </c>
      <c r="C96">
        <v>20022018</v>
      </c>
      <c r="D96">
        <v>299</v>
      </c>
      <c r="E96" t="str">
        <f>"GST"</f>
        <v>GST</v>
      </c>
      <c r="H96" s="2">
        <v>0.03</v>
      </c>
      <c r="I96" t="s">
        <v>26</v>
      </c>
      <c r="J96" s="2">
        <v>1168333.1000000001</v>
      </c>
      <c r="K96" t="s">
        <v>27</v>
      </c>
      <c r="L96">
        <v>5554</v>
      </c>
      <c r="M96" t="str">
        <f>""</f>
        <v/>
      </c>
      <c r="O96">
        <v>1</v>
      </c>
    </row>
    <row r="97" spans="1:17" x14ac:dyDescent="0.25">
      <c r="A97">
        <v>8003879954</v>
      </c>
      <c r="B97">
        <v>2</v>
      </c>
      <c r="C97">
        <v>20022018</v>
      </c>
      <c r="D97">
        <v>819</v>
      </c>
      <c r="E97" t="str">
        <f>"CHQ PROCESSING FEE"</f>
        <v>CHQ PROCESSING FEE</v>
      </c>
      <c r="H97" s="2">
        <v>0.5</v>
      </c>
      <c r="I97" t="s">
        <v>26</v>
      </c>
      <c r="J97" s="2">
        <v>1168333.1299999999</v>
      </c>
      <c r="K97" t="s">
        <v>27</v>
      </c>
      <c r="L97">
        <v>5554</v>
      </c>
      <c r="M97" t="str">
        <f>""</f>
        <v/>
      </c>
      <c r="O97">
        <v>1</v>
      </c>
    </row>
    <row r="98" spans="1:17" x14ac:dyDescent="0.25">
      <c r="A98">
        <v>8003879954</v>
      </c>
      <c r="B98">
        <v>1</v>
      </c>
      <c r="C98">
        <v>20022018</v>
      </c>
      <c r="D98">
        <v>323</v>
      </c>
      <c r="E98" t="str">
        <f>"CLRG CHQ DR"</f>
        <v>CLRG CHQ DR</v>
      </c>
      <c r="F98">
        <v>0</v>
      </c>
      <c r="G98" t="str">
        <f>"00688132"</f>
        <v>00688132</v>
      </c>
      <c r="H98" s="2">
        <v>1600000</v>
      </c>
      <c r="I98" t="s">
        <v>26</v>
      </c>
      <c r="J98" s="2">
        <v>1168333.6299999999</v>
      </c>
      <c r="K98" t="s">
        <v>27</v>
      </c>
      <c r="L98">
        <v>5420</v>
      </c>
      <c r="M98" t="str">
        <f>""</f>
        <v/>
      </c>
      <c r="O98">
        <v>1</v>
      </c>
    </row>
    <row r="99" spans="1:17" x14ac:dyDescent="0.25">
      <c r="A99">
        <v>8003879954</v>
      </c>
      <c r="B99">
        <v>6</v>
      </c>
      <c r="C99">
        <v>15022018</v>
      </c>
      <c r="D99">
        <v>299</v>
      </c>
      <c r="E99" t="str">
        <f>"GST"</f>
        <v>GST</v>
      </c>
      <c r="H99" s="2">
        <v>0.03</v>
      </c>
      <c r="I99" t="s">
        <v>26</v>
      </c>
      <c r="J99" s="2">
        <v>2768333.63</v>
      </c>
      <c r="K99" t="s">
        <v>27</v>
      </c>
      <c r="L99">
        <v>5939</v>
      </c>
      <c r="M99" t="str">
        <f>""</f>
        <v/>
      </c>
      <c r="O99">
        <v>1</v>
      </c>
    </row>
    <row r="100" spans="1:17" x14ac:dyDescent="0.25">
      <c r="A100">
        <v>8003879954</v>
      </c>
      <c r="B100">
        <v>5</v>
      </c>
      <c r="C100">
        <v>15022018</v>
      </c>
      <c r="D100">
        <v>819</v>
      </c>
      <c r="E100" t="str">
        <f>"CHQ PROCESSING FEE"</f>
        <v>CHQ PROCESSING FEE</v>
      </c>
      <c r="H100" s="2">
        <v>0.5</v>
      </c>
      <c r="I100" t="s">
        <v>26</v>
      </c>
      <c r="J100" s="2">
        <v>2768333.66</v>
      </c>
      <c r="K100" t="s">
        <v>27</v>
      </c>
      <c r="L100">
        <v>5939</v>
      </c>
      <c r="M100" t="str">
        <f>""</f>
        <v/>
      </c>
      <c r="O100">
        <v>1</v>
      </c>
    </row>
    <row r="101" spans="1:17" x14ac:dyDescent="0.25">
      <c r="A101">
        <v>8003879954</v>
      </c>
      <c r="B101">
        <v>4</v>
      </c>
      <c r="C101">
        <v>15022018</v>
      </c>
      <c r="D101">
        <v>323</v>
      </c>
      <c r="E101" t="str">
        <f>"CLRG CHQ DR"</f>
        <v>CLRG CHQ DR</v>
      </c>
      <c r="F101">
        <v>0</v>
      </c>
      <c r="G101" t="str">
        <f>"00688131"</f>
        <v>00688131</v>
      </c>
      <c r="H101" s="2">
        <v>195000</v>
      </c>
      <c r="I101" t="s">
        <v>26</v>
      </c>
      <c r="J101" s="2">
        <v>2768334.16</v>
      </c>
      <c r="K101" t="s">
        <v>27</v>
      </c>
      <c r="L101">
        <v>5837</v>
      </c>
      <c r="M101" t="str">
        <f>""</f>
        <v/>
      </c>
      <c r="O101">
        <v>1</v>
      </c>
    </row>
    <row r="102" spans="1:17" x14ac:dyDescent="0.25">
      <c r="A102">
        <v>8003879954</v>
      </c>
      <c r="B102">
        <v>3</v>
      </c>
      <c r="C102">
        <v>15022018</v>
      </c>
      <c r="D102">
        <v>299</v>
      </c>
      <c r="E102" t="s">
        <v>506</v>
      </c>
      <c r="F102">
        <v>72</v>
      </c>
      <c r="G102" t="str">
        <f>"283066636"</f>
        <v>283066636</v>
      </c>
      <c r="H102" s="2">
        <v>1.8</v>
      </c>
      <c r="I102" t="s">
        <v>26</v>
      </c>
      <c r="J102" s="2">
        <v>2963334.16</v>
      </c>
      <c r="K102" t="s">
        <v>27</v>
      </c>
      <c r="L102">
        <v>151224</v>
      </c>
      <c r="M102" t="str">
        <f>"00722150218T5328                       U"</f>
        <v>00722150218T5328                       U</v>
      </c>
      <c r="O102">
        <v>1</v>
      </c>
    </row>
    <row r="103" spans="1:17" x14ac:dyDescent="0.25">
      <c r="A103">
        <v>8003879954</v>
      </c>
      <c r="B103">
        <v>2</v>
      </c>
      <c r="C103">
        <v>15022018</v>
      </c>
      <c r="D103">
        <v>415</v>
      </c>
      <c r="E103" s="14" t="str">
        <f>"TELEX/FAX"</f>
        <v>TELEX/FAX</v>
      </c>
      <c r="F103">
        <v>72</v>
      </c>
      <c r="G103" t="str">
        <f>"283066636"</f>
        <v>283066636</v>
      </c>
      <c r="H103" s="2">
        <v>30</v>
      </c>
      <c r="I103" t="s">
        <v>26</v>
      </c>
      <c r="J103" s="2">
        <v>2963335.96</v>
      </c>
      <c r="K103" t="s">
        <v>27</v>
      </c>
      <c r="L103">
        <v>151224</v>
      </c>
      <c r="M103" t="str">
        <f>"00722150218T5328                       U"</f>
        <v>00722150218T5328                       U</v>
      </c>
      <c r="O103">
        <v>1</v>
      </c>
    </row>
    <row r="104" spans="1:17" x14ac:dyDescent="0.25">
      <c r="A104">
        <v>8003879954</v>
      </c>
      <c r="B104">
        <v>1</v>
      </c>
      <c r="C104">
        <v>15022018</v>
      </c>
      <c r="D104">
        <v>349</v>
      </c>
      <c r="E104" t="str">
        <f>"TR TO REMITT"</f>
        <v>TR TO REMITT</v>
      </c>
      <c r="F104">
        <v>72</v>
      </c>
      <c r="G104" t="str">
        <f>"283066636"</f>
        <v>283066636</v>
      </c>
      <c r="H104" s="2">
        <v>98457.5</v>
      </c>
      <c r="I104" t="s">
        <v>26</v>
      </c>
      <c r="J104" s="2">
        <v>2963365.96</v>
      </c>
      <c r="K104" t="s">
        <v>27</v>
      </c>
      <c r="L104">
        <v>151224</v>
      </c>
      <c r="M104" t="str">
        <f>"00722150218T5328                       U"</f>
        <v>00722150218T5328                       U</v>
      </c>
      <c r="O104">
        <v>1</v>
      </c>
    </row>
    <row r="105" spans="1:17" x14ac:dyDescent="0.25">
      <c r="A105">
        <v>8003879954</v>
      </c>
      <c r="B105">
        <v>74</v>
      </c>
      <c r="C105">
        <v>14022018</v>
      </c>
      <c r="D105">
        <v>299</v>
      </c>
      <c r="E105" t="str">
        <f>"GST"</f>
        <v>GST</v>
      </c>
      <c r="H105" s="2">
        <v>0.03</v>
      </c>
      <c r="I105" t="s">
        <v>26</v>
      </c>
      <c r="J105" s="2">
        <v>3061823.46</v>
      </c>
      <c r="K105" t="s">
        <v>27</v>
      </c>
      <c r="L105">
        <v>10145</v>
      </c>
      <c r="M105" t="str">
        <f>""</f>
        <v/>
      </c>
      <c r="O105">
        <v>1</v>
      </c>
    </row>
    <row r="106" spans="1:17" x14ac:dyDescent="0.25">
      <c r="A106">
        <v>8003879954</v>
      </c>
      <c r="B106">
        <v>73</v>
      </c>
      <c r="C106">
        <v>14022018</v>
      </c>
      <c r="D106">
        <v>819</v>
      </c>
      <c r="E106" t="str">
        <f>"CHQ PROCESSING FEE"</f>
        <v>CHQ PROCESSING FEE</v>
      </c>
      <c r="H106" s="2">
        <v>0.5</v>
      </c>
      <c r="I106" t="s">
        <v>26</v>
      </c>
      <c r="J106" s="2">
        <v>3061823.49</v>
      </c>
      <c r="K106" t="s">
        <v>27</v>
      </c>
      <c r="L106">
        <v>10145</v>
      </c>
      <c r="M106" t="str">
        <f>""</f>
        <v/>
      </c>
      <c r="O106">
        <v>1</v>
      </c>
    </row>
    <row r="107" spans="1:17" x14ac:dyDescent="0.25">
      <c r="A107">
        <v>8003879954</v>
      </c>
      <c r="B107">
        <v>72</v>
      </c>
      <c r="C107">
        <v>14022018</v>
      </c>
      <c r="D107">
        <v>321</v>
      </c>
      <c r="E107" t="str">
        <f>"HOUSE CHQ DR"</f>
        <v>HOUSE CHQ DR</v>
      </c>
      <c r="F107">
        <v>0</v>
      </c>
      <c r="G107" t="str">
        <f>"00688118"</f>
        <v>00688118</v>
      </c>
      <c r="H107" s="2">
        <v>24015.119999999999</v>
      </c>
      <c r="I107" t="s">
        <v>26</v>
      </c>
      <c r="J107" s="2">
        <v>3061823.99</v>
      </c>
      <c r="K107" t="s">
        <v>27</v>
      </c>
      <c r="L107">
        <v>5853</v>
      </c>
      <c r="M107" t="str">
        <f>""</f>
        <v/>
      </c>
      <c r="O107">
        <v>1</v>
      </c>
    </row>
    <row r="108" spans="1:17" x14ac:dyDescent="0.25">
      <c r="A108">
        <v>8003879954</v>
      </c>
      <c r="B108">
        <v>71</v>
      </c>
      <c r="C108">
        <v>14022018</v>
      </c>
      <c r="D108">
        <v>343</v>
      </c>
      <c r="E108" t="str">
        <f>"I-PAYMENT"</f>
        <v>I-PAYMENT</v>
      </c>
      <c r="F108">
        <v>9938</v>
      </c>
      <c r="G108" t="str">
        <f>"2018021450366394"</f>
        <v>2018021450366394</v>
      </c>
      <c r="H108" s="2">
        <v>1211.05</v>
      </c>
      <c r="I108" t="s">
        <v>26</v>
      </c>
      <c r="J108" s="2">
        <v>3085839.11</v>
      </c>
      <c r="K108" t="s">
        <v>27</v>
      </c>
      <c r="L108">
        <v>191200</v>
      </c>
      <c r="M108" t="str">
        <f>"Pay to TNB: 220543726302"</f>
        <v>Pay to TNB: 220543726302</v>
      </c>
      <c r="O108">
        <v>1</v>
      </c>
    </row>
    <row r="109" spans="1:17" x14ac:dyDescent="0.25">
      <c r="A109">
        <v>8003879954</v>
      </c>
      <c r="B109">
        <v>70</v>
      </c>
      <c r="C109">
        <v>14022018</v>
      </c>
      <c r="D109">
        <v>341</v>
      </c>
      <c r="E109" t="str">
        <f>"TR IBG"</f>
        <v>TR IBG</v>
      </c>
      <c r="F109">
        <v>9938</v>
      </c>
      <c r="G109" t="str">
        <f>"26585009"</f>
        <v>26585009</v>
      </c>
      <c r="H109" s="2">
        <v>780</v>
      </c>
      <c r="I109" t="s">
        <v>26</v>
      </c>
      <c r="J109" s="2">
        <v>3087050.16</v>
      </c>
      <c r="K109" t="s">
        <v>27</v>
      </c>
      <c r="L109">
        <v>191200</v>
      </c>
      <c r="M109" t="str">
        <f>"YONG SUH YEN"</f>
        <v>YONG SUH YEN</v>
      </c>
      <c r="O109">
        <v>1</v>
      </c>
      <c r="P109" t="str">
        <f>"PGTEFT2983"</f>
        <v>PGTEFT2983</v>
      </c>
      <c r="Q109" t="str">
        <f>"WELCOMING RECEPTION"</f>
        <v>WELCOMING RECEPTION</v>
      </c>
    </row>
    <row r="110" spans="1:17" x14ac:dyDescent="0.25">
      <c r="A110">
        <v>8003879954</v>
      </c>
      <c r="B110">
        <v>69</v>
      </c>
      <c r="C110">
        <v>14022018</v>
      </c>
      <c r="D110">
        <v>299</v>
      </c>
      <c r="E110" t="str">
        <f>"GST"</f>
        <v>GST</v>
      </c>
      <c r="F110">
        <v>9938</v>
      </c>
      <c r="G110" t="str">
        <f>"26585009"</f>
        <v>26585009</v>
      </c>
      <c r="H110" s="2">
        <v>0.01</v>
      </c>
      <c r="I110" t="s">
        <v>26</v>
      </c>
      <c r="J110" s="2">
        <v>3087830.16</v>
      </c>
      <c r="K110" t="s">
        <v>27</v>
      </c>
      <c r="L110">
        <v>191200</v>
      </c>
      <c r="M110" t="str">
        <f>"PGTEFT2983          WELCOMING RECEPTION"</f>
        <v>PGTEFT2983          WELCOMING RECEPTION</v>
      </c>
      <c r="O110">
        <v>1</v>
      </c>
    </row>
    <row r="111" spans="1:17" x14ac:dyDescent="0.25">
      <c r="A111">
        <v>8003879954</v>
      </c>
      <c r="B111">
        <v>68</v>
      </c>
      <c r="C111">
        <v>14022018</v>
      </c>
      <c r="D111">
        <v>489</v>
      </c>
      <c r="E111" t="str">
        <f>"OTHER TRANSFER FEE"</f>
        <v>OTHER TRANSFER FEE</v>
      </c>
      <c r="F111">
        <v>9938</v>
      </c>
      <c r="G111" t="str">
        <f>"26585009"</f>
        <v>26585009</v>
      </c>
      <c r="H111" s="2">
        <v>0.1</v>
      </c>
      <c r="I111" t="s">
        <v>26</v>
      </c>
      <c r="J111" s="2">
        <v>3087830.17</v>
      </c>
      <c r="K111" t="s">
        <v>27</v>
      </c>
      <c r="L111">
        <v>191200</v>
      </c>
      <c r="M111" t="str">
        <f>"PGTEFT2983          WELCOMING RECEPTION"</f>
        <v>PGTEFT2983          WELCOMING RECEPTION</v>
      </c>
      <c r="O111">
        <v>1</v>
      </c>
    </row>
    <row r="112" spans="1:17" x14ac:dyDescent="0.25">
      <c r="A112">
        <v>8003879954</v>
      </c>
      <c r="B112">
        <v>67</v>
      </c>
      <c r="C112">
        <v>14022018</v>
      </c>
      <c r="D112">
        <v>341</v>
      </c>
      <c r="E112" t="str">
        <f>"TR IBG"</f>
        <v>TR IBG</v>
      </c>
      <c r="F112">
        <v>9938</v>
      </c>
      <c r="G112" t="str">
        <f>"26585116"</f>
        <v>26585116</v>
      </c>
      <c r="H112" s="2">
        <v>600</v>
      </c>
      <c r="I112" t="s">
        <v>26</v>
      </c>
      <c r="J112" s="2">
        <v>3087830.27</v>
      </c>
      <c r="K112" t="s">
        <v>27</v>
      </c>
      <c r="L112">
        <v>191200</v>
      </c>
      <c r="M112" t="str">
        <f>"TEOH LAY PHENG"</f>
        <v>TEOH LAY PHENG</v>
      </c>
      <c r="O112">
        <v>1</v>
      </c>
      <c r="P112" t="str">
        <f>"PGTEFT2981"</f>
        <v>PGTEFT2981</v>
      </c>
      <c r="Q112" t="str">
        <f>"WELCOMING RECEPTION"</f>
        <v>WELCOMING RECEPTION</v>
      </c>
    </row>
    <row r="113" spans="1:17" x14ac:dyDescent="0.25">
      <c r="A113">
        <v>8003879954</v>
      </c>
      <c r="B113">
        <v>66</v>
      </c>
      <c r="C113">
        <v>14022018</v>
      </c>
      <c r="D113">
        <v>299</v>
      </c>
      <c r="E113" t="str">
        <f>"GST"</f>
        <v>GST</v>
      </c>
      <c r="F113">
        <v>9938</v>
      </c>
      <c r="G113" t="str">
        <f>"26585116"</f>
        <v>26585116</v>
      </c>
      <c r="H113" s="2">
        <v>0.01</v>
      </c>
      <c r="I113" t="s">
        <v>26</v>
      </c>
      <c r="J113" s="2">
        <v>3088430.27</v>
      </c>
      <c r="K113" t="s">
        <v>27</v>
      </c>
      <c r="L113">
        <v>191200</v>
      </c>
      <c r="M113" t="str">
        <f>"PGTEFT2981          WELCOMING RECEPTION"</f>
        <v>PGTEFT2981          WELCOMING RECEPTION</v>
      </c>
      <c r="O113">
        <v>1</v>
      </c>
    </row>
    <row r="114" spans="1:17" x14ac:dyDescent="0.25">
      <c r="A114">
        <v>8003879954</v>
      </c>
      <c r="B114">
        <v>65</v>
      </c>
      <c r="C114">
        <v>14022018</v>
      </c>
      <c r="D114">
        <v>489</v>
      </c>
      <c r="E114" t="str">
        <f>"OTHER TRANSFER FEE"</f>
        <v>OTHER TRANSFER FEE</v>
      </c>
      <c r="F114">
        <v>9938</v>
      </c>
      <c r="G114" t="str">
        <f>"26585116"</f>
        <v>26585116</v>
      </c>
      <c r="H114" s="2">
        <v>0.1</v>
      </c>
      <c r="I114" t="s">
        <v>26</v>
      </c>
      <c r="J114" s="2">
        <v>3088430.28</v>
      </c>
      <c r="K114" t="s">
        <v>27</v>
      </c>
      <c r="L114">
        <v>191200</v>
      </c>
      <c r="M114" t="str">
        <f>"PGTEFT2981          WELCOMING RECEPTION"</f>
        <v>PGTEFT2981          WELCOMING RECEPTION</v>
      </c>
      <c r="O114">
        <v>1</v>
      </c>
    </row>
    <row r="115" spans="1:17" x14ac:dyDescent="0.25">
      <c r="A115">
        <v>8003879954</v>
      </c>
      <c r="B115">
        <v>64</v>
      </c>
      <c r="C115">
        <v>14022018</v>
      </c>
      <c r="D115">
        <v>341</v>
      </c>
      <c r="E115" t="str">
        <f>"TR IBG"</f>
        <v>TR IBG</v>
      </c>
      <c r="F115">
        <v>9938</v>
      </c>
      <c r="G115" t="str">
        <f>"26585206"</f>
        <v>26585206</v>
      </c>
      <c r="H115" s="2">
        <v>424</v>
      </c>
      <c r="I115" t="s">
        <v>26</v>
      </c>
      <c r="J115" s="2">
        <v>3088430.38</v>
      </c>
      <c r="K115" t="s">
        <v>27</v>
      </c>
      <c r="L115">
        <v>191200</v>
      </c>
      <c r="M115" t="str">
        <f>"TLM EVENT SDN BHD"</f>
        <v>TLM EVENT SDN BHD</v>
      </c>
      <c r="O115">
        <v>1</v>
      </c>
      <c r="P115" t="str">
        <f>"PGTEFT2979"</f>
        <v>PGTEFT2979</v>
      </c>
      <c r="Q115" t="str">
        <f>"INV18-005"</f>
        <v>INV18-005</v>
      </c>
    </row>
    <row r="116" spans="1:17" x14ac:dyDescent="0.25">
      <c r="A116">
        <v>8003879954</v>
      </c>
      <c r="B116">
        <v>63</v>
      </c>
      <c r="C116">
        <v>14022018</v>
      </c>
      <c r="D116">
        <v>299</v>
      </c>
      <c r="E116" t="str">
        <f>"GST"</f>
        <v>GST</v>
      </c>
      <c r="F116">
        <v>9938</v>
      </c>
      <c r="G116" t="str">
        <f>"26585206"</f>
        <v>26585206</v>
      </c>
      <c r="H116" s="2">
        <v>0.01</v>
      </c>
      <c r="I116" t="s">
        <v>26</v>
      </c>
      <c r="J116" s="2">
        <v>3088854.38</v>
      </c>
      <c r="K116" t="s">
        <v>27</v>
      </c>
      <c r="L116">
        <v>191200</v>
      </c>
      <c r="M116" t="str">
        <f>"PGTEFT2979          INV18-005"</f>
        <v>PGTEFT2979          INV18-005</v>
      </c>
      <c r="O116">
        <v>1</v>
      </c>
    </row>
    <row r="117" spans="1:17" x14ac:dyDescent="0.25">
      <c r="A117">
        <v>8003879954</v>
      </c>
      <c r="B117">
        <v>62</v>
      </c>
      <c r="C117">
        <v>14022018</v>
      </c>
      <c r="D117">
        <v>489</v>
      </c>
      <c r="E117" t="str">
        <f>"OTHER TRANSFER FEE"</f>
        <v>OTHER TRANSFER FEE</v>
      </c>
      <c r="F117">
        <v>9938</v>
      </c>
      <c r="G117" t="str">
        <f>"26585206"</f>
        <v>26585206</v>
      </c>
      <c r="H117" s="2">
        <v>0.1</v>
      </c>
      <c r="I117" t="s">
        <v>26</v>
      </c>
      <c r="J117" s="2">
        <v>3088854.39</v>
      </c>
      <c r="K117" t="s">
        <v>27</v>
      </c>
      <c r="L117">
        <v>191200</v>
      </c>
      <c r="M117" t="str">
        <f>"PGTEFT2979          INV18-005"</f>
        <v>PGTEFT2979          INV18-005</v>
      </c>
      <c r="O117">
        <v>1</v>
      </c>
    </row>
    <row r="118" spans="1:17" x14ac:dyDescent="0.25">
      <c r="A118">
        <v>8003879954</v>
      </c>
      <c r="B118">
        <v>61</v>
      </c>
      <c r="C118">
        <v>14022018</v>
      </c>
      <c r="D118">
        <v>341</v>
      </c>
      <c r="E118" t="str">
        <f>"TR IBG"</f>
        <v>TR IBG</v>
      </c>
      <c r="F118">
        <v>9938</v>
      </c>
      <c r="G118" t="str">
        <f>"26584966"</f>
        <v>26584966</v>
      </c>
      <c r="H118" s="2">
        <v>63.2</v>
      </c>
      <c r="I118" t="s">
        <v>26</v>
      </c>
      <c r="J118" s="2">
        <v>3088854.49</v>
      </c>
      <c r="K118" t="s">
        <v>27</v>
      </c>
      <c r="L118">
        <v>191200</v>
      </c>
      <c r="M118" t="str">
        <f>"WEB ASP SDN BHD"</f>
        <v>WEB ASP SDN BHD</v>
      </c>
      <c r="O118">
        <v>1</v>
      </c>
      <c r="P118" t="str">
        <f>"PGTEFT2984"</f>
        <v>PGTEFT2984</v>
      </c>
      <c r="Q118" t="str">
        <f>"ACC1618-3542"</f>
        <v>ACC1618-3542</v>
      </c>
    </row>
    <row r="119" spans="1:17" x14ac:dyDescent="0.25">
      <c r="A119">
        <v>8003879954</v>
      </c>
      <c r="B119">
        <v>60</v>
      </c>
      <c r="C119">
        <v>14022018</v>
      </c>
      <c r="D119">
        <v>299</v>
      </c>
      <c r="E119" t="str">
        <f>"GST"</f>
        <v>GST</v>
      </c>
      <c r="F119">
        <v>9938</v>
      </c>
      <c r="G119" t="str">
        <f>"26584966"</f>
        <v>26584966</v>
      </c>
      <c r="H119" s="2">
        <v>0.01</v>
      </c>
      <c r="I119" t="s">
        <v>26</v>
      </c>
      <c r="J119" s="2">
        <v>3088917.69</v>
      </c>
      <c r="K119" t="s">
        <v>27</v>
      </c>
      <c r="L119">
        <v>191200</v>
      </c>
      <c r="M119" t="str">
        <f>"PGTEFT2984          ACC1618-3542"</f>
        <v>PGTEFT2984          ACC1618-3542</v>
      </c>
      <c r="O119">
        <v>1</v>
      </c>
    </row>
    <row r="120" spans="1:17" x14ac:dyDescent="0.25">
      <c r="A120">
        <v>8003879954</v>
      </c>
      <c r="B120">
        <v>59</v>
      </c>
      <c r="C120">
        <v>14022018</v>
      </c>
      <c r="D120">
        <v>489</v>
      </c>
      <c r="E120" t="str">
        <f>"OTHER TRANSFER FEE"</f>
        <v>OTHER TRANSFER FEE</v>
      </c>
      <c r="F120">
        <v>9938</v>
      </c>
      <c r="G120" t="str">
        <f>"26584966"</f>
        <v>26584966</v>
      </c>
      <c r="H120" s="2">
        <v>0.1</v>
      </c>
      <c r="I120" t="s">
        <v>26</v>
      </c>
      <c r="J120" s="2">
        <v>3088917.7</v>
      </c>
      <c r="K120" t="s">
        <v>27</v>
      </c>
      <c r="L120">
        <v>191200</v>
      </c>
      <c r="M120" t="str">
        <f>"PGTEFT2984          ACC1618-3542"</f>
        <v>PGTEFT2984          ACC1618-3542</v>
      </c>
      <c r="O120">
        <v>1</v>
      </c>
    </row>
    <row r="121" spans="1:17" x14ac:dyDescent="0.25">
      <c r="A121">
        <v>8003879954</v>
      </c>
      <c r="B121">
        <v>58</v>
      </c>
      <c r="C121">
        <v>14022018</v>
      </c>
      <c r="D121">
        <v>341</v>
      </c>
      <c r="E121" t="str">
        <f>"TR IBG"</f>
        <v>TR IBG</v>
      </c>
      <c r="F121">
        <v>9938</v>
      </c>
      <c r="G121" t="str">
        <f>"26585050"</f>
        <v>26585050</v>
      </c>
      <c r="H121" s="2">
        <v>180</v>
      </c>
      <c r="I121" t="s">
        <v>26</v>
      </c>
      <c r="J121" s="2">
        <v>3088917.8</v>
      </c>
      <c r="K121" t="s">
        <v>27</v>
      </c>
      <c r="L121">
        <v>191159</v>
      </c>
      <c r="M121" t="str">
        <f>"YEAP KAM MOEY"</f>
        <v>YEAP KAM MOEY</v>
      </c>
      <c r="O121">
        <v>1</v>
      </c>
      <c r="P121" t="str">
        <f>"PGTEFT2982"</f>
        <v>PGTEFT2982</v>
      </c>
      <c r="Q121" t="str">
        <f>"1ST 2ND JAN"</f>
        <v>1ST 2ND JAN</v>
      </c>
    </row>
    <row r="122" spans="1:17" x14ac:dyDescent="0.25">
      <c r="A122">
        <v>8003879954</v>
      </c>
      <c r="B122">
        <v>57</v>
      </c>
      <c r="C122">
        <v>14022018</v>
      </c>
      <c r="D122">
        <v>299</v>
      </c>
      <c r="E122" t="str">
        <f>"GST"</f>
        <v>GST</v>
      </c>
      <c r="F122">
        <v>9938</v>
      </c>
      <c r="G122" t="str">
        <f>"26585050"</f>
        <v>26585050</v>
      </c>
      <c r="H122" s="2">
        <v>0.01</v>
      </c>
      <c r="I122" t="s">
        <v>26</v>
      </c>
      <c r="J122" s="2">
        <v>3089097.8</v>
      </c>
      <c r="K122" t="s">
        <v>27</v>
      </c>
      <c r="L122">
        <v>191159</v>
      </c>
      <c r="M122" t="str">
        <f>"PGTEFT2982          1ST 2ND JAN"</f>
        <v>PGTEFT2982          1ST 2ND JAN</v>
      </c>
      <c r="O122">
        <v>1</v>
      </c>
    </row>
    <row r="123" spans="1:17" x14ac:dyDescent="0.25">
      <c r="A123">
        <v>8003879954</v>
      </c>
      <c r="B123">
        <v>56</v>
      </c>
      <c r="C123">
        <v>14022018</v>
      </c>
      <c r="D123">
        <v>489</v>
      </c>
      <c r="E123" t="str">
        <f>"OTHER TRANSFER FEE"</f>
        <v>OTHER TRANSFER FEE</v>
      </c>
      <c r="F123">
        <v>9938</v>
      </c>
      <c r="G123" t="str">
        <f>"26585050"</f>
        <v>26585050</v>
      </c>
      <c r="H123" s="2">
        <v>0.1</v>
      </c>
      <c r="I123" t="s">
        <v>26</v>
      </c>
      <c r="J123" s="2">
        <v>3089097.81</v>
      </c>
      <c r="K123" t="s">
        <v>27</v>
      </c>
      <c r="L123">
        <v>191159</v>
      </c>
      <c r="M123" t="str">
        <f>"PGTEFT2982          1ST 2ND JAN"</f>
        <v>PGTEFT2982          1ST 2ND JAN</v>
      </c>
      <c r="O123">
        <v>1</v>
      </c>
    </row>
    <row r="124" spans="1:17" x14ac:dyDescent="0.25">
      <c r="A124">
        <v>8003879954</v>
      </c>
      <c r="B124">
        <v>55</v>
      </c>
      <c r="C124">
        <v>14022018</v>
      </c>
      <c r="D124">
        <v>343</v>
      </c>
      <c r="E124" t="str">
        <f>"I-PAYMENT"</f>
        <v>I-PAYMENT</v>
      </c>
      <c r="F124">
        <v>9938</v>
      </c>
      <c r="G124" t="str">
        <f>"2018021450366431"</f>
        <v>2018021450366431</v>
      </c>
      <c r="H124" s="2">
        <v>18.149999999999999</v>
      </c>
      <c r="I124" t="s">
        <v>26</v>
      </c>
      <c r="J124" s="2">
        <v>3089097.91</v>
      </c>
      <c r="K124" t="s">
        <v>27</v>
      </c>
      <c r="L124">
        <v>191159</v>
      </c>
      <c r="M124" t="str">
        <f>"Pay to TNB: 220543740007"</f>
        <v>Pay to TNB: 220543740007</v>
      </c>
      <c r="O124">
        <v>1</v>
      </c>
    </row>
    <row r="125" spans="1:17" x14ac:dyDescent="0.25">
      <c r="A125">
        <v>8003879954</v>
      </c>
      <c r="B125">
        <v>54</v>
      </c>
      <c r="C125">
        <v>14022018</v>
      </c>
      <c r="D125">
        <v>60</v>
      </c>
      <c r="E125" t="str">
        <f>"TR TO C/A"</f>
        <v>TR TO C/A</v>
      </c>
      <c r="F125">
        <v>9938</v>
      </c>
      <c r="G125" t="str">
        <f>"26585161"</f>
        <v>26585161</v>
      </c>
      <c r="H125" s="2">
        <v>360</v>
      </c>
      <c r="I125" t="s">
        <v>26</v>
      </c>
      <c r="J125" s="2">
        <v>3089116.06</v>
      </c>
      <c r="K125" t="s">
        <v>27</v>
      </c>
      <c r="L125">
        <v>191159</v>
      </c>
      <c r="M125" t="str">
        <f>"GUIDE FEE FOR JAN &amp;  TOH KIM HOCK"</f>
        <v>GUIDE FEE FOR JAN &amp;  TOH KIM HOCK</v>
      </c>
      <c r="O125">
        <v>1</v>
      </c>
      <c r="P125" t="str">
        <f>"PGTEFT2980"</f>
        <v>PGTEFT2980</v>
      </c>
      <c r="Q125" t="str">
        <f>"INV138A 138T"</f>
        <v>INV138A 138T</v>
      </c>
    </row>
    <row r="126" spans="1:17" x14ac:dyDescent="0.25">
      <c r="A126">
        <v>8003879954</v>
      </c>
      <c r="B126">
        <v>53</v>
      </c>
      <c r="C126">
        <v>14022018</v>
      </c>
      <c r="D126">
        <v>341</v>
      </c>
      <c r="E126" t="str">
        <f>"TR IBG"</f>
        <v>TR IBG</v>
      </c>
      <c r="F126">
        <v>9938</v>
      </c>
      <c r="G126" t="str">
        <f>"26585251"</f>
        <v>26585251</v>
      </c>
      <c r="H126" s="2">
        <v>349.8</v>
      </c>
      <c r="I126" t="s">
        <v>26</v>
      </c>
      <c r="J126" s="2">
        <v>3089476.06</v>
      </c>
      <c r="K126" t="s">
        <v>27</v>
      </c>
      <c r="L126">
        <v>191159</v>
      </c>
      <c r="M126" t="str">
        <f>"TOP ONE DIGITAL SHOP"</f>
        <v>TOP ONE DIGITAL SHOP</v>
      </c>
      <c r="O126">
        <v>1</v>
      </c>
      <c r="P126" t="str">
        <f>"PGTEFT2978"</f>
        <v>PGTEFT2978</v>
      </c>
      <c r="Q126" t="str">
        <f>"IV-0028530"</f>
        <v>IV-0028530</v>
      </c>
    </row>
    <row r="127" spans="1:17" x14ac:dyDescent="0.25">
      <c r="A127">
        <v>8003879954</v>
      </c>
      <c r="B127">
        <v>52</v>
      </c>
      <c r="C127">
        <v>14022018</v>
      </c>
      <c r="D127">
        <v>299</v>
      </c>
      <c r="E127" t="str">
        <f>"GST"</f>
        <v>GST</v>
      </c>
      <c r="F127">
        <v>9938</v>
      </c>
      <c r="G127" t="str">
        <f>"26585251"</f>
        <v>26585251</v>
      </c>
      <c r="H127" s="2">
        <v>0.01</v>
      </c>
      <c r="I127" t="s">
        <v>26</v>
      </c>
      <c r="J127" s="2">
        <v>3089825.86</v>
      </c>
      <c r="K127" t="s">
        <v>27</v>
      </c>
      <c r="L127">
        <v>191159</v>
      </c>
      <c r="M127" t="str">
        <f>"PGTEFT2978          IV-0028530"</f>
        <v>PGTEFT2978          IV-0028530</v>
      </c>
      <c r="O127">
        <v>1</v>
      </c>
    </row>
    <row r="128" spans="1:17" x14ac:dyDescent="0.25">
      <c r="A128">
        <v>8003879954</v>
      </c>
      <c r="B128">
        <v>51</v>
      </c>
      <c r="C128">
        <v>14022018</v>
      </c>
      <c r="D128">
        <v>489</v>
      </c>
      <c r="E128" t="str">
        <f>"OTHER TRANSFER FEE"</f>
        <v>OTHER TRANSFER FEE</v>
      </c>
      <c r="F128">
        <v>9938</v>
      </c>
      <c r="G128" t="str">
        <f>"26585251"</f>
        <v>26585251</v>
      </c>
      <c r="H128" s="2">
        <v>0.1</v>
      </c>
      <c r="I128" t="s">
        <v>26</v>
      </c>
      <c r="J128" s="2">
        <v>3089825.87</v>
      </c>
      <c r="K128" t="s">
        <v>27</v>
      </c>
      <c r="L128">
        <v>191159</v>
      </c>
      <c r="M128" t="str">
        <f>"PGTEFT2978          IV-0028530"</f>
        <v>PGTEFT2978          IV-0028530</v>
      </c>
      <c r="O128">
        <v>1</v>
      </c>
    </row>
    <row r="129" spans="1:17" x14ac:dyDescent="0.25">
      <c r="A129">
        <v>8003879954</v>
      </c>
      <c r="B129">
        <v>50</v>
      </c>
      <c r="C129">
        <v>14022018</v>
      </c>
      <c r="D129">
        <v>341</v>
      </c>
      <c r="E129" t="str">
        <f>"TR IBG"</f>
        <v>TR IBG</v>
      </c>
      <c r="F129">
        <v>9938</v>
      </c>
      <c r="G129" t="str">
        <f>"26585718"</f>
        <v>26585718</v>
      </c>
      <c r="H129" s="2">
        <v>5000</v>
      </c>
      <c r="I129" t="s">
        <v>26</v>
      </c>
      <c r="J129" s="2">
        <v>3089825.97</v>
      </c>
      <c r="K129" t="s">
        <v>27</v>
      </c>
      <c r="L129">
        <v>190836</v>
      </c>
      <c r="M129" t="str">
        <f>"NORIZEIGHT VENTURES"</f>
        <v>NORIZEIGHT VENTURES</v>
      </c>
      <c r="O129">
        <v>1</v>
      </c>
      <c r="P129" t="str">
        <f>"PGTEFT2967"</f>
        <v>PGTEFT2967</v>
      </c>
      <c r="Q129" t="str">
        <f>"NV2292"</f>
        <v>NV2292</v>
      </c>
    </row>
    <row r="130" spans="1:17" x14ac:dyDescent="0.25">
      <c r="A130">
        <v>8003879954</v>
      </c>
      <c r="B130">
        <v>49</v>
      </c>
      <c r="C130">
        <v>14022018</v>
      </c>
      <c r="D130">
        <v>299</v>
      </c>
      <c r="E130" t="str">
        <f>"GST"</f>
        <v>GST</v>
      </c>
      <c r="F130">
        <v>9938</v>
      </c>
      <c r="G130" t="str">
        <f>"26585718"</f>
        <v>26585718</v>
      </c>
      <c r="H130" s="2">
        <v>0.01</v>
      </c>
      <c r="I130" t="s">
        <v>26</v>
      </c>
      <c r="J130" s="2">
        <v>3094825.97</v>
      </c>
      <c r="K130" t="s">
        <v>27</v>
      </c>
      <c r="L130">
        <v>190836</v>
      </c>
      <c r="M130" t="str">
        <f>"PGTEFT2967          NV2292"</f>
        <v>PGTEFT2967          NV2292</v>
      </c>
      <c r="O130">
        <v>1</v>
      </c>
    </row>
    <row r="131" spans="1:17" x14ac:dyDescent="0.25">
      <c r="A131">
        <v>8003879954</v>
      </c>
      <c r="B131">
        <v>48</v>
      </c>
      <c r="C131">
        <v>14022018</v>
      </c>
      <c r="D131">
        <v>489</v>
      </c>
      <c r="E131" t="str">
        <f>"OTHER TRANSFER FEE"</f>
        <v>OTHER TRANSFER FEE</v>
      </c>
      <c r="F131">
        <v>9938</v>
      </c>
      <c r="G131" t="str">
        <f>"26585718"</f>
        <v>26585718</v>
      </c>
      <c r="H131" s="2">
        <v>0.1</v>
      </c>
      <c r="I131" t="s">
        <v>26</v>
      </c>
      <c r="J131" s="2">
        <v>3094825.98</v>
      </c>
      <c r="K131" t="s">
        <v>27</v>
      </c>
      <c r="L131">
        <v>190836</v>
      </c>
      <c r="M131" t="str">
        <f>"PGTEFT2967          NV2292"</f>
        <v>PGTEFT2967          NV2292</v>
      </c>
      <c r="O131">
        <v>1</v>
      </c>
    </row>
    <row r="132" spans="1:17" x14ac:dyDescent="0.25">
      <c r="A132">
        <v>8003879954</v>
      </c>
      <c r="B132">
        <v>47</v>
      </c>
      <c r="C132">
        <v>14022018</v>
      </c>
      <c r="D132">
        <v>341</v>
      </c>
      <c r="E132" t="str">
        <f>"TR IBG"</f>
        <v>TR IBG</v>
      </c>
      <c r="F132">
        <v>9938</v>
      </c>
      <c r="G132" t="str">
        <f>"26585660"</f>
        <v>26585660</v>
      </c>
      <c r="H132" s="2">
        <v>360</v>
      </c>
      <c r="I132" t="s">
        <v>26</v>
      </c>
      <c r="J132" s="2">
        <v>3094826.08</v>
      </c>
      <c r="K132" t="s">
        <v>27</v>
      </c>
      <c r="L132">
        <v>190836</v>
      </c>
      <c r="M132" t="str">
        <f>"ONG YEN MENG"</f>
        <v>ONG YEN MENG</v>
      </c>
      <c r="O132">
        <v>1</v>
      </c>
      <c r="P132" t="str">
        <f>"PGTEFT2969"</f>
        <v>PGTEFT2969</v>
      </c>
      <c r="Q132" t="str">
        <f>"WELCOMING RECEPTION"</f>
        <v>WELCOMING RECEPTION</v>
      </c>
    </row>
    <row r="133" spans="1:17" x14ac:dyDescent="0.25">
      <c r="A133">
        <v>8003879954</v>
      </c>
      <c r="B133">
        <v>46</v>
      </c>
      <c r="C133">
        <v>14022018</v>
      </c>
      <c r="D133">
        <v>299</v>
      </c>
      <c r="E133" t="str">
        <f>"GST"</f>
        <v>GST</v>
      </c>
      <c r="F133">
        <v>9938</v>
      </c>
      <c r="G133" t="str">
        <f>"26585660"</f>
        <v>26585660</v>
      </c>
      <c r="H133" s="2">
        <v>0.01</v>
      </c>
      <c r="I133" t="s">
        <v>26</v>
      </c>
      <c r="J133" s="2">
        <v>3095186.08</v>
      </c>
      <c r="K133" t="s">
        <v>27</v>
      </c>
      <c r="L133">
        <v>190836</v>
      </c>
      <c r="M133" t="str">
        <f>"PGTEFT2969          WELCOMING RECEPTION"</f>
        <v>PGTEFT2969          WELCOMING RECEPTION</v>
      </c>
      <c r="O133">
        <v>1</v>
      </c>
    </row>
    <row r="134" spans="1:17" x14ac:dyDescent="0.25">
      <c r="A134">
        <v>8003879954</v>
      </c>
      <c r="B134">
        <v>45</v>
      </c>
      <c r="C134">
        <v>14022018</v>
      </c>
      <c r="D134">
        <v>489</v>
      </c>
      <c r="E134" t="str">
        <f>"OTHER TRANSFER FEE"</f>
        <v>OTHER TRANSFER FEE</v>
      </c>
      <c r="F134">
        <v>9938</v>
      </c>
      <c r="G134" t="str">
        <f>"26585660"</f>
        <v>26585660</v>
      </c>
      <c r="H134" s="2">
        <v>0.1</v>
      </c>
      <c r="I134" t="s">
        <v>26</v>
      </c>
      <c r="J134" s="2">
        <v>3095186.09</v>
      </c>
      <c r="K134" t="s">
        <v>27</v>
      </c>
      <c r="L134">
        <v>190836</v>
      </c>
      <c r="M134" t="str">
        <f>"PGTEFT2969          WELCOMING RECEPTION"</f>
        <v>PGTEFT2969          WELCOMING RECEPTION</v>
      </c>
      <c r="O134">
        <v>1</v>
      </c>
    </row>
    <row r="135" spans="1:17" x14ac:dyDescent="0.25">
      <c r="A135">
        <v>8003879954</v>
      </c>
      <c r="B135">
        <v>44</v>
      </c>
      <c r="C135">
        <v>14022018</v>
      </c>
      <c r="D135">
        <v>341</v>
      </c>
      <c r="E135" t="str">
        <f>"TR IBG"</f>
        <v>TR IBG</v>
      </c>
      <c r="F135">
        <v>9938</v>
      </c>
      <c r="G135" t="str">
        <f>"26585485"</f>
        <v>26585485</v>
      </c>
      <c r="H135" s="2">
        <v>1270.94</v>
      </c>
      <c r="I135" t="s">
        <v>26</v>
      </c>
      <c r="J135" s="2">
        <v>3095186.19</v>
      </c>
      <c r="K135" t="s">
        <v>27</v>
      </c>
      <c r="L135">
        <v>190836</v>
      </c>
      <c r="M135" t="str">
        <f>"REDTONE TELECOMMUNIC"</f>
        <v>REDTONE TELECOMMUNIC</v>
      </c>
      <c r="O135">
        <v>1</v>
      </c>
      <c r="P135" t="str">
        <f>"PGTEFT2973"</f>
        <v>PGTEFT2973</v>
      </c>
      <c r="Q135" t="str">
        <f>"ACC310828"</f>
        <v>ACC310828</v>
      </c>
    </row>
    <row r="136" spans="1:17" x14ac:dyDescent="0.25">
      <c r="A136">
        <v>8003879954</v>
      </c>
      <c r="B136">
        <v>43</v>
      </c>
      <c r="C136">
        <v>14022018</v>
      </c>
      <c r="D136">
        <v>299</v>
      </c>
      <c r="E136" t="str">
        <f>"GST"</f>
        <v>GST</v>
      </c>
      <c r="F136">
        <v>9938</v>
      </c>
      <c r="G136" t="str">
        <f>"26585485"</f>
        <v>26585485</v>
      </c>
      <c r="H136" s="2">
        <v>0.01</v>
      </c>
      <c r="I136" t="s">
        <v>26</v>
      </c>
      <c r="J136" s="2">
        <v>3096457.13</v>
      </c>
      <c r="K136" t="s">
        <v>27</v>
      </c>
      <c r="L136">
        <v>190836</v>
      </c>
      <c r="M136" t="str">
        <f>"PGTEFT2973          ACC310828"</f>
        <v>PGTEFT2973          ACC310828</v>
      </c>
      <c r="O136">
        <v>1</v>
      </c>
    </row>
    <row r="137" spans="1:17" x14ac:dyDescent="0.25">
      <c r="A137">
        <v>8003879954</v>
      </c>
      <c r="B137">
        <v>42</v>
      </c>
      <c r="C137">
        <v>14022018</v>
      </c>
      <c r="D137">
        <v>489</v>
      </c>
      <c r="E137" t="str">
        <f>"OTHER TRANSFER FEE"</f>
        <v>OTHER TRANSFER FEE</v>
      </c>
      <c r="F137">
        <v>9938</v>
      </c>
      <c r="G137" t="str">
        <f>"26585485"</f>
        <v>26585485</v>
      </c>
      <c r="H137" s="2">
        <v>0.1</v>
      </c>
      <c r="I137" t="s">
        <v>26</v>
      </c>
      <c r="J137" s="2">
        <v>3096457.14</v>
      </c>
      <c r="K137" t="s">
        <v>27</v>
      </c>
      <c r="L137">
        <v>190836</v>
      </c>
      <c r="M137" t="str">
        <f>"PGTEFT2973          ACC310828"</f>
        <v>PGTEFT2973          ACC310828</v>
      </c>
      <c r="O137">
        <v>1</v>
      </c>
    </row>
    <row r="138" spans="1:17" x14ac:dyDescent="0.25">
      <c r="A138">
        <v>8003879954</v>
      </c>
      <c r="B138">
        <v>41</v>
      </c>
      <c r="C138">
        <v>14022018</v>
      </c>
      <c r="D138">
        <v>343</v>
      </c>
      <c r="E138" t="str">
        <f>"I-PAYMENT"</f>
        <v>I-PAYMENT</v>
      </c>
      <c r="F138">
        <v>9938</v>
      </c>
      <c r="G138" t="str">
        <f>"2018021450365740"</f>
        <v>2018021450365740</v>
      </c>
      <c r="H138" s="2">
        <v>630.20000000000005</v>
      </c>
      <c r="I138" t="s">
        <v>26</v>
      </c>
      <c r="J138" s="2">
        <v>3096457.24</v>
      </c>
      <c r="K138" t="s">
        <v>27</v>
      </c>
      <c r="L138">
        <v>190836</v>
      </c>
      <c r="M138" t="str">
        <f>"Pay to TNB: 220543728710"</f>
        <v>Pay to TNB: 220543728710</v>
      </c>
      <c r="O138">
        <v>1</v>
      </c>
    </row>
    <row r="139" spans="1:17" x14ac:dyDescent="0.25">
      <c r="A139">
        <v>8003879954</v>
      </c>
      <c r="B139">
        <v>40</v>
      </c>
      <c r="C139">
        <v>14022018</v>
      </c>
      <c r="D139">
        <v>341</v>
      </c>
      <c r="E139" t="str">
        <f>"TR IBG"</f>
        <v>TR IBG</v>
      </c>
      <c r="F139">
        <v>9938</v>
      </c>
      <c r="G139" t="str">
        <f>"26585545"</f>
        <v>26585545</v>
      </c>
      <c r="H139" s="2">
        <v>4358</v>
      </c>
      <c r="I139" t="s">
        <v>26</v>
      </c>
      <c r="J139" s="2">
        <v>3097087.44</v>
      </c>
      <c r="K139" t="s">
        <v>27</v>
      </c>
      <c r="L139">
        <v>190836</v>
      </c>
      <c r="M139" t="str">
        <f>"PGCC SALES &amp; SERVICE"</f>
        <v>PGCC SALES &amp; SERVICE</v>
      </c>
      <c r="O139">
        <v>1</v>
      </c>
      <c r="P139" t="str">
        <f>"PGTEFT2971"</f>
        <v>PGTEFT2971</v>
      </c>
      <c r="Q139" t="str">
        <f>"INV9909-18"</f>
        <v>INV9909-18</v>
      </c>
    </row>
    <row r="140" spans="1:17" x14ac:dyDescent="0.25">
      <c r="A140">
        <v>8003879954</v>
      </c>
      <c r="B140">
        <v>39</v>
      </c>
      <c r="C140">
        <v>14022018</v>
      </c>
      <c r="D140">
        <v>299</v>
      </c>
      <c r="E140" t="str">
        <f>"GST"</f>
        <v>GST</v>
      </c>
      <c r="F140">
        <v>9938</v>
      </c>
      <c r="G140" t="str">
        <f>"26585545"</f>
        <v>26585545</v>
      </c>
      <c r="H140" s="2">
        <v>0.01</v>
      </c>
      <c r="I140" t="s">
        <v>26</v>
      </c>
      <c r="J140" s="2">
        <v>3101445.44</v>
      </c>
      <c r="K140" t="s">
        <v>27</v>
      </c>
      <c r="L140">
        <v>190836</v>
      </c>
      <c r="M140" t="str">
        <f>"PGTEFT2971          INV9909-18"</f>
        <v>PGTEFT2971          INV9909-18</v>
      </c>
      <c r="O140">
        <v>1</v>
      </c>
    </row>
    <row r="141" spans="1:17" x14ac:dyDescent="0.25">
      <c r="A141">
        <v>8003879954</v>
      </c>
      <c r="B141">
        <v>38</v>
      </c>
      <c r="C141">
        <v>14022018</v>
      </c>
      <c r="D141">
        <v>489</v>
      </c>
      <c r="E141" t="str">
        <f>"OTHER TRANSFER FEE"</f>
        <v>OTHER TRANSFER FEE</v>
      </c>
      <c r="F141">
        <v>9938</v>
      </c>
      <c r="G141" t="str">
        <f>"26585545"</f>
        <v>26585545</v>
      </c>
      <c r="H141" s="2">
        <v>0.1</v>
      </c>
      <c r="I141" t="s">
        <v>26</v>
      </c>
      <c r="J141" s="2">
        <v>3101445.45</v>
      </c>
      <c r="K141" t="s">
        <v>27</v>
      </c>
      <c r="L141">
        <v>190836</v>
      </c>
      <c r="M141" t="str">
        <f>"PGTEFT2971          INV9909-18"</f>
        <v>PGTEFT2971          INV9909-18</v>
      </c>
      <c r="O141">
        <v>1</v>
      </c>
    </row>
    <row r="142" spans="1:17" x14ac:dyDescent="0.25">
      <c r="A142">
        <v>8003879954</v>
      </c>
      <c r="B142">
        <v>37</v>
      </c>
      <c r="C142">
        <v>14022018</v>
      </c>
      <c r="D142">
        <v>341</v>
      </c>
      <c r="E142" t="str">
        <f>"TR IBG"</f>
        <v>TR IBG</v>
      </c>
      <c r="F142">
        <v>9938</v>
      </c>
      <c r="G142" t="str">
        <f>"26585807"</f>
        <v>26585807</v>
      </c>
      <c r="H142" s="2">
        <v>8000</v>
      </c>
      <c r="I142" t="s">
        <v>26</v>
      </c>
      <c r="J142" s="2">
        <v>3101445.55</v>
      </c>
      <c r="K142" t="s">
        <v>27</v>
      </c>
      <c r="L142">
        <v>190835</v>
      </c>
      <c r="M142" t="str">
        <f>"MAJLIS KEBUDAYAAN NE"</f>
        <v>MAJLIS KEBUDAYAAN NE</v>
      </c>
      <c r="O142">
        <v>1</v>
      </c>
      <c r="P142" t="str">
        <f>"PGTEFT2966"</f>
        <v>PGTEFT2966</v>
      </c>
      <c r="Q142" t="str">
        <f>"WELCOMING RECEPTION"</f>
        <v>WELCOMING RECEPTION</v>
      </c>
    </row>
    <row r="143" spans="1:17" x14ac:dyDescent="0.25">
      <c r="A143">
        <v>8003879954</v>
      </c>
      <c r="B143">
        <v>36</v>
      </c>
      <c r="C143">
        <v>14022018</v>
      </c>
      <c r="D143">
        <v>299</v>
      </c>
      <c r="E143" t="str">
        <f>"GST"</f>
        <v>GST</v>
      </c>
      <c r="F143">
        <v>9938</v>
      </c>
      <c r="G143" t="str">
        <f>"26585807"</f>
        <v>26585807</v>
      </c>
      <c r="H143" s="2">
        <v>0.01</v>
      </c>
      <c r="I143" t="s">
        <v>26</v>
      </c>
      <c r="J143" s="2">
        <v>3109445.55</v>
      </c>
      <c r="K143" t="s">
        <v>27</v>
      </c>
      <c r="L143">
        <v>190835</v>
      </c>
      <c r="M143" t="str">
        <f>"PGTEFT2966          WELCOMING RECEPTION"</f>
        <v>PGTEFT2966          WELCOMING RECEPTION</v>
      </c>
      <c r="O143">
        <v>1</v>
      </c>
    </row>
    <row r="144" spans="1:17" x14ac:dyDescent="0.25">
      <c r="A144">
        <v>8003879954</v>
      </c>
      <c r="B144">
        <v>35</v>
      </c>
      <c r="C144">
        <v>14022018</v>
      </c>
      <c r="D144">
        <v>489</v>
      </c>
      <c r="E144" t="str">
        <f>"OTHER TRANSFER FEE"</f>
        <v>OTHER TRANSFER FEE</v>
      </c>
      <c r="F144">
        <v>9938</v>
      </c>
      <c r="G144" t="str">
        <f>"26585807"</f>
        <v>26585807</v>
      </c>
      <c r="H144" s="2">
        <v>0.1</v>
      </c>
      <c r="I144" t="s">
        <v>26</v>
      </c>
      <c r="J144" s="2">
        <v>3109445.56</v>
      </c>
      <c r="K144" t="s">
        <v>27</v>
      </c>
      <c r="L144">
        <v>190835</v>
      </c>
      <c r="M144" t="str">
        <f>"PGTEFT2966          WELCOMING RECEPTION"</f>
        <v>PGTEFT2966          WELCOMING RECEPTION</v>
      </c>
      <c r="O144">
        <v>1</v>
      </c>
    </row>
    <row r="145" spans="1:17" x14ac:dyDescent="0.25">
      <c r="A145">
        <v>8003879954</v>
      </c>
      <c r="B145">
        <v>34</v>
      </c>
      <c r="C145">
        <v>14022018</v>
      </c>
      <c r="D145">
        <v>341</v>
      </c>
      <c r="E145" t="str">
        <f>"TR IBG"</f>
        <v>TR IBG</v>
      </c>
      <c r="F145">
        <v>9938</v>
      </c>
      <c r="G145" t="str">
        <f>"26585681"</f>
        <v>26585681</v>
      </c>
      <c r="H145" s="2">
        <v>3710</v>
      </c>
      <c r="I145" t="s">
        <v>26</v>
      </c>
      <c r="J145" s="2">
        <v>3109445.66</v>
      </c>
      <c r="K145" t="s">
        <v>27</v>
      </c>
      <c r="L145">
        <v>190835</v>
      </c>
      <c r="M145" t="str">
        <f>"OPTIMAL MEDIA SDN BH"</f>
        <v>OPTIMAL MEDIA SDN BH</v>
      </c>
      <c r="O145">
        <v>1</v>
      </c>
      <c r="P145" t="str">
        <f>"PGTEFT2968"</f>
        <v>PGTEFT2968</v>
      </c>
      <c r="Q145" t="str">
        <f>"INV399"</f>
        <v>INV399</v>
      </c>
    </row>
    <row r="146" spans="1:17" x14ac:dyDescent="0.25">
      <c r="A146">
        <v>8003879954</v>
      </c>
      <c r="B146">
        <v>33</v>
      </c>
      <c r="C146">
        <v>14022018</v>
      </c>
      <c r="D146">
        <v>299</v>
      </c>
      <c r="E146" t="str">
        <f>"GST"</f>
        <v>GST</v>
      </c>
      <c r="F146">
        <v>9938</v>
      </c>
      <c r="G146" t="str">
        <f>"26585681"</f>
        <v>26585681</v>
      </c>
      <c r="H146" s="2">
        <v>0.01</v>
      </c>
      <c r="I146" t="s">
        <v>26</v>
      </c>
      <c r="J146" s="2">
        <v>3113155.66</v>
      </c>
      <c r="K146" t="s">
        <v>27</v>
      </c>
      <c r="L146">
        <v>190835</v>
      </c>
      <c r="M146" t="str">
        <f>"PGTEFT2968          INV399"</f>
        <v>PGTEFT2968          INV399</v>
      </c>
      <c r="O146">
        <v>1</v>
      </c>
    </row>
    <row r="147" spans="1:17" x14ac:dyDescent="0.25">
      <c r="A147">
        <v>8003879954</v>
      </c>
      <c r="B147">
        <v>32</v>
      </c>
      <c r="C147">
        <v>14022018</v>
      </c>
      <c r="D147">
        <v>489</v>
      </c>
      <c r="E147" t="str">
        <f>"OTHER TRANSFER FEE"</f>
        <v>OTHER TRANSFER FEE</v>
      </c>
      <c r="F147">
        <v>9938</v>
      </c>
      <c r="G147" t="str">
        <f>"26585681"</f>
        <v>26585681</v>
      </c>
      <c r="H147" s="2">
        <v>0.1</v>
      </c>
      <c r="I147" t="s">
        <v>26</v>
      </c>
      <c r="J147" s="2">
        <v>3113155.67</v>
      </c>
      <c r="K147" t="s">
        <v>27</v>
      </c>
      <c r="L147">
        <v>190835</v>
      </c>
      <c r="M147" t="str">
        <f>"PGTEFT2968          INV399"</f>
        <v>PGTEFT2968          INV399</v>
      </c>
      <c r="O147">
        <v>1</v>
      </c>
    </row>
    <row r="148" spans="1:17" x14ac:dyDescent="0.25">
      <c r="A148">
        <v>8003879954</v>
      </c>
      <c r="B148">
        <v>31</v>
      </c>
      <c r="C148">
        <v>14022018</v>
      </c>
      <c r="D148">
        <v>341</v>
      </c>
      <c r="E148" t="str">
        <f>"TR IBG"</f>
        <v>TR IBG</v>
      </c>
      <c r="F148">
        <v>9938</v>
      </c>
      <c r="G148" t="str">
        <f>"26585512"</f>
        <v>26585512</v>
      </c>
      <c r="H148" s="2">
        <v>1000</v>
      </c>
      <c r="I148" t="s">
        <v>26</v>
      </c>
      <c r="J148" s="2">
        <v>3113155.77</v>
      </c>
      <c r="K148" t="s">
        <v>27</v>
      </c>
      <c r="L148">
        <v>190835</v>
      </c>
      <c r="M148" t="str">
        <f>"RICKVEEN SINGH A/L H"</f>
        <v>RICKVEEN SINGH A/L H</v>
      </c>
      <c r="O148">
        <v>1</v>
      </c>
      <c r="P148" t="str">
        <f>"PGTEFT2972"</f>
        <v>PGTEFT2972</v>
      </c>
      <c r="Q148" t="str">
        <f>"WELCOMING RECEPTION"</f>
        <v>WELCOMING RECEPTION</v>
      </c>
    </row>
    <row r="149" spans="1:17" x14ac:dyDescent="0.25">
      <c r="A149">
        <v>8003879954</v>
      </c>
      <c r="B149">
        <v>30</v>
      </c>
      <c r="C149">
        <v>14022018</v>
      </c>
      <c r="D149">
        <v>299</v>
      </c>
      <c r="E149" t="str">
        <f>"GST"</f>
        <v>GST</v>
      </c>
      <c r="F149">
        <v>9938</v>
      </c>
      <c r="G149" t="str">
        <f>"26585512"</f>
        <v>26585512</v>
      </c>
      <c r="H149" s="2">
        <v>0.01</v>
      </c>
      <c r="I149" t="s">
        <v>26</v>
      </c>
      <c r="J149" s="2">
        <v>3114155.77</v>
      </c>
      <c r="K149" t="s">
        <v>27</v>
      </c>
      <c r="L149">
        <v>190835</v>
      </c>
      <c r="M149" t="str">
        <f>"PGTEFT2972          WELCOMING RECEPTION"</f>
        <v>PGTEFT2972          WELCOMING RECEPTION</v>
      </c>
      <c r="O149">
        <v>1</v>
      </c>
    </row>
    <row r="150" spans="1:17" x14ac:dyDescent="0.25">
      <c r="A150">
        <v>8003879954</v>
      </c>
      <c r="B150">
        <v>29</v>
      </c>
      <c r="C150">
        <v>14022018</v>
      </c>
      <c r="D150">
        <v>489</v>
      </c>
      <c r="E150" t="str">
        <f>"OTHER TRANSFER FEE"</f>
        <v>OTHER TRANSFER FEE</v>
      </c>
      <c r="F150">
        <v>9938</v>
      </c>
      <c r="G150" t="str">
        <f>"26585512"</f>
        <v>26585512</v>
      </c>
      <c r="H150" s="2">
        <v>0.1</v>
      </c>
      <c r="I150" t="s">
        <v>26</v>
      </c>
      <c r="J150" s="2">
        <v>3114155.78</v>
      </c>
      <c r="K150" t="s">
        <v>27</v>
      </c>
      <c r="L150">
        <v>190835</v>
      </c>
      <c r="M150" t="str">
        <f>"PGTEFT2972          WELCOMING RECEPTION"</f>
        <v>PGTEFT2972          WELCOMING RECEPTION</v>
      </c>
      <c r="O150">
        <v>1</v>
      </c>
    </row>
    <row r="151" spans="1:17" x14ac:dyDescent="0.25">
      <c r="A151">
        <v>8003879954</v>
      </c>
      <c r="B151">
        <v>28</v>
      </c>
      <c r="C151">
        <v>14022018</v>
      </c>
      <c r="D151">
        <v>60</v>
      </c>
      <c r="E151" t="str">
        <f>"TR TO C/A"</f>
        <v>TR TO C/A</v>
      </c>
      <c r="F151">
        <v>9938</v>
      </c>
      <c r="G151" t="str">
        <f>"26585401"</f>
        <v>26585401</v>
      </c>
      <c r="H151" s="2">
        <v>3922</v>
      </c>
      <c r="I151" t="s">
        <v>26</v>
      </c>
      <c r="J151" s="2">
        <v>3114155.88</v>
      </c>
      <c r="K151" t="s">
        <v>27</v>
      </c>
      <c r="L151">
        <v>190835</v>
      </c>
      <c r="M151" t="str">
        <f>"RISING ONE MEDIA SD"</f>
        <v>RISING ONE MEDIA SD</v>
      </c>
      <c r="O151">
        <v>1</v>
      </c>
      <c r="P151" t="str">
        <f>"PGTEFT2974"</f>
        <v>PGTEFT2974</v>
      </c>
      <c r="Q151" t="str">
        <f>"INN14313"</f>
        <v>INN14313</v>
      </c>
    </row>
    <row r="152" spans="1:17" x14ac:dyDescent="0.25">
      <c r="A152">
        <v>8003879954</v>
      </c>
      <c r="B152">
        <v>27</v>
      </c>
      <c r="C152">
        <v>14022018</v>
      </c>
      <c r="D152">
        <v>60</v>
      </c>
      <c r="E152" t="str">
        <f>"TR TO C/A"</f>
        <v>TR TO C/A</v>
      </c>
      <c r="F152">
        <v>9938</v>
      </c>
      <c r="G152" t="str">
        <f>"26585620"</f>
        <v>26585620</v>
      </c>
      <c r="H152" s="2">
        <v>5300</v>
      </c>
      <c r="I152" t="s">
        <v>26</v>
      </c>
      <c r="J152" s="2">
        <v>3118077.88</v>
      </c>
      <c r="K152" t="s">
        <v>27</v>
      </c>
      <c r="L152">
        <v>190835</v>
      </c>
      <c r="M152" t="str">
        <f>"PPM18-01-02 PERFORMANCE PLUS MA"</f>
        <v>PPM18-01-02 PERFORMANCE PLUS MA</v>
      </c>
      <c r="O152">
        <v>1</v>
      </c>
      <c r="P152" t="str">
        <f>"PGTEFT2970"</f>
        <v>PGTEFT2970</v>
      </c>
      <c r="Q152" t="str">
        <f>"LED FEB"</f>
        <v>LED FEB</v>
      </c>
    </row>
    <row r="153" spans="1:17" x14ac:dyDescent="0.25">
      <c r="A153">
        <v>8003879954</v>
      </c>
      <c r="B153">
        <v>26</v>
      </c>
      <c r="C153">
        <v>14022018</v>
      </c>
      <c r="D153">
        <v>341</v>
      </c>
      <c r="E153" t="str">
        <f>"TR IBG"</f>
        <v>TR IBG</v>
      </c>
      <c r="F153">
        <v>9938</v>
      </c>
      <c r="G153" t="str">
        <f>"26585920"</f>
        <v>26585920</v>
      </c>
      <c r="H153" s="2">
        <v>500</v>
      </c>
      <c r="I153" t="s">
        <v>26</v>
      </c>
      <c r="J153" s="2">
        <v>3123377.88</v>
      </c>
      <c r="K153" t="s">
        <v>27</v>
      </c>
      <c r="L153">
        <v>190546</v>
      </c>
      <c r="M153" t="str">
        <f>"ME SKETCH ENTERPRISE"</f>
        <v>ME SKETCH ENTERPRISE</v>
      </c>
      <c r="O153">
        <v>1</v>
      </c>
      <c r="P153" t="str">
        <f>"PGTEFT2965"</f>
        <v>PGTEFT2965</v>
      </c>
      <c r="Q153" t="str">
        <f>"PGTINV-01-18"</f>
        <v>PGTINV-01-18</v>
      </c>
    </row>
    <row r="154" spans="1:17" x14ac:dyDescent="0.25">
      <c r="A154">
        <v>8003879954</v>
      </c>
      <c r="B154">
        <v>25</v>
      </c>
      <c r="C154">
        <v>14022018</v>
      </c>
      <c r="D154">
        <v>299</v>
      </c>
      <c r="E154" t="str">
        <f>"GST"</f>
        <v>GST</v>
      </c>
      <c r="F154">
        <v>9938</v>
      </c>
      <c r="G154" t="str">
        <f>"26585920"</f>
        <v>26585920</v>
      </c>
      <c r="H154" s="2">
        <v>0.01</v>
      </c>
      <c r="I154" t="s">
        <v>26</v>
      </c>
      <c r="J154" s="2">
        <v>3123877.88</v>
      </c>
      <c r="K154" t="s">
        <v>27</v>
      </c>
      <c r="L154">
        <v>190546</v>
      </c>
      <c r="M154" t="str">
        <f>"PGTEFT2965          PGTINV-01-18"</f>
        <v>PGTEFT2965          PGTINV-01-18</v>
      </c>
      <c r="O154">
        <v>1</v>
      </c>
    </row>
    <row r="155" spans="1:17" x14ac:dyDescent="0.25">
      <c r="A155">
        <v>8003879954</v>
      </c>
      <c r="B155">
        <v>24</v>
      </c>
      <c r="C155">
        <v>14022018</v>
      </c>
      <c r="D155">
        <v>489</v>
      </c>
      <c r="E155" t="str">
        <f>"OTHER TRANSFER FEE"</f>
        <v>OTHER TRANSFER FEE</v>
      </c>
      <c r="F155">
        <v>9938</v>
      </c>
      <c r="G155" t="str">
        <f>"26585920"</f>
        <v>26585920</v>
      </c>
      <c r="H155" s="2">
        <v>0.1</v>
      </c>
      <c r="I155" t="s">
        <v>26</v>
      </c>
      <c r="J155" s="2">
        <v>3123877.89</v>
      </c>
      <c r="K155" t="s">
        <v>27</v>
      </c>
      <c r="L155">
        <v>190546</v>
      </c>
      <c r="M155" t="str">
        <f>"PGTEFT2965          PGTINV-01-18"</f>
        <v>PGTEFT2965          PGTINV-01-18</v>
      </c>
      <c r="O155">
        <v>1</v>
      </c>
    </row>
    <row r="156" spans="1:17" x14ac:dyDescent="0.25">
      <c r="A156">
        <v>8003879954</v>
      </c>
      <c r="B156">
        <v>23</v>
      </c>
      <c r="C156">
        <v>14022018</v>
      </c>
      <c r="D156">
        <v>341</v>
      </c>
      <c r="E156" t="str">
        <f>"TR IBG"</f>
        <v>TR IBG</v>
      </c>
      <c r="F156">
        <v>9938</v>
      </c>
      <c r="G156" t="str">
        <f>"26585940"</f>
        <v>26585940</v>
      </c>
      <c r="H156" s="2">
        <v>4080</v>
      </c>
      <c r="I156" t="s">
        <v>26</v>
      </c>
      <c r="J156" s="2">
        <v>3123877.99</v>
      </c>
      <c r="K156" t="s">
        <v>27</v>
      </c>
      <c r="L156">
        <v>190543</v>
      </c>
      <c r="M156" t="str">
        <f>"LIANG CHOW MING"</f>
        <v>LIANG CHOW MING</v>
      </c>
      <c r="O156">
        <v>1</v>
      </c>
      <c r="P156" t="str">
        <f>"PGTEFT2964"</f>
        <v>PGTEFT2964</v>
      </c>
      <c r="Q156" t="str">
        <f>"19562 19564 19565"</f>
        <v>19562 19564 19565</v>
      </c>
    </row>
    <row r="157" spans="1:17" x14ac:dyDescent="0.25">
      <c r="A157">
        <v>8003879954</v>
      </c>
      <c r="B157">
        <v>22</v>
      </c>
      <c r="C157">
        <v>14022018</v>
      </c>
      <c r="D157">
        <v>299</v>
      </c>
      <c r="E157" t="str">
        <f>"GST"</f>
        <v>GST</v>
      </c>
      <c r="F157">
        <v>9938</v>
      </c>
      <c r="G157" t="str">
        <f>"26585940"</f>
        <v>26585940</v>
      </c>
      <c r="H157" s="2">
        <v>0.01</v>
      </c>
      <c r="I157" t="s">
        <v>26</v>
      </c>
      <c r="J157" s="2">
        <v>3127957.99</v>
      </c>
      <c r="K157" t="s">
        <v>27</v>
      </c>
      <c r="L157">
        <v>190543</v>
      </c>
      <c r="M157" t="str">
        <f>"PGTEFT2964          19562 19564 19565"</f>
        <v>PGTEFT2964          19562 19564 19565</v>
      </c>
      <c r="O157">
        <v>1</v>
      </c>
    </row>
    <row r="158" spans="1:17" x14ac:dyDescent="0.25">
      <c r="A158">
        <v>8003879954</v>
      </c>
      <c r="B158">
        <v>21</v>
      </c>
      <c r="C158">
        <v>14022018</v>
      </c>
      <c r="D158">
        <v>489</v>
      </c>
      <c r="E158" t="str">
        <f>"OTHER TRANSFER FEE"</f>
        <v>OTHER TRANSFER FEE</v>
      </c>
      <c r="F158">
        <v>9938</v>
      </c>
      <c r="G158" t="str">
        <f>"26585940"</f>
        <v>26585940</v>
      </c>
      <c r="H158" s="2">
        <v>0.1</v>
      </c>
      <c r="I158" t="s">
        <v>26</v>
      </c>
      <c r="J158" s="2">
        <v>3127958</v>
      </c>
      <c r="K158" t="s">
        <v>27</v>
      </c>
      <c r="L158">
        <v>190543</v>
      </c>
      <c r="M158" t="str">
        <f>"PGTEFT2964          19562 19564 19565"</f>
        <v>PGTEFT2964          19562 19564 19565</v>
      </c>
      <c r="O158">
        <v>1</v>
      </c>
    </row>
    <row r="159" spans="1:17" x14ac:dyDescent="0.25">
      <c r="A159">
        <v>8003879954</v>
      </c>
      <c r="B159">
        <v>20</v>
      </c>
      <c r="C159">
        <v>14022018</v>
      </c>
      <c r="D159">
        <v>341</v>
      </c>
      <c r="E159" t="str">
        <f>"TR IBG"</f>
        <v>TR IBG</v>
      </c>
      <c r="F159">
        <v>9938</v>
      </c>
      <c r="G159" t="str">
        <f>"26586215"</f>
        <v>26586215</v>
      </c>
      <c r="H159" s="2">
        <v>625</v>
      </c>
      <c r="I159" t="s">
        <v>26</v>
      </c>
      <c r="J159" s="2">
        <v>3127958.1</v>
      </c>
      <c r="K159" t="s">
        <v>27</v>
      </c>
      <c r="L159">
        <v>190545</v>
      </c>
      <c r="M159" t="str">
        <f>"FLAGSTAFF HOLDINGS S"</f>
        <v>FLAGSTAFF HOLDINGS S</v>
      </c>
      <c r="O159">
        <v>1</v>
      </c>
      <c r="P159" t="str">
        <f>"PGTEFT2959"</f>
        <v>PGTEFT2959</v>
      </c>
      <c r="Q159" t="str">
        <f>"IV-180201"</f>
        <v>IV-180201</v>
      </c>
    </row>
    <row r="160" spans="1:17" x14ac:dyDescent="0.25">
      <c r="A160">
        <v>8003879954</v>
      </c>
      <c r="B160">
        <v>19</v>
      </c>
      <c r="C160">
        <v>14022018</v>
      </c>
      <c r="D160">
        <v>299</v>
      </c>
      <c r="E160" t="str">
        <f>"GST"</f>
        <v>GST</v>
      </c>
      <c r="F160">
        <v>9938</v>
      </c>
      <c r="G160" t="str">
        <f>"26586215"</f>
        <v>26586215</v>
      </c>
      <c r="H160" s="2">
        <v>0.01</v>
      </c>
      <c r="I160" t="s">
        <v>26</v>
      </c>
      <c r="J160" s="2">
        <v>3128583.1</v>
      </c>
      <c r="K160" t="s">
        <v>27</v>
      </c>
      <c r="L160">
        <v>190545</v>
      </c>
      <c r="M160" t="str">
        <f>"PGTEFT2959          IV-180201"</f>
        <v>PGTEFT2959          IV-180201</v>
      </c>
      <c r="O160">
        <v>1</v>
      </c>
    </row>
    <row r="161" spans="1:17" x14ac:dyDescent="0.25">
      <c r="A161">
        <v>8003879954</v>
      </c>
      <c r="B161">
        <v>18</v>
      </c>
      <c r="C161">
        <v>14022018</v>
      </c>
      <c r="D161">
        <v>489</v>
      </c>
      <c r="E161" t="str">
        <f>"OTHER TRANSFER FEE"</f>
        <v>OTHER TRANSFER FEE</v>
      </c>
      <c r="F161">
        <v>9938</v>
      </c>
      <c r="G161" t="str">
        <f>"26586215"</f>
        <v>26586215</v>
      </c>
      <c r="H161" s="2">
        <v>0.1</v>
      </c>
      <c r="I161" t="s">
        <v>26</v>
      </c>
      <c r="J161" s="2">
        <v>3128583.11</v>
      </c>
      <c r="K161" t="s">
        <v>27</v>
      </c>
      <c r="L161">
        <v>190545</v>
      </c>
      <c r="M161" t="str">
        <f>"PGTEFT2959          IV-180201"</f>
        <v>PGTEFT2959          IV-180201</v>
      </c>
      <c r="O161">
        <v>1</v>
      </c>
    </row>
    <row r="162" spans="1:17" x14ac:dyDescent="0.25">
      <c r="A162">
        <v>8003879954</v>
      </c>
      <c r="B162">
        <v>17</v>
      </c>
      <c r="C162">
        <v>14022018</v>
      </c>
      <c r="D162">
        <v>341</v>
      </c>
      <c r="E162" t="str">
        <f>"TR IBG"</f>
        <v>TR IBG</v>
      </c>
      <c r="F162">
        <v>9938</v>
      </c>
      <c r="G162" t="str">
        <f>"26586302"</f>
        <v>26586302</v>
      </c>
      <c r="H162" s="2">
        <v>0.1</v>
      </c>
      <c r="I162" t="s">
        <v>26</v>
      </c>
      <c r="J162" s="2">
        <v>3128583.21</v>
      </c>
      <c r="K162" t="s">
        <v>27</v>
      </c>
      <c r="L162">
        <v>190544</v>
      </c>
      <c r="M162" t="str">
        <f>"ASIA ONTIME (M) SDN"</f>
        <v>ASIA ONTIME (M) SDN</v>
      </c>
      <c r="O162">
        <v>1</v>
      </c>
      <c r="P162" t="str">
        <f>"PGTEFT2957"</f>
        <v>PGTEFT2957</v>
      </c>
      <c r="Q162" t="str">
        <f>"INV10014906"</f>
        <v>INV10014906</v>
      </c>
    </row>
    <row r="163" spans="1:17" x14ac:dyDescent="0.25">
      <c r="A163">
        <v>8003879954</v>
      </c>
      <c r="B163">
        <v>16</v>
      </c>
      <c r="C163">
        <v>14022018</v>
      </c>
      <c r="D163">
        <v>299</v>
      </c>
      <c r="E163" t="str">
        <f>"GST"</f>
        <v>GST</v>
      </c>
      <c r="F163">
        <v>9938</v>
      </c>
      <c r="G163" t="str">
        <f>"26586302"</f>
        <v>26586302</v>
      </c>
      <c r="H163" s="2">
        <v>0.01</v>
      </c>
      <c r="I163" t="s">
        <v>26</v>
      </c>
      <c r="J163" s="2">
        <v>3128583.31</v>
      </c>
      <c r="K163" t="s">
        <v>27</v>
      </c>
      <c r="L163">
        <v>190544</v>
      </c>
      <c r="M163" t="str">
        <f>"PGTEFT2957          INV10014906"</f>
        <v>PGTEFT2957          INV10014906</v>
      </c>
      <c r="O163">
        <v>1</v>
      </c>
    </row>
    <row r="164" spans="1:17" x14ac:dyDescent="0.25">
      <c r="A164">
        <v>8003879954</v>
      </c>
      <c r="B164">
        <v>15</v>
      </c>
      <c r="C164">
        <v>14022018</v>
      </c>
      <c r="D164">
        <v>489</v>
      </c>
      <c r="E164" t="str">
        <f>"OTHER TRANSFER FEE"</f>
        <v>OTHER TRANSFER FEE</v>
      </c>
      <c r="F164">
        <v>9938</v>
      </c>
      <c r="G164" t="str">
        <f>"26586302"</f>
        <v>26586302</v>
      </c>
      <c r="H164" s="2">
        <v>0.1</v>
      </c>
      <c r="I164" t="s">
        <v>26</v>
      </c>
      <c r="J164" s="2">
        <v>3128583.32</v>
      </c>
      <c r="K164" t="s">
        <v>27</v>
      </c>
      <c r="L164">
        <v>190544</v>
      </c>
      <c r="M164" t="str">
        <f>"PGTEFT2957          INV10014906"</f>
        <v>PGTEFT2957          INV10014906</v>
      </c>
      <c r="O164">
        <v>1</v>
      </c>
    </row>
    <row r="165" spans="1:17" x14ac:dyDescent="0.25">
      <c r="A165">
        <v>8003879954</v>
      </c>
      <c r="B165">
        <v>14</v>
      </c>
      <c r="C165">
        <v>14022018</v>
      </c>
      <c r="D165">
        <v>341</v>
      </c>
      <c r="E165" t="str">
        <f>"TR IBG"</f>
        <v>TR IBG</v>
      </c>
      <c r="F165">
        <v>9938</v>
      </c>
      <c r="G165" t="str">
        <f>"26585980"</f>
        <v>26585980</v>
      </c>
      <c r="H165" s="2">
        <v>90</v>
      </c>
      <c r="I165" t="s">
        <v>26</v>
      </c>
      <c r="J165" s="2">
        <v>3128583.42</v>
      </c>
      <c r="K165" t="s">
        <v>27</v>
      </c>
      <c r="L165">
        <v>190544</v>
      </c>
      <c r="M165" t="str">
        <f>"LIM WOI HONG"</f>
        <v>LIM WOI HONG</v>
      </c>
      <c r="O165">
        <v>1</v>
      </c>
      <c r="P165" t="str">
        <f>"PGTEFT2963"</f>
        <v>PGTEFT2963</v>
      </c>
      <c r="Q165" t="str">
        <f>"INV0008"</f>
        <v>INV0008</v>
      </c>
    </row>
    <row r="166" spans="1:17" x14ac:dyDescent="0.25">
      <c r="A166">
        <v>8003879954</v>
      </c>
      <c r="B166">
        <v>13</v>
      </c>
      <c r="C166">
        <v>14022018</v>
      </c>
      <c r="D166">
        <v>299</v>
      </c>
      <c r="E166" t="str">
        <f>"GST"</f>
        <v>GST</v>
      </c>
      <c r="F166">
        <v>9938</v>
      </c>
      <c r="G166" t="str">
        <f>"26585980"</f>
        <v>26585980</v>
      </c>
      <c r="H166" s="2">
        <v>0.01</v>
      </c>
      <c r="I166" t="s">
        <v>26</v>
      </c>
      <c r="J166" s="2">
        <v>3128673.42</v>
      </c>
      <c r="K166" t="s">
        <v>27</v>
      </c>
      <c r="L166">
        <v>190544</v>
      </c>
      <c r="M166" t="str">
        <f>"PGTEFT2963          INV0008"</f>
        <v>PGTEFT2963          INV0008</v>
      </c>
      <c r="O166">
        <v>1</v>
      </c>
    </row>
    <row r="167" spans="1:17" x14ac:dyDescent="0.25">
      <c r="A167">
        <v>8003879954</v>
      </c>
      <c r="B167">
        <v>12</v>
      </c>
      <c r="C167">
        <v>14022018</v>
      </c>
      <c r="D167">
        <v>489</v>
      </c>
      <c r="E167" t="str">
        <f>"OTHER TRANSFER FEE"</f>
        <v>OTHER TRANSFER FEE</v>
      </c>
      <c r="F167">
        <v>9938</v>
      </c>
      <c r="G167" t="str">
        <f>"26585980"</f>
        <v>26585980</v>
      </c>
      <c r="H167" s="2">
        <v>0.1</v>
      </c>
      <c r="I167" t="s">
        <v>26</v>
      </c>
      <c r="J167" s="2">
        <v>3128673.43</v>
      </c>
      <c r="K167" t="s">
        <v>27</v>
      </c>
      <c r="L167">
        <v>190544</v>
      </c>
      <c r="M167" t="str">
        <f>"PGTEFT2963          INV0008"</f>
        <v>PGTEFT2963          INV0008</v>
      </c>
      <c r="O167">
        <v>1</v>
      </c>
    </row>
    <row r="168" spans="1:17" x14ac:dyDescent="0.25">
      <c r="A168">
        <v>8003879954</v>
      </c>
      <c r="B168">
        <v>11</v>
      </c>
      <c r="C168">
        <v>14022018</v>
      </c>
      <c r="D168">
        <v>341</v>
      </c>
      <c r="E168" t="str">
        <f>"TR IBG"</f>
        <v>TR IBG</v>
      </c>
      <c r="F168">
        <v>9938</v>
      </c>
      <c r="G168" t="str">
        <f>"26586243"</f>
        <v>26586243</v>
      </c>
      <c r="H168" s="2">
        <v>339.2</v>
      </c>
      <c r="I168" t="s">
        <v>26</v>
      </c>
      <c r="J168" s="2">
        <v>3128673.53</v>
      </c>
      <c r="K168" t="s">
        <v>27</v>
      </c>
      <c r="L168">
        <v>190543</v>
      </c>
      <c r="M168" t="str">
        <f>"FUJI XEROX ASIA PACI"</f>
        <v>FUJI XEROX ASIA PACI</v>
      </c>
      <c r="O168">
        <v>1</v>
      </c>
      <c r="P168" t="str">
        <f>"PGTEFT2958"</f>
        <v>PGTEFT2958</v>
      </c>
      <c r="Q168" t="str">
        <f>"INV301335451"</f>
        <v>INV301335451</v>
      </c>
    </row>
    <row r="169" spans="1:17" x14ac:dyDescent="0.25">
      <c r="A169">
        <v>8003879954</v>
      </c>
      <c r="B169">
        <v>10</v>
      </c>
      <c r="C169">
        <v>14022018</v>
      </c>
      <c r="D169">
        <v>299</v>
      </c>
      <c r="E169" t="str">
        <f>"GST"</f>
        <v>GST</v>
      </c>
      <c r="F169">
        <v>9938</v>
      </c>
      <c r="G169" t="str">
        <f>"26586243"</f>
        <v>26586243</v>
      </c>
      <c r="H169" s="2">
        <v>0.01</v>
      </c>
      <c r="I169" t="s">
        <v>26</v>
      </c>
      <c r="J169" s="2">
        <v>3129012.73</v>
      </c>
      <c r="K169" t="s">
        <v>27</v>
      </c>
      <c r="L169">
        <v>190543</v>
      </c>
      <c r="M169" t="str">
        <f>"PGTEFT2958          INV301335451"</f>
        <v>PGTEFT2958          INV301335451</v>
      </c>
      <c r="O169">
        <v>1</v>
      </c>
    </row>
    <row r="170" spans="1:17" x14ac:dyDescent="0.25">
      <c r="A170">
        <v>8003879954</v>
      </c>
      <c r="B170">
        <v>9</v>
      </c>
      <c r="C170">
        <v>14022018</v>
      </c>
      <c r="D170">
        <v>489</v>
      </c>
      <c r="E170" t="str">
        <f>"OTHER TRANSFER FEE"</f>
        <v>OTHER TRANSFER FEE</v>
      </c>
      <c r="F170">
        <v>9938</v>
      </c>
      <c r="G170" t="str">
        <f>"26586243"</f>
        <v>26586243</v>
      </c>
      <c r="H170" s="2">
        <v>0.1</v>
      </c>
      <c r="I170" t="s">
        <v>26</v>
      </c>
      <c r="J170" s="2">
        <v>3129012.74</v>
      </c>
      <c r="K170" t="s">
        <v>27</v>
      </c>
      <c r="L170">
        <v>190543</v>
      </c>
      <c r="M170" t="str">
        <f>"PGTEFT2958          INV301335451"</f>
        <v>PGTEFT2958          INV301335451</v>
      </c>
      <c r="O170">
        <v>1</v>
      </c>
    </row>
    <row r="171" spans="1:17" x14ac:dyDescent="0.25">
      <c r="A171">
        <v>8003879954</v>
      </c>
      <c r="B171">
        <v>8</v>
      </c>
      <c r="C171">
        <v>14022018</v>
      </c>
      <c r="D171">
        <v>60</v>
      </c>
      <c r="E171" t="str">
        <f>"TR TO C/A"</f>
        <v>TR TO C/A</v>
      </c>
      <c r="F171">
        <v>9938</v>
      </c>
      <c r="G171" t="str">
        <f>"26586045"</f>
        <v>26586045</v>
      </c>
      <c r="H171" s="2">
        <v>334.7</v>
      </c>
      <c r="I171" t="s">
        <v>26</v>
      </c>
      <c r="J171" s="2">
        <v>3129012.84</v>
      </c>
      <c r="K171" t="s">
        <v>27</v>
      </c>
      <c r="L171">
        <v>190543</v>
      </c>
      <c r="M171" t="str">
        <f>"PERMIT &amp; BIRTHDAY CA LIM HOOI LENG"</f>
        <v>PERMIT &amp; BIRTHDAY CA LIM HOOI LENG</v>
      </c>
      <c r="O171">
        <v>1</v>
      </c>
      <c r="P171" t="str">
        <f>"PGTEFT2961"</f>
        <v>PGTEFT2961</v>
      </c>
      <c r="Q171" t="str">
        <f>"CLAIMS"</f>
        <v>CLAIMS</v>
      </c>
    </row>
    <row r="172" spans="1:17" x14ac:dyDescent="0.25">
      <c r="A172">
        <v>8003879954</v>
      </c>
      <c r="B172">
        <v>7</v>
      </c>
      <c r="C172">
        <v>14022018</v>
      </c>
      <c r="D172">
        <v>341</v>
      </c>
      <c r="E172" t="str">
        <f>"TR IBG"</f>
        <v>TR IBG</v>
      </c>
      <c r="F172">
        <v>9938</v>
      </c>
      <c r="G172" t="str">
        <f>"26586347"</f>
        <v>26586347</v>
      </c>
      <c r="H172" s="2">
        <v>3800</v>
      </c>
      <c r="I172" t="s">
        <v>26</v>
      </c>
      <c r="J172" s="2">
        <v>3129347.54</v>
      </c>
      <c r="K172" t="s">
        <v>27</v>
      </c>
      <c r="L172">
        <v>190543</v>
      </c>
      <c r="M172" t="str">
        <f>"BBWEB SOLUTIONS"</f>
        <v>BBWEB SOLUTIONS</v>
      </c>
      <c r="O172">
        <v>1</v>
      </c>
      <c r="P172" t="str">
        <f>"PGTEFT2956"</f>
        <v>PGTEFT2956</v>
      </c>
      <c r="Q172" t="str">
        <f>"INV2018-06"</f>
        <v>INV2018-06</v>
      </c>
    </row>
    <row r="173" spans="1:17" x14ac:dyDescent="0.25">
      <c r="A173">
        <v>8003879954</v>
      </c>
      <c r="B173">
        <v>6</v>
      </c>
      <c r="C173">
        <v>14022018</v>
      </c>
      <c r="D173">
        <v>299</v>
      </c>
      <c r="E173" t="str">
        <f>"GST"</f>
        <v>GST</v>
      </c>
      <c r="F173">
        <v>9938</v>
      </c>
      <c r="G173" t="str">
        <f>"26586347"</f>
        <v>26586347</v>
      </c>
      <c r="H173" s="2">
        <v>0.01</v>
      </c>
      <c r="I173" t="s">
        <v>26</v>
      </c>
      <c r="J173" s="2">
        <v>3133147.54</v>
      </c>
      <c r="K173" t="s">
        <v>27</v>
      </c>
      <c r="L173">
        <v>190543</v>
      </c>
      <c r="M173" t="str">
        <f>"PGTEFT2956          INV2018-06"</f>
        <v>PGTEFT2956          INV2018-06</v>
      </c>
      <c r="O173">
        <v>1</v>
      </c>
    </row>
    <row r="174" spans="1:17" x14ac:dyDescent="0.25">
      <c r="A174">
        <v>8003879954</v>
      </c>
      <c r="B174">
        <v>5</v>
      </c>
      <c r="C174">
        <v>14022018</v>
      </c>
      <c r="D174">
        <v>489</v>
      </c>
      <c r="E174" t="str">
        <f>"OTHER TRANSFER FEE"</f>
        <v>OTHER TRANSFER FEE</v>
      </c>
      <c r="F174">
        <v>9938</v>
      </c>
      <c r="G174" t="str">
        <f>"26586347"</f>
        <v>26586347</v>
      </c>
      <c r="H174" s="2">
        <v>0.1</v>
      </c>
      <c r="I174" t="s">
        <v>26</v>
      </c>
      <c r="J174" s="2">
        <v>3133147.55</v>
      </c>
      <c r="K174" t="s">
        <v>27</v>
      </c>
      <c r="L174">
        <v>190543</v>
      </c>
      <c r="M174" t="str">
        <f>"PGTEFT2956          INV2018-06"</f>
        <v>PGTEFT2956          INV2018-06</v>
      </c>
      <c r="O174">
        <v>1</v>
      </c>
    </row>
    <row r="175" spans="1:17" x14ac:dyDescent="0.25">
      <c r="A175">
        <v>8003879954</v>
      </c>
      <c r="B175">
        <v>4</v>
      </c>
      <c r="C175">
        <v>14022018</v>
      </c>
      <c r="D175">
        <v>341</v>
      </c>
      <c r="E175" t="str">
        <f>"TR IBG"</f>
        <v>TR IBG</v>
      </c>
      <c r="F175">
        <v>9938</v>
      </c>
      <c r="G175" t="str">
        <f>"26586014"</f>
        <v>26586014</v>
      </c>
      <c r="H175" s="2">
        <v>500</v>
      </c>
      <c r="I175" t="s">
        <v>26</v>
      </c>
      <c r="J175" s="2">
        <v>3133147.65</v>
      </c>
      <c r="K175" t="s">
        <v>27</v>
      </c>
      <c r="L175">
        <v>190543</v>
      </c>
      <c r="M175" t="str">
        <f>"LEE TER YI"</f>
        <v>LEE TER YI</v>
      </c>
      <c r="O175">
        <v>1</v>
      </c>
      <c r="P175" t="str">
        <f>"PGTEFT2962"</f>
        <v>PGTEFT2962</v>
      </c>
      <c r="Q175" t="str">
        <f>"INV2018110001"</f>
        <v>INV2018110001</v>
      </c>
    </row>
    <row r="176" spans="1:17" x14ac:dyDescent="0.25">
      <c r="A176">
        <v>8003879954</v>
      </c>
      <c r="B176">
        <v>3</v>
      </c>
      <c r="C176">
        <v>14022018</v>
      </c>
      <c r="D176">
        <v>299</v>
      </c>
      <c r="E176" t="str">
        <f>"GST"</f>
        <v>GST</v>
      </c>
      <c r="F176">
        <v>9938</v>
      </c>
      <c r="G176" t="str">
        <f>"26586014"</f>
        <v>26586014</v>
      </c>
      <c r="H176" s="2">
        <v>0.01</v>
      </c>
      <c r="I176" t="s">
        <v>26</v>
      </c>
      <c r="J176" s="2">
        <v>3133647.65</v>
      </c>
      <c r="K176" t="s">
        <v>27</v>
      </c>
      <c r="L176">
        <v>190543</v>
      </c>
      <c r="M176" t="str">
        <f>"PGTEFT2962          INV2018110001"</f>
        <v>PGTEFT2962          INV2018110001</v>
      </c>
      <c r="O176">
        <v>1</v>
      </c>
    </row>
    <row r="177" spans="1:17" x14ac:dyDescent="0.25">
      <c r="A177">
        <v>8003879954</v>
      </c>
      <c r="B177">
        <v>2</v>
      </c>
      <c r="C177">
        <v>14022018</v>
      </c>
      <c r="D177">
        <v>489</v>
      </c>
      <c r="E177" t="str">
        <f>"OTHER TRANSFER FEE"</f>
        <v>OTHER TRANSFER FEE</v>
      </c>
      <c r="F177">
        <v>9938</v>
      </c>
      <c r="G177" t="str">
        <f>"26586014"</f>
        <v>26586014</v>
      </c>
      <c r="H177" s="2">
        <v>0.1</v>
      </c>
      <c r="I177" t="s">
        <v>26</v>
      </c>
      <c r="J177" s="2">
        <v>3133647.66</v>
      </c>
      <c r="K177" t="s">
        <v>27</v>
      </c>
      <c r="L177">
        <v>190543</v>
      </c>
      <c r="M177" t="str">
        <f>"PGTEFT2962          INV2018110001"</f>
        <v>PGTEFT2962          INV2018110001</v>
      </c>
      <c r="O177">
        <v>1</v>
      </c>
    </row>
    <row r="178" spans="1:17" x14ac:dyDescent="0.25">
      <c r="A178">
        <v>8003879954</v>
      </c>
      <c r="B178">
        <v>1</v>
      </c>
      <c r="C178">
        <v>14022018</v>
      </c>
      <c r="D178">
        <v>60</v>
      </c>
      <c r="E178" t="str">
        <f>"TR TO C/A"</f>
        <v>TR TO C/A</v>
      </c>
      <c r="F178">
        <v>9938</v>
      </c>
      <c r="G178" t="str">
        <f>"26586168"</f>
        <v>26586168</v>
      </c>
      <c r="H178" s="2">
        <v>7091.67</v>
      </c>
      <c r="I178" t="s">
        <v>26</v>
      </c>
      <c r="J178" s="2">
        <v>3133647.76</v>
      </c>
      <c r="K178" t="s">
        <v>27</v>
      </c>
      <c r="L178">
        <v>190543</v>
      </c>
      <c r="M178" t="str">
        <f>"ID8501195902 GOOGLE MALAYSIA SDN"</f>
        <v>ID8501195902 GOOGLE MALAYSIA SDN</v>
      </c>
      <c r="O178">
        <v>1</v>
      </c>
      <c r="P178" t="str">
        <f>"PGTEFT2960"</f>
        <v>PGTEFT2960</v>
      </c>
      <c r="Q178" t="str">
        <f>"INV3425516671"</f>
        <v>INV3425516671</v>
      </c>
    </row>
    <row r="179" spans="1:17" x14ac:dyDescent="0.25">
      <c r="A179">
        <v>8003879954</v>
      </c>
      <c r="B179">
        <v>9</v>
      </c>
      <c r="C179">
        <v>13022018</v>
      </c>
      <c r="D179">
        <v>299</v>
      </c>
      <c r="E179" t="str">
        <f>"GST"</f>
        <v>GST</v>
      </c>
      <c r="H179" s="2">
        <v>0.06</v>
      </c>
      <c r="I179" t="s">
        <v>26</v>
      </c>
      <c r="J179" s="2">
        <v>3140739.43</v>
      </c>
      <c r="K179" t="s">
        <v>27</v>
      </c>
      <c r="L179">
        <v>10406</v>
      </c>
      <c r="M179" t="str">
        <f>""</f>
        <v/>
      </c>
      <c r="O179">
        <v>1</v>
      </c>
    </row>
    <row r="180" spans="1:17" x14ac:dyDescent="0.25">
      <c r="A180">
        <v>8003879954</v>
      </c>
      <c r="B180">
        <v>8</v>
      </c>
      <c r="C180">
        <v>13022018</v>
      </c>
      <c r="D180">
        <v>819</v>
      </c>
      <c r="E180" t="str">
        <f>"CHQ PROCESSING FEE"</f>
        <v>CHQ PROCESSING FEE</v>
      </c>
      <c r="H180" s="2">
        <v>1</v>
      </c>
      <c r="I180" t="s">
        <v>26</v>
      </c>
      <c r="J180" s="2">
        <v>3140739.49</v>
      </c>
      <c r="K180" t="s">
        <v>27</v>
      </c>
      <c r="L180">
        <v>10406</v>
      </c>
      <c r="M180" t="str">
        <f>""</f>
        <v/>
      </c>
      <c r="O180">
        <v>1</v>
      </c>
    </row>
    <row r="181" spans="1:17" x14ac:dyDescent="0.25">
      <c r="A181">
        <v>8003879954</v>
      </c>
      <c r="B181">
        <v>7</v>
      </c>
      <c r="C181">
        <v>13022018</v>
      </c>
      <c r="D181">
        <v>299</v>
      </c>
      <c r="E181" t="str">
        <f>"GST"</f>
        <v>GST</v>
      </c>
      <c r="H181" s="2">
        <v>0.09</v>
      </c>
      <c r="I181" t="s">
        <v>26</v>
      </c>
      <c r="J181" s="2">
        <v>3140740.49</v>
      </c>
      <c r="K181" t="s">
        <v>27</v>
      </c>
      <c r="L181">
        <v>10406</v>
      </c>
      <c r="M181" t="str">
        <f>""</f>
        <v/>
      </c>
      <c r="O181">
        <v>1</v>
      </c>
    </row>
    <row r="182" spans="1:17" x14ac:dyDescent="0.25">
      <c r="A182">
        <v>8003879954</v>
      </c>
      <c r="B182">
        <v>6</v>
      </c>
      <c r="C182">
        <v>13022018</v>
      </c>
      <c r="D182">
        <v>819</v>
      </c>
      <c r="E182" t="str">
        <f>"CHQ PROCESSING FEE"</f>
        <v>CHQ PROCESSING FEE</v>
      </c>
      <c r="H182" s="2">
        <v>1.5</v>
      </c>
      <c r="I182" t="s">
        <v>26</v>
      </c>
      <c r="J182" s="2">
        <v>3140740.58</v>
      </c>
      <c r="K182" t="s">
        <v>27</v>
      </c>
      <c r="L182">
        <v>10406</v>
      </c>
      <c r="M182" t="str">
        <f>""</f>
        <v/>
      </c>
      <c r="O182">
        <v>1</v>
      </c>
    </row>
    <row r="183" spans="1:17" x14ac:dyDescent="0.25">
      <c r="A183">
        <v>8003879954</v>
      </c>
      <c r="B183">
        <v>5</v>
      </c>
      <c r="C183">
        <v>13022018</v>
      </c>
      <c r="D183">
        <v>321</v>
      </c>
      <c r="E183" t="str">
        <f>"HOUSE CHQ DR"</f>
        <v>HOUSE CHQ DR</v>
      </c>
      <c r="F183">
        <v>0</v>
      </c>
      <c r="G183" t="str">
        <f>"00688130"</f>
        <v>00688130</v>
      </c>
      <c r="H183" s="2">
        <v>11720</v>
      </c>
      <c r="I183" t="s">
        <v>26</v>
      </c>
      <c r="J183" s="2">
        <v>3140742.08</v>
      </c>
      <c r="K183" t="s">
        <v>27</v>
      </c>
      <c r="L183">
        <v>10307</v>
      </c>
      <c r="M183" t="str">
        <f>""</f>
        <v/>
      </c>
      <c r="O183">
        <v>1</v>
      </c>
    </row>
    <row r="184" spans="1:17" x14ac:dyDescent="0.25">
      <c r="A184">
        <v>8003879954</v>
      </c>
      <c r="B184">
        <v>4</v>
      </c>
      <c r="C184">
        <v>13022018</v>
      </c>
      <c r="D184">
        <v>323</v>
      </c>
      <c r="E184" t="str">
        <f>"CLRG CHQ DR"</f>
        <v>CLRG CHQ DR</v>
      </c>
      <c r="F184">
        <v>0</v>
      </c>
      <c r="G184" t="str">
        <f>"00688127"</f>
        <v>00688127</v>
      </c>
      <c r="H184" s="2">
        <v>10600</v>
      </c>
      <c r="I184" t="s">
        <v>26</v>
      </c>
      <c r="J184" s="2">
        <v>3152462.08</v>
      </c>
      <c r="K184" t="s">
        <v>27</v>
      </c>
      <c r="L184">
        <v>10307</v>
      </c>
      <c r="M184" t="str">
        <f>""</f>
        <v/>
      </c>
      <c r="O184">
        <v>1</v>
      </c>
    </row>
    <row r="185" spans="1:17" x14ac:dyDescent="0.25">
      <c r="A185">
        <v>8003879954</v>
      </c>
      <c r="B185">
        <v>3</v>
      </c>
      <c r="C185">
        <v>13022018</v>
      </c>
      <c r="D185">
        <v>323</v>
      </c>
      <c r="E185" t="str">
        <f>"CLRG CHQ DR"</f>
        <v>CLRG CHQ DR</v>
      </c>
      <c r="F185">
        <v>0</v>
      </c>
      <c r="G185" t="str">
        <f>"00688116"</f>
        <v>00688116</v>
      </c>
      <c r="H185" s="2">
        <v>263.2</v>
      </c>
      <c r="I185" t="s">
        <v>26</v>
      </c>
      <c r="J185" s="2">
        <v>3163062.08</v>
      </c>
      <c r="K185" t="s">
        <v>27</v>
      </c>
      <c r="L185">
        <v>10307</v>
      </c>
      <c r="M185" t="str">
        <f>""</f>
        <v/>
      </c>
      <c r="O185">
        <v>1</v>
      </c>
    </row>
    <row r="186" spans="1:17" x14ac:dyDescent="0.25">
      <c r="A186">
        <v>8003879954</v>
      </c>
      <c r="B186">
        <v>2</v>
      </c>
      <c r="C186">
        <v>13022018</v>
      </c>
      <c r="D186">
        <v>323</v>
      </c>
      <c r="E186" t="str">
        <f>"CLRG CHQ DR"</f>
        <v>CLRG CHQ DR</v>
      </c>
      <c r="F186">
        <v>0</v>
      </c>
      <c r="G186" t="str">
        <f>"00688115"</f>
        <v>00688115</v>
      </c>
      <c r="H186" s="2">
        <v>1547.5</v>
      </c>
      <c r="I186" t="s">
        <v>26</v>
      </c>
      <c r="J186" s="2">
        <v>3163325.28</v>
      </c>
      <c r="K186" t="s">
        <v>27</v>
      </c>
      <c r="L186">
        <v>10307</v>
      </c>
      <c r="M186" t="str">
        <f>""</f>
        <v/>
      </c>
      <c r="O186">
        <v>1</v>
      </c>
    </row>
    <row r="187" spans="1:17" x14ac:dyDescent="0.25">
      <c r="A187">
        <v>8003879954</v>
      </c>
      <c r="B187">
        <v>1</v>
      </c>
      <c r="C187">
        <v>13022018</v>
      </c>
      <c r="D187">
        <v>321</v>
      </c>
      <c r="E187" t="str">
        <f>"HOUSE CHQ DR"</f>
        <v>HOUSE CHQ DR</v>
      </c>
      <c r="F187">
        <v>0</v>
      </c>
      <c r="G187" t="str">
        <f>"00688105"</f>
        <v>00688105</v>
      </c>
      <c r="H187" s="2">
        <v>12296</v>
      </c>
      <c r="I187" t="s">
        <v>26</v>
      </c>
      <c r="J187" s="2">
        <v>3164872.78</v>
      </c>
      <c r="K187" t="s">
        <v>27</v>
      </c>
      <c r="L187">
        <v>10307</v>
      </c>
      <c r="M187" t="str">
        <f>""</f>
        <v/>
      </c>
      <c r="O187">
        <v>1</v>
      </c>
    </row>
    <row r="188" spans="1:17" x14ac:dyDescent="0.25">
      <c r="A188">
        <v>8003879954</v>
      </c>
      <c r="B188">
        <v>7</v>
      </c>
      <c r="C188">
        <v>12022018</v>
      </c>
      <c r="D188">
        <v>299</v>
      </c>
      <c r="E188" t="str">
        <f>"GST"</f>
        <v>GST</v>
      </c>
      <c r="H188" s="2">
        <v>0.06</v>
      </c>
      <c r="I188" t="s">
        <v>26</v>
      </c>
      <c r="J188" s="2">
        <v>3177168.78</v>
      </c>
      <c r="K188" t="s">
        <v>27</v>
      </c>
      <c r="L188">
        <v>10235</v>
      </c>
      <c r="M188" t="str">
        <f>""</f>
        <v/>
      </c>
      <c r="O188">
        <v>1</v>
      </c>
    </row>
    <row r="189" spans="1:17" x14ac:dyDescent="0.25">
      <c r="A189">
        <v>8003879954</v>
      </c>
      <c r="B189">
        <v>6</v>
      </c>
      <c r="C189">
        <v>12022018</v>
      </c>
      <c r="D189">
        <v>819</v>
      </c>
      <c r="E189" t="str">
        <f>"CHQ PROCESSING FEE"</f>
        <v>CHQ PROCESSING FEE</v>
      </c>
      <c r="H189" s="2">
        <v>1</v>
      </c>
      <c r="I189" t="s">
        <v>26</v>
      </c>
      <c r="J189" s="2">
        <v>3177168.84</v>
      </c>
      <c r="K189" t="s">
        <v>27</v>
      </c>
      <c r="L189">
        <v>10235</v>
      </c>
      <c r="M189" t="str">
        <f>""</f>
        <v/>
      </c>
      <c r="O189">
        <v>1</v>
      </c>
    </row>
    <row r="190" spans="1:17" x14ac:dyDescent="0.25">
      <c r="A190">
        <v>8003879954</v>
      </c>
      <c r="B190">
        <v>5</v>
      </c>
      <c r="C190">
        <v>12022018</v>
      </c>
      <c r="D190">
        <v>321</v>
      </c>
      <c r="E190" t="str">
        <f>"HOUSE CHQ DR"</f>
        <v>HOUSE CHQ DR</v>
      </c>
      <c r="F190">
        <v>0</v>
      </c>
      <c r="G190" t="str">
        <f>"00688129"</f>
        <v>00688129</v>
      </c>
      <c r="H190" s="2">
        <v>417</v>
      </c>
      <c r="I190" t="s">
        <v>26</v>
      </c>
      <c r="J190" s="2">
        <v>3177169.84</v>
      </c>
      <c r="K190" t="s">
        <v>27</v>
      </c>
      <c r="L190">
        <v>5954</v>
      </c>
      <c r="M190" t="str">
        <f>""</f>
        <v/>
      </c>
      <c r="O190">
        <v>1</v>
      </c>
    </row>
    <row r="191" spans="1:17" x14ac:dyDescent="0.25">
      <c r="A191">
        <v>8003879954</v>
      </c>
      <c r="B191">
        <v>4</v>
      </c>
      <c r="C191">
        <v>12022018</v>
      </c>
      <c r="D191">
        <v>321</v>
      </c>
      <c r="E191" t="str">
        <f>"HOUSE CHQ DR"</f>
        <v>HOUSE CHQ DR</v>
      </c>
      <c r="F191">
        <v>0</v>
      </c>
      <c r="G191" t="str">
        <f>"00688128"</f>
        <v>00688128</v>
      </c>
      <c r="H191" s="2">
        <v>1751.15</v>
      </c>
      <c r="I191" t="s">
        <v>26</v>
      </c>
      <c r="J191" s="2">
        <v>3177586.84</v>
      </c>
      <c r="K191" t="s">
        <v>27</v>
      </c>
      <c r="L191">
        <v>5954</v>
      </c>
      <c r="M191" t="str">
        <f>""</f>
        <v/>
      </c>
      <c r="O191">
        <v>1</v>
      </c>
    </row>
    <row r="192" spans="1:17" x14ac:dyDescent="0.25">
      <c r="A192">
        <v>8003879954</v>
      </c>
      <c r="B192">
        <v>3</v>
      </c>
      <c r="C192">
        <v>12022018</v>
      </c>
      <c r="D192">
        <v>299</v>
      </c>
      <c r="E192" t="s">
        <v>506</v>
      </c>
      <c r="F192">
        <v>72</v>
      </c>
      <c r="G192" t="str">
        <f>"283051798"</f>
        <v>283051798</v>
      </c>
      <c r="H192" s="2">
        <v>1.8</v>
      </c>
      <c r="I192" t="s">
        <v>26</v>
      </c>
      <c r="J192" s="2">
        <v>3179337.99</v>
      </c>
      <c r="K192" t="s">
        <v>27</v>
      </c>
      <c r="L192">
        <v>161813</v>
      </c>
      <c r="M192" t="str">
        <f>"00722120218T5469                       S"</f>
        <v>00722120218T5469                       S</v>
      </c>
      <c r="O192">
        <v>1</v>
      </c>
    </row>
    <row r="193" spans="1:18" x14ac:dyDescent="0.25">
      <c r="A193">
        <v>8003879954</v>
      </c>
      <c r="B193">
        <v>2</v>
      </c>
      <c r="C193">
        <v>12022018</v>
      </c>
      <c r="D193">
        <v>415</v>
      </c>
      <c r="E193" s="14" t="str">
        <f>"TELEX/FAX"</f>
        <v>TELEX/FAX</v>
      </c>
      <c r="F193">
        <v>72</v>
      </c>
      <c r="G193" t="str">
        <f>"283051798"</f>
        <v>283051798</v>
      </c>
      <c r="H193" s="2">
        <v>30</v>
      </c>
      <c r="I193" t="s">
        <v>26</v>
      </c>
      <c r="J193" s="2">
        <v>3179339.79</v>
      </c>
      <c r="K193" t="s">
        <v>27</v>
      </c>
      <c r="L193">
        <v>161813</v>
      </c>
      <c r="M193" t="str">
        <f>"00722120218T5469                       S"</f>
        <v>00722120218T5469                       S</v>
      </c>
      <c r="O193">
        <v>1</v>
      </c>
    </row>
    <row r="194" spans="1:18" x14ac:dyDescent="0.25">
      <c r="A194">
        <v>8003879954</v>
      </c>
      <c r="B194">
        <v>1</v>
      </c>
      <c r="C194">
        <v>12022018</v>
      </c>
      <c r="D194">
        <v>349</v>
      </c>
      <c r="E194" t="str">
        <f>"TR TO REMITT"</f>
        <v>TR TO REMITT</v>
      </c>
      <c r="F194">
        <v>72</v>
      </c>
      <c r="G194" t="str">
        <f>"283051798"</f>
        <v>283051798</v>
      </c>
      <c r="H194" s="2">
        <v>35210.879999999997</v>
      </c>
      <c r="I194" t="s">
        <v>26</v>
      </c>
      <c r="J194" s="2">
        <v>3179369.79</v>
      </c>
      <c r="K194" t="s">
        <v>27</v>
      </c>
      <c r="L194">
        <v>161813</v>
      </c>
      <c r="M194" t="str">
        <f>"00722120218T5469                       S"</f>
        <v>00722120218T5469                       S</v>
      </c>
      <c r="O194">
        <v>1</v>
      </c>
    </row>
    <row r="195" spans="1:18" x14ac:dyDescent="0.25">
      <c r="A195">
        <v>8003879954</v>
      </c>
      <c r="B195">
        <v>9</v>
      </c>
      <c r="C195">
        <v>9022018</v>
      </c>
      <c r="D195">
        <v>299</v>
      </c>
      <c r="E195" t="str">
        <f>"GST"</f>
        <v>GST</v>
      </c>
      <c r="H195" s="2">
        <v>0.03</v>
      </c>
      <c r="I195" t="s">
        <v>26</v>
      </c>
      <c r="J195" s="2">
        <v>3214580.67</v>
      </c>
      <c r="K195" t="s">
        <v>27</v>
      </c>
      <c r="L195">
        <v>5904</v>
      </c>
      <c r="M195" t="str">
        <f>""</f>
        <v/>
      </c>
      <c r="O195">
        <v>1</v>
      </c>
    </row>
    <row r="196" spans="1:18" x14ac:dyDescent="0.25">
      <c r="A196">
        <v>8003879954</v>
      </c>
      <c r="B196">
        <v>8</v>
      </c>
      <c r="C196">
        <v>9022018</v>
      </c>
      <c r="D196">
        <v>819</v>
      </c>
      <c r="E196" t="str">
        <f>"CHQ PROCESSING FEE"</f>
        <v>CHQ PROCESSING FEE</v>
      </c>
      <c r="H196" s="2">
        <v>0.5</v>
      </c>
      <c r="I196" t="s">
        <v>26</v>
      </c>
      <c r="J196" s="2">
        <v>3214580.7</v>
      </c>
      <c r="K196" t="s">
        <v>27</v>
      </c>
      <c r="L196">
        <v>5904</v>
      </c>
      <c r="M196" t="str">
        <f>""</f>
        <v/>
      </c>
      <c r="O196">
        <v>1</v>
      </c>
    </row>
    <row r="197" spans="1:18" x14ac:dyDescent="0.25">
      <c r="A197">
        <v>8003879954</v>
      </c>
      <c r="B197">
        <v>7</v>
      </c>
      <c r="C197">
        <v>9022018</v>
      </c>
      <c r="D197">
        <v>299</v>
      </c>
      <c r="E197" t="str">
        <f>"GST"</f>
        <v>GST</v>
      </c>
      <c r="H197" s="2">
        <v>0.03</v>
      </c>
      <c r="I197" t="s">
        <v>26</v>
      </c>
      <c r="J197" s="2">
        <v>3214581.2</v>
      </c>
      <c r="K197" t="s">
        <v>27</v>
      </c>
      <c r="L197">
        <v>5904</v>
      </c>
      <c r="M197" t="str">
        <f>""</f>
        <v/>
      </c>
      <c r="O197">
        <v>1</v>
      </c>
    </row>
    <row r="198" spans="1:18" x14ac:dyDescent="0.25">
      <c r="A198">
        <v>8003879954</v>
      </c>
      <c r="B198">
        <v>6</v>
      </c>
      <c r="C198">
        <v>9022018</v>
      </c>
      <c r="D198">
        <v>819</v>
      </c>
      <c r="E198" t="str">
        <f>"CHQ PROCESSING FEE"</f>
        <v>CHQ PROCESSING FEE</v>
      </c>
      <c r="H198" s="2">
        <v>0.5</v>
      </c>
      <c r="I198" t="s">
        <v>26</v>
      </c>
      <c r="J198" s="2">
        <v>3214581.23</v>
      </c>
      <c r="K198" t="s">
        <v>27</v>
      </c>
      <c r="L198">
        <v>5904</v>
      </c>
      <c r="M198" t="str">
        <f>""</f>
        <v/>
      </c>
      <c r="O198">
        <v>1</v>
      </c>
    </row>
    <row r="199" spans="1:18" x14ac:dyDescent="0.25">
      <c r="A199">
        <v>8003879954</v>
      </c>
      <c r="B199">
        <v>5</v>
      </c>
      <c r="C199">
        <v>9022018</v>
      </c>
      <c r="D199">
        <v>321</v>
      </c>
      <c r="E199" t="str">
        <f>"HOUSE CHQ DR"</f>
        <v>HOUSE CHQ DR</v>
      </c>
      <c r="F199">
        <v>0</v>
      </c>
      <c r="G199" t="str">
        <f>"00688117"</f>
        <v>00688117</v>
      </c>
      <c r="H199" s="2">
        <v>4487.55</v>
      </c>
      <c r="I199" t="s">
        <v>26</v>
      </c>
      <c r="J199" s="2">
        <v>3214581.73</v>
      </c>
      <c r="K199" t="s">
        <v>27</v>
      </c>
      <c r="L199">
        <v>5710</v>
      </c>
      <c r="M199" t="str">
        <f>""</f>
        <v/>
      </c>
      <c r="O199">
        <v>1</v>
      </c>
    </row>
    <row r="200" spans="1:18" x14ac:dyDescent="0.25">
      <c r="A200">
        <v>8003879954</v>
      </c>
      <c r="B200">
        <v>4</v>
      </c>
      <c r="C200">
        <v>9022018</v>
      </c>
      <c r="D200">
        <v>323</v>
      </c>
      <c r="E200" t="str">
        <f>"CLRG CHQ DR"</f>
        <v>CLRG CHQ DR</v>
      </c>
      <c r="F200">
        <v>0</v>
      </c>
      <c r="G200" t="str">
        <f>"00688114"</f>
        <v>00688114</v>
      </c>
      <c r="H200" s="2">
        <v>22092</v>
      </c>
      <c r="I200" t="s">
        <v>26</v>
      </c>
      <c r="J200" s="2">
        <v>3219069.28</v>
      </c>
      <c r="K200" t="s">
        <v>27</v>
      </c>
      <c r="L200">
        <v>5710</v>
      </c>
      <c r="M200" t="str">
        <f>""</f>
        <v/>
      </c>
      <c r="O200">
        <v>1</v>
      </c>
    </row>
    <row r="201" spans="1:18" x14ac:dyDescent="0.25">
      <c r="A201">
        <v>8003879954</v>
      </c>
      <c r="B201">
        <v>3</v>
      </c>
      <c r="C201">
        <v>9022018</v>
      </c>
      <c r="D201">
        <v>5</v>
      </c>
      <c r="E201" t="str">
        <f>"REMITTANCE CR"</f>
        <v>REMITTANCE CR</v>
      </c>
      <c r="H201" s="2">
        <v>150000</v>
      </c>
      <c r="I201" t="s">
        <v>27</v>
      </c>
      <c r="J201" s="2">
        <v>3241161.28</v>
      </c>
      <c r="K201" t="s">
        <v>27</v>
      </c>
      <c r="L201">
        <v>91341</v>
      </c>
      <c r="M201" t="str">
        <f>"/ROC/KELULUSAN KHAS BENDAHARI NEGERI PUL"</f>
        <v>/ROC/KELULUSAN KHAS BENDAHARI NEGERI PUL</v>
      </c>
      <c r="O201">
        <v>1</v>
      </c>
      <c r="P201" t="str">
        <f>"KELULUSAN KHAS PENGG"</f>
        <v>KELULUSAN KHAS PENGG</v>
      </c>
      <c r="Q201" t="str">
        <f>"R"</f>
        <v>R</v>
      </c>
      <c r="R201" t="str">
        <f>"BENDAHARI NEGERI PUL"</f>
        <v>BENDAHARI NEGERI PUL</v>
      </c>
    </row>
    <row r="202" spans="1:18" x14ac:dyDescent="0.25">
      <c r="A202">
        <v>8003879954</v>
      </c>
      <c r="B202">
        <v>2</v>
      </c>
      <c r="C202">
        <v>9022018</v>
      </c>
      <c r="D202">
        <v>5</v>
      </c>
      <c r="E202" t="str">
        <f>"REMITTANCE CR"</f>
        <v>REMITTANCE CR</v>
      </c>
      <c r="H202" s="2">
        <v>1000000</v>
      </c>
      <c r="I202" t="s">
        <v>27</v>
      </c>
      <c r="J202" s="2">
        <v>3091161.28</v>
      </c>
      <c r="K202" t="s">
        <v>27</v>
      </c>
      <c r="L202">
        <v>91340</v>
      </c>
      <c r="M202" t="str">
        <f>"/ROC/KELULUSAN KHAS BENDAHARI NEGERI PUL"</f>
        <v>/ROC/KELULUSAN KHAS BENDAHARI NEGERI PUL</v>
      </c>
      <c r="O202">
        <v>1</v>
      </c>
      <c r="P202" t="str">
        <f>"KELULUSAN KHAS PENGG"</f>
        <v>KELULUSAN KHAS PENGG</v>
      </c>
      <c r="Q202" t="str">
        <f>"R"</f>
        <v>R</v>
      </c>
      <c r="R202" t="str">
        <f>"BENDAHARI NEGERI PUL"</f>
        <v>BENDAHARI NEGERI PUL</v>
      </c>
    </row>
    <row r="203" spans="1:18" x14ac:dyDescent="0.25">
      <c r="A203">
        <v>8003879954</v>
      </c>
      <c r="B203">
        <v>1</v>
      </c>
      <c r="C203">
        <v>9022018</v>
      </c>
      <c r="D203">
        <v>5</v>
      </c>
      <c r="E203" t="str">
        <f>"REMITTANCE CR"</f>
        <v>REMITTANCE CR</v>
      </c>
      <c r="H203" s="2">
        <v>150000</v>
      </c>
      <c r="I203" t="s">
        <v>27</v>
      </c>
      <c r="J203" s="2">
        <v>2091161.28</v>
      </c>
      <c r="K203" t="s">
        <v>27</v>
      </c>
      <c r="L203">
        <v>91340</v>
      </c>
      <c r="M203" t="str">
        <f>"/ROC/KELULUSAN KHAS BENDAHARI NEGERI PUL"</f>
        <v>/ROC/KELULUSAN KHAS BENDAHARI NEGERI PUL</v>
      </c>
      <c r="O203">
        <v>1</v>
      </c>
      <c r="P203" t="str">
        <f>"KELULUSAN KHAS PENGG"</f>
        <v>KELULUSAN KHAS PENGG</v>
      </c>
      <c r="Q203" t="str">
        <f>"R"</f>
        <v>R</v>
      </c>
      <c r="R203" t="str">
        <f>"BENDAHARI NEGERI PUL"</f>
        <v>BENDAHARI NEGERI PUL</v>
      </c>
    </row>
    <row r="204" spans="1:18" x14ac:dyDescent="0.25">
      <c r="A204">
        <v>8003879954</v>
      </c>
      <c r="B204">
        <v>4</v>
      </c>
      <c r="C204">
        <v>8022018</v>
      </c>
      <c r="D204">
        <v>299</v>
      </c>
      <c r="E204" t="str">
        <f>"GST"</f>
        <v>GST</v>
      </c>
      <c r="H204" s="2">
        <v>0.03</v>
      </c>
      <c r="I204" t="s">
        <v>26</v>
      </c>
      <c r="J204" s="2">
        <v>1941161.28</v>
      </c>
      <c r="K204" t="s">
        <v>27</v>
      </c>
      <c r="L204">
        <v>13321</v>
      </c>
      <c r="M204" t="str">
        <f>""</f>
        <v/>
      </c>
      <c r="O204">
        <v>1</v>
      </c>
    </row>
    <row r="205" spans="1:18" x14ac:dyDescent="0.25">
      <c r="A205">
        <v>8003879954</v>
      </c>
      <c r="B205">
        <v>3</v>
      </c>
      <c r="C205">
        <v>8022018</v>
      </c>
      <c r="D205">
        <v>819</v>
      </c>
      <c r="E205" t="str">
        <f>"CHQ PROCESSING FEE"</f>
        <v>CHQ PROCESSING FEE</v>
      </c>
      <c r="H205" s="2">
        <v>0.5</v>
      </c>
      <c r="I205" t="s">
        <v>26</v>
      </c>
      <c r="J205" s="2">
        <v>1941161.31</v>
      </c>
      <c r="K205" t="s">
        <v>27</v>
      </c>
      <c r="L205">
        <v>13321</v>
      </c>
      <c r="M205" t="str">
        <f>""</f>
        <v/>
      </c>
      <c r="O205">
        <v>1</v>
      </c>
    </row>
    <row r="206" spans="1:18" x14ac:dyDescent="0.25">
      <c r="A206">
        <v>8003879954</v>
      </c>
      <c r="B206">
        <v>2</v>
      </c>
      <c r="C206">
        <v>8022018</v>
      </c>
      <c r="D206">
        <v>323</v>
      </c>
      <c r="E206" t="str">
        <f>"CLRG CHQ DR"</f>
        <v>CLRG CHQ DR</v>
      </c>
      <c r="F206">
        <v>0</v>
      </c>
      <c r="G206" t="str">
        <f>"00688120"</f>
        <v>00688120</v>
      </c>
      <c r="H206" s="2">
        <v>25000</v>
      </c>
      <c r="I206" t="s">
        <v>26</v>
      </c>
      <c r="J206" s="2">
        <v>1941161.81</v>
      </c>
      <c r="K206" t="s">
        <v>27</v>
      </c>
      <c r="L206">
        <v>13223</v>
      </c>
      <c r="M206" t="str">
        <f>""</f>
        <v/>
      </c>
      <c r="O206">
        <v>1</v>
      </c>
    </row>
    <row r="207" spans="1:18" x14ac:dyDescent="0.25">
      <c r="A207">
        <v>8003879954</v>
      </c>
      <c r="B207">
        <v>1</v>
      </c>
      <c r="C207">
        <v>8022018</v>
      </c>
      <c r="D207">
        <v>141</v>
      </c>
      <c r="E207" t="str">
        <f>"I-FUNDS TR FROM SA"</f>
        <v>I-FUNDS TR FROM SA</v>
      </c>
      <c r="F207">
        <v>4069</v>
      </c>
      <c r="G207" t="str">
        <f>"23154"</f>
        <v>23154</v>
      </c>
      <c r="H207" s="2">
        <v>360</v>
      </c>
      <c r="I207" t="s">
        <v>27</v>
      </c>
      <c r="J207" s="2">
        <v>1966161.81</v>
      </c>
      <c r="K207" t="s">
        <v>27</v>
      </c>
      <c r="L207">
        <v>152555</v>
      </c>
      <c r="M207" t="str">
        <f>""</f>
        <v/>
      </c>
      <c r="O207">
        <v>1</v>
      </c>
      <c r="P207" t="str">
        <f>"Balance from RELA"</f>
        <v>Balance from RELA</v>
      </c>
      <c r="Q207" t="str">
        <f>"Jan 2018"</f>
        <v>Jan 2018</v>
      </c>
      <c r="R207" t="str">
        <f>"AZFALYZA BINTI ABDUL"</f>
        <v>AZFALYZA BINTI ABDUL</v>
      </c>
    </row>
    <row r="208" spans="1:18" x14ac:dyDescent="0.25">
      <c r="A208">
        <v>8003879954</v>
      </c>
      <c r="B208">
        <v>10</v>
      </c>
      <c r="C208">
        <v>7022018</v>
      </c>
      <c r="D208">
        <v>299</v>
      </c>
      <c r="E208" t="s">
        <v>506</v>
      </c>
      <c r="F208">
        <v>72</v>
      </c>
      <c r="G208" t="str">
        <f>"283037472"</f>
        <v>283037472</v>
      </c>
      <c r="H208" s="2">
        <v>1.8</v>
      </c>
      <c r="I208" t="s">
        <v>26</v>
      </c>
      <c r="J208" s="2">
        <v>1965801.81</v>
      </c>
      <c r="K208" t="s">
        <v>27</v>
      </c>
      <c r="L208">
        <v>182931</v>
      </c>
      <c r="M208" t="str">
        <f>"00722070218T5669                       M"</f>
        <v>00722070218T5669                       M</v>
      </c>
      <c r="O208">
        <v>1</v>
      </c>
    </row>
    <row r="209" spans="1:18" x14ac:dyDescent="0.25">
      <c r="A209">
        <v>8003879954</v>
      </c>
      <c r="B209">
        <v>9</v>
      </c>
      <c r="C209">
        <v>7022018</v>
      </c>
      <c r="D209">
        <v>415</v>
      </c>
      <c r="E209" s="14" t="str">
        <f>"TELEX/FAX"</f>
        <v>TELEX/FAX</v>
      </c>
      <c r="F209">
        <v>72</v>
      </c>
      <c r="G209" t="str">
        <f>"283037472"</f>
        <v>283037472</v>
      </c>
      <c r="H209" s="2">
        <v>30</v>
      </c>
      <c r="I209" t="s">
        <v>26</v>
      </c>
      <c r="J209" s="2">
        <v>1965803.61</v>
      </c>
      <c r="K209" t="s">
        <v>27</v>
      </c>
      <c r="L209">
        <v>182931</v>
      </c>
      <c r="M209" t="str">
        <f>"00722070218T5669                       M"</f>
        <v>00722070218T5669                       M</v>
      </c>
      <c r="O209">
        <v>1</v>
      </c>
    </row>
    <row r="210" spans="1:18" x14ac:dyDescent="0.25">
      <c r="A210">
        <v>8003879954</v>
      </c>
      <c r="B210">
        <v>8</v>
      </c>
      <c r="C210">
        <v>7022018</v>
      </c>
      <c r="D210">
        <v>349</v>
      </c>
      <c r="E210" t="str">
        <f>"TR TO REMITT"</f>
        <v>TR TO REMITT</v>
      </c>
      <c r="F210">
        <v>72</v>
      </c>
      <c r="G210" t="str">
        <f>"283037472"</f>
        <v>283037472</v>
      </c>
      <c r="H210" s="2">
        <v>68728</v>
      </c>
      <c r="I210" t="s">
        <v>26</v>
      </c>
      <c r="J210" s="2">
        <v>1965833.61</v>
      </c>
      <c r="K210" t="s">
        <v>27</v>
      </c>
      <c r="L210">
        <v>182931</v>
      </c>
      <c r="M210" t="str">
        <f>"00722070218T5669                       M"</f>
        <v>00722070218T5669                       M</v>
      </c>
      <c r="O210">
        <v>1</v>
      </c>
    </row>
    <row r="211" spans="1:18" x14ac:dyDescent="0.25">
      <c r="A211">
        <v>8003879954</v>
      </c>
      <c r="B211">
        <v>7</v>
      </c>
      <c r="C211">
        <v>7022018</v>
      </c>
      <c r="D211">
        <v>299</v>
      </c>
      <c r="E211" t="s">
        <v>506</v>
      </c>
      <c r="F211">
        <v>72</v>
      </c>
      <c r="G211" t="str">
        <f>"283037438"</f>
        <v>283037438</v>
      </c>
      <c r="H211" s="2">
        <v>1.8</v>
      </c>
      <c r="I211" t="s">
        <v>26</v>
      </c>
      <c r="J211" s="2">
        <v>2034561.61</v>
      </c>
      <c r="K211" t="s">
        <v>27</v>
      </c>
      <c r="L211">
        <v>182728</v>
      </c>
      <c r="M211" t="str">
        <f>"00722070218T5666                       A"</f>
        <v>00722070218T5666                       A</v>
      </c>
      <c r="O211">
        <v>1</v>
      </c>
    </row>
    <row r="212" spans="1:18" x14ac:dyDescent="0.25">
      <c r="A212">
        <v>8003879954</v>
      </c>
      <c r="B212">
        <v>6</v>
      </c>
      <c r="C212">
        <v>7022018</v>
      </c>
      <c r="D212">
        <v>415</v>
      </c>
      <c r="E212" s="14" t="str">
        <f>"TELEX/FAX"</f>
        <v>TELEX/FAX</v>
      </c>
      <c r="F212">
        <v>72</v>
      </c>
      <c r="G212" t="str">
        <f>"283037438"</f>
        <v>283037438</v>
      </c>
      <c r="H212" s="2">
        <v>30</v>
      </c>
      <c r="I212" t="s">
        <v>26</v>
      </c>
      <c r="J212" s="2">
        <v>2034563.41</v>
      </c>
      <c r="K212" t="s">
        <v>27</v>
      </c>
      <c r="L212">
        <v>182728</v>
      </c>
      <c r="M212" t="str">
        <f>"00722070218T5666                       A"</f>
        <v>00722070218T5666                       A</v>
      </c>
      <c r="O212">
        <v>1</v>
      </c>
    </row>
    <row r="213" spans="1:18" x14ac:dyDescent="0.25">
      <c r="A213">
        <v>8003879954</v>
      </c>
      <c r="B213">
        <v>5</v>
      </c>
      <c r="C213">
        <v>7022018</v>
      </c>
      <c r="D213">
        <v>349</v>
      </c>
      <c r="E213" t="str">
        <f>"TR TO REMITT"</f>
        <v>TR TO REMITT</v>
      </c>
      <c r="F213">
        <v>72</v>
      </c>
      <c r="G213" t="str">
        <f>"283037438"</f>
        <v>283037438</v>
      </c>
      <c r="H213" s="2">
        <v>88257.600000000006</v>
      </c>
      <c r="I213" t="s">
        <v>26</v>
      </c>
      <c r="J213" s="2">
        <v>2034593.41</v>
      </c>
      <c r="K213" t="s">
        <v>27</v>
      </c>
      <c r="L213">
        <v>182728</v>
      </c>
      <c r="M213" t="str">
        <f>"00722070218T5666                       A"</f>
        <v>00722070218T5666                       A</v>
      </c>
      <c r="O213">
        <v>1</v>
      </c>
    </row>
    <row r="214" spans="1:18" x14ac:dyDescent="0.25">
      <c r="A214">
        <v>8003879954</v>
      </c>
      <c r="B214">
        <v>4</v>
      </c>
      <c r="C214">
        <v>7022018</v>
      </c>
      <c r="D214">
        <v>174</v>
      </c>
      <c r="E214" t="str">
        <f>"IBG CREDIT"</f>
        <v>IBG CREDIT</v>
      </c>
      <c r="F214">
        <v>2001</v>
      </c>
      <c r="G214" t="str">
        <f>"818038710304793"</f>
        <v>818038710304793</v>
      </c>
      <c r="H214" s="2">
        <v>160000</v>
      </c>
      <c r="I214" t="s">
        <v>27</v>
      </c>
      <c r="J214" s="2">
        <v>2122851.0099999998</v>
      </c>
      <c r="K214" t="s">
        <v>27</v>
      </c>
      <c r="L214">
        <v>151250</v>
      </c>
      <c r="M214" t="str">
        <f>"RHB ASSET MGMT SB"</f>
        <v>RHB ASSET MGMT SB</v>
      </c>
      <c r="O214">
        <v>1</v>
      </c>
      <c r="P214" t="str">
        <f>"RHB ASSET MGMT SB"</f>
        <v>RHB ASSET MGMT SB</v>
      </c>
      <c r="R214" t="str">
        <f>"RHB ASSET MANAGEMENT"</f>
        <v>RHB ASSET MANAGEMENT</v>
      </c>
    </row>
    <row r="215" spans="1:18" x14ac:dyDescent="0.25">
      <c r="A215">
        <v>8003879954</v>
      </c>
      <c r="B215">
        <v>3</v>
      </c>
      <c r="C215">
        <v>7022018</v>
      </c>
      <c r="D215">
        <v>5</v>
      </c>
      <c r="E215" t="str">
        <f>"REMITTANCE CR"</f>
        <v>REMITTANCE CR</v>
      </c>
      <c r="H215" s="2">
        <v>120000</v>
      </c>
      <c r="I215" t="s">
        <v>27</v>
      </c>
      <c r="J215" s="2">
        <v>1962851.01</v>
      </c>
      <c r="K215" t="s">
        <v>27</v>
      </c>
      <c r="L215">
        <v>144251</v>
      </c>
      <c r="M215" t="str">
        <f>"/ROC/ADE - INV PGT- AXIATA DIGITAL SERVI"</f>
        <v>/ROC/ADE - INV PGT- AXIATA DIGITAL SERVI</v>
      </c>
      <c r="O215">
        <v>1</v>
      </c>
      <c r="P215" t="str">
        <f>"ADE - INV PGT-2018/0"</f>
        <v>ADE - INV PGT-2018/0</v>
      </c>
      <c r="Q215" t="str">
        <f>"."</f>
        <v>.</v>
      </c>
      <c r="R215" t="str">
        <f>"AXIATA DIGITAL SERVI"</f>
        <v>AXIATA DIGITAL SERVI</v>
      </c>
    </row>
    <row r="216" spans="1:18" x14ac:dyDescent="0.25">
      <c r="A216">
        <v>8003879954</v>
      </c>
      <c r="B216">
        <v>2</v>
      </c>
      <c r="C216">
        <v>7022018</v>
      </c>
      <c r="D216">
        <v>174</v>
      </c>
      <c r="E216" t="str">
        <f>"IBG CREDIT"</f>
        <v>IBG CREDIT</v>
      </c>
      <c r="F216">
        <v>2001</v>
      </c>
      <c r="G216" t="str">
        <f>"518038710312779"</f>
        <v>518038710312779</v>
      </c>
      <c r="H216" s="2">
        <v>750</v>
      </c>
      <c r="I216" t="s">
        <v>27</v>
      </c>
      <c r="J216" s="2">
        <v>1842851.01</v>
      </c>
      <c r="K216" t="s">
        <v>27</v>
      </c>
      <c r="L216">
        <v>91305</v>
      </c>
      <c r="M216" t="str">
        <f>"PAYMENT"</f>
        <v>PAYMENT</v>
      </c>
      <c r="O216">
        <v>1</v>
      </c>
      <c r="P216" t="str">
        <f>"PAYMENT"</f>
        <v>PAYMENT</v>
      </c>
      <c r="Q216" t="str">
        <f>"20180205E0016826"</f>
        <v>20180205E0016826</v>
      </c>
      <c r="R216" t="str">
        <f>"SENTRAL EDUCATION SD"</f>
        <v>SENTRAL EDUCATION SD</v>
      </c>
    </row>
    <row r="217" spans="1:18" x14ac:dyDescent="0.25">
      <c r="A217">
        <v>8003879954</v>
      </c>
      <c r="B217">
        <v>1</v>
      </c>
      <c r="C217">
        <v>7022018</v>
      </c>
      <c r="D217">
        <v>5</v>
      </c>
      <c r="E217" t="str">
        <f>"REMITTANCE CR"</f>
        <v>REMITTANCE CR</v>
      </c>
      <c r="H217" s="2">
        <v>1500000</v>
      </c>
      <c r="I217" t="s">
        <v>27</v>
      </c>
      <c r="J217" s="2">
        <v>1842101.01</v>
      </c>
      <c r="K217" t="s">
        <v>27</v>
      </c>
      <c r="L217">
        <v>91125</v>
      </c>
      <c r="M217" t="str">
        <f>"/ROC/KELULUSAN KHAS BENDAHARI NEGERI PUL"</f>
        <v>/ROC/KELULUSAN KHAS BENDAHARI NEGERI PUL</v>
      </c>
      <c r="O217">
        <v>1</v>
      </c>
      <c r="P217" t="str">
        <f>"KELULUSAN KHAS PENGG"</f>
        <v>KELULUSAN KHAS PENGG</v>
      </c>
      <c r="Q217" t="str">
        <f>"R"</f>
        <v>R</v>
      </c>
      <c r="R217" t="str">
        <f>"BENDAHARI NEGERI PUL"</f>
        <v>BENDAHARI NEGERI PUL</v>
      </c>
    </row>
    <row r="218" spans="1:18" x14ac:dyDescent="0.25">
      <c r="A218">
        <v>8003879954</v>
      </c>
      <c r="B218">
        <v>41</v>
      </c>
      <c r="C218">
        <v>6022018</v>
      </c>
      <c r="D218">
        <v>299</v>
      </c>
      <c r="E218" t="str">
        <f>"GST"</f>
        <v>GST</v>
      </c>
      <c r="H218" s="2">
        <v>0.06</v>
      </c>
      <c r="I218" t="s">
        <v>26</v>
      </c>
      <c r="J218" s="2">
        <v>342101.01</v>
      </c>
      <c r="K218" t="s">
        <v>27</v>
      </c>
      <c r="L218">
        <v>10030</v>
      </c>
      <c r="M218" t="str">
        <f>""</f>
        <v/>
      </c>
      <c r="O218">
        <v>1</v>
      </c>
    </row>
    <row r="219" spans="1:18" x14ac:dyDescent="0.25">
      <c r="A219">
        <v>8003879954</v>
      </c>
      <c r="B219">
        <v>40</v>
      </c>
      <c r="C219">
        <v>6022018</v>
      </c>
      <c r="D219">
        <v>819</v>
      </c>
      <c r="E219" t="str">
        <f>"CHQ PROCESSING FEE"</f>
        <v>CHQ PROCESSING FEE</v>
      </c>
      <c r="H219" s="2">
        <v>1</v>
      </c>
      <c r="I219" t="s">
        <v>26</v>
      </c>
      <c r="J219" s="2">
        <v>342101.07</v>
      </c>
      <c r="K219" t="s">
        <v>27</v>
      </c>
      <c r="L219">
        <v>10030</v>
      </c>
      <c r="M219" t="str">
        <f>""</f>
        <v/>
      </c>
      <c r="O219">
        <v>1</v>
      </c>
    </row>
    <row r="220" spans="1:18" x14ac:dyDescent="0.25">
      <c r="A220">
        <v>8003879954</v>
      </c>
      <c r="B220">
        <v>39</v>
      </c>
      <c r="C220">
        <v>6022018</v>
      </c>
      <c r="D220">
        <v>323</v>
      </c>
      <c r="E220" t="str">
        <f>"CLRG CHQ DR"</f>
        <v>CLRG CHQ DR</v>
      </c>
      <c r="F220">
        <v>0</v>
      </c>
      <c r="G220" t="str">
        <f>"00688122"</f>
        <v>00688122</v>
      </c>
      <c r="H220" s="2">
        <v>700000</v>
      </c>
      <c r="I220" t="s">
        <v>26</v>
      </c>
      <c r="J220" s="2">
        <v>342102.07</v>
      </c>
      <c r="K220" t="s">
        <v>27</v>
      </c>
      <c r="L220">
        <v>5811</v>
      </c>
      <c r="M220" t="str">
        <f>""</f>
        <v/>
      </c>
      <c r="O220">
        <v>1</v>
      </c>
    </row>
    <row r="221" spans="1:18" x14ac:dyDescent="0.25">
      <c r="A221">
        <v>8003879954</v>
      </c>
      <c r="B221">
        <v>38</v>
      </c>
      <c r="C221">
        <v>6022018</v>
      </c>
      <c r="D221">
        <v>323</v>
      </c>
      <c r="E221" t="str">
        <f>"CLRG CHQ DR"</f>
        <v>CLRG CHQ DR</v>
      </c>
      <c r="F221">
        <v>0</v>
      </c>
      <c r="G221" t="str">
        <f>"00688121"</f>
        <v>00688121</v>
      </c>
      <c r="H221" s="2">
        <v>159000</v>
      </c>
      <c r="I221" t="s">
        <v>26</v>
      </c>
      <c r="J221" s="2">
        <v>1042102.07</v>
      </c>
      <c r="K221" t="s">
        <v>27</v>
      </c>
      <c r="L221">
        <v>5811</v>
      </c>
      <c r="M221" t="str">
        <f>""</f>
        <v/>
      </c>
      <c r="O221">
        <v>1</v>
      </c>
    </row>
    <row r="222" spans="1:18" x14ac:dyDescent="0.25">
      <c r="A222">
        <v>8003879954</v>
      </c>
      <c r="B222">
        <v>37</v>
      </c>
      <c r="C222">
        <v>6022018</v>
      </c>
      <c r="D222">
        <v>341</v>
      </c>
      <c r="E222" t="str">
        <f>"TR IBG"</f>
        <v>TR IBG</v>
      </c>
      <c r="F222">
        <v>9938</v>
      </c>
      <c r="G222" t="str">
        <f>"26167300"</f>
        <v>26167300</v>
      </c>
      <c r="H222" s="2">
        <v>600</v>
      </c>
      <c r="I222" t="s">
        <v>26</v>
      </c>
      <c r="J222" s="2">
        <v>1201102.07</v>
      </c>
      <c r="K222" t="s">
        <v>27</v>
      </c>
      <c r="L222">
        <v>232514</v>
      </c>
      <c r="M222" t="str">
        <f>"YEAP KAM MOEY"</f>
        <v>YEAP KAM MOEY</v>
      </c>
      <c r="O222">
        <v>1</v>
      </c>
      <c r="P222" t="str">
        <f>"PGTEFT2955"</f>
        <v>PGTEFT2955</v>
      </c>
      <c r="Q222" t="str">
        <f>"WELCOMING RECEPTION"</f>
        <v>WELCOMING RECEPTION</v>
      </c>
    </row>
    <row r="223" spans="1:18" x14ac:dyDescent="0.25">
      <c r="A223">
        <v>8003879954</v>
      </c>
      <c r="B223">
        <v>36</v>
      </c>
      <c r="C223">
        <v>6022018</v>
      </c>
      <c r="D223">
        <v>299</v>
      </c>
      <c r="E223" t="str">
        <f>"GST"</f>
        <v>GST</v>
      </c>
      <c r="F223">
        <v>9938</v>
      </c>
      <c r="G223" t="str">
        <f>"26167300"</f>
        <v>26167300</v>
      </c>
      <c r="H223" s="2">
        <v>0.01</v>
      </c>
      <c r="I223" t="s">
        <v>26</v>
      </c>
      <c r="J223" s="2">
        <v>1201702.07</v>
      </c>
      <c r="K223" t="s">
        <v>27</v>
      </c>
      <c r="L223">
        <v>232514</v>
      </c>
      <c r="M223" t="str">
        <f>"PGTEFT2955          WELCOMING RECEPTION"</f>
        <v>PGTEFT2955          WELCOMING RECEPTION</v>
      </c>
      <c r="O223">
        <v>1</v>
      </c>
    </row>
    <row r="224" spans="1:18" x14ac:dyDescent="0.25">
      <c r="A224">
        <v>8003879954</v>
      </c>
      <c r="B224">
        <v>35</v>
      </c>
      <c r="C224">
        <v>6022018</v>
      </c>
      <c r="D224">
        <v>489</v>
      </c>
      <c r="E224" t="str">
        <f>"OTHER TRANSFER FEE"</f>
        <v>OTHER TRANSFER FEE</v>
      </c>
      <c r="F224">
        <v>9938</v>
      </c>
      <c r="G224" t="str">
        <f>"26167300"</f>
        <v>26167300</v>
      </c>
      <c r="H224" s="2">
        <v>0.1</v>
      </c>
      <c r="I224" t="s">
        <v>26</v>
      </c>
      <c r="J224" s="2">
        <v>1201702.08</v>
      </c>
      <c r="K224" t="s">
        <v>27</v>
      </c>
      <c r="L224">
        <v>232514</v>
      </c>
      <c r="M224" t="str">
        <f>"PGTEFT2955          WELCOMING RECEPTION"</f>
        <v>PGTEFT2955          WELCOMING RECEPTION</v>
      </c>
      <c r="O224">
        <v>1</v>
      </c>
    </row>
    <row r="225" spans="1:17" x14ac:dyDescent="0.25">
      <c r="A225">
        <v>8003879954</v>
      </c>
      <c r="B225">
        <v>34</v>
      </c>
      <c r="C225">
        <v>6022018</v>
      </c>
      <c r="D225">
        <v>341</v>
      </c>
      <c r="E225" t="str">
        <f>"TR IBG"</f>
        <v>TR IBG</v>
      </c>
      <c r="F225">
        <v>9938</v>
      </c>
      <c r="G225" t="str">
        <f>"26167347"</f>
        <v>26167347</v>
      </c>
      <c r="H225" s="2">
        <v>6000</v>
      </c>
      <c r="I225" t="s">
        <v>26</v>
      </c>
      <c r="J225" s="2">
        <v>1201702.18</v>
      </c>
      <c r="K225" t="s">
        <v>27</v>
      </c>
      <c r="L225">
        <v>232510</v>
      </c>
      <c r="M225" t="str">
        <f>"RICKVEEN SINGH A/L H"</f>
        <v>RICKVEEN SINGH A/L H</v>
      </c>
      <c r="O225">
        <v>1</v>
      </c>
      <c r="P225" t="str">
        <f>"PGTEFT2954"</f>
        <v>PGTEFT2954</v>
      </c>
      <c r="Q225" t="str">
        <f>"WELCOMING RECEPTION"</f>
        <v>WELCOMING RECEPTION</v>
      </c>
    </row>
    <row r="226" spans="1:17" x14ac:dyDescent="0.25">
      <c r="A226">
        <v>8003879954</v>
      </c>
      <c r="B226">
        <v>33</v>
      </c>
      <c r="C226">
        <v>6022018</v>
      </c>
      <c r="D226">
        <v>299</v>
      </c>
      <c r="E226" t="str">
        <f>"GST"</f>
        <v>GST</v>
      </c>
      <c r="F226">
        <v>9938</v>
      </c>
      <c r="G226" t="str">
        <f>"26167347"</f>
        <v>26167347</v>
      </c>
      <c r="H226" s="2">
        <v>0.01</v>
      </c>
      <c r="I226" t="s">
        <v>26</v>
      </c>
      <c r="J226" s="2">
        <v>1207702.18</v>
      </c>
      <c r="K226" t="s">
        <v>27</v>
      </c>
      <c r="L226">
        <v>232510</v>
      </c>
      <c r="M226" t="str">
        <f>"PGTEFT2954          WELCOMING RECEPTION"</f>
        <v>PGTEFT2954          WELCOMING RECEPTION</v>
      </c>
      <c r="O226">
        <v>1</v>
      </c>
    </row>
    <row r="227" spans="1:17" x14ac:dyDescent="0.25">
      <c r="A227">
        <v>8003879954</v>
      </c>
      <c r="B227">
        <v>32</v>
      </c>
      <c r="C227">
        <v>6022018</v>
      </c>
      <c r="D227">
        <v>489</v>
      </c>
      <c r="E227" t="str">
        <f>"OTHER TRANSFER FEE"</f>
        <v>OTHER TRANSFER FEE</v>
      </c>
      <c r="F227">
        <v>9938</v>
      </c>
      <c r="G227" t="str">
        <f>"26167347"</f>
        <v>26167347</v>
      </c>
      <c r="H227" s="2">
        <v>0.1</v>
      </c>
      <c r="I227" t="s">
        <v>26</v>
      </c>
      <c r="J227" s="2">
        <v>1207702.19</v>
      </c>
      <c r="K227" t="s">
        <v>27</v>
      </c>
      <c r="L227">
        <v>232510</v>
      </c>
      <c r="M227" t="str">
        <f>"PGTEFT2954          WELCOMING RECEPTION"</f>
        <v>PGTEFT2954          WELCOMING RECEPTION</v>
      </c>
      <c r="O227">
        <v>1</v>
      </c>
    </row>
    <row r="228" spans="1:17" x14ac:dyDescent="0.25">
      <c r="A228">
        <v>8003879954</v>
      </c>
      <c r="B228">
        <v>31</v>
      </c>
      <c r="C228">
        <v>6022018</v>
      </c>
      <c r="D228">
        <v>345</v>
      </c>
      <c r="E228" t="str">
        <f>"TR TO SAVINGS"</f>
        <v>TR TO SAVINGS</v>
      </c>
      <c r="F228">
        <v>9938</v>
      </c>
      <c r="G228" t="str">
        <f>"26167868"</f>
        <v>26167868</v>
      </c>
      <c r="H228" s="2">
        <v>1260</v>
      </c>
      <c r="I228" t="s">
        <v>26</v>
      </c>
      <c r="J228" s="2">
        <v>1207702.29</v>
      </c>
      <c r="K228" t="s">
        <v>27</v>
      </c>
      <c r="L228">
        <v>232511</v>
      </c>
      <c r="M228" t="str">
        <f>"RELA-FEB'18 AZFALYZA BINTI ABDU"</f>
        <v>RELA-FEB'18 AZFALYZA BINTI ABDU</v>
      </c>
      <c r="O228">
        <v>1</v>
      </c>
      <c r="P228" t="str">
        <f>"PGTEFT2951"</f>
        <v>PGTEFT2951</v>
      </c>
      <c r="Q228" t="str">
        <f>"ADVANCE TAKEN"</f>
        <v>ADVANCE TAKEN</v>
      </c>
    </row>
    <row r="229" spans="1:17" x14ac:dyDescent="0.25">
      <c r="A229">
        <v>8003879954</v>
      </c>
      <c r="B229">
        <v>30</v>
      </c>
      <c r="C229">
        <v>6022018</v>
      </c>
      <c r="D229">
        <v>60</v>
      </c>
      <c r="E229" t="str">
        <f>"TR TO C/A"</f>
        <v>TR TO C/A</v>
      </c>
      <c r="F229">
        <v>9938</v>
      </c>
      <c r="G229" t="str">
        <f>"26167622"</f>
        <v>26167622</v>
      </c>
      <c r="H229" s="2">
        <v>522.4</v>
      </c>
      <c r="I229" t="s">
        <v>26</v>
      </c>
      <c r="J229" s="2">
        <v>1208962.29</v>
      </c>
      <c r="K229" t="s">
        <v>27</v>
      </c>
      <c r="L229">
        <v>232511</v>
      </c>
      <c r="M229" t="str">
        <f>"OFFICE UPKEEP &amp; EXPE LIM HOOI LENG"</f>
        <v>OFFICE UPKEEP &amp; EXPE LIM HOOI LENG</v>
      </c>
      <c r="O229">
        <v>1</v>
      </c>
      <c r="P229" t="str">
        <f>"PGTEFT2953"</f>
        <v>PGTEFT2953</v>
      </c>
      <c r="Q229" t="str">
        <f>"CLAIMS"</f>
        <v>CLAIMS</v>
      </c>
    </row>
    <row r="230" spans="1:17" x14ac:dyDescent="0.25">
      <c r="A230">
        <v>8003879954</v>
      </c>
      <c r="B230">
        <v>29</v>
      </c>
      <c r="C230">
        <v>6022018</v>
      </c>
      <c r="D230">
        <v>341</v>
      </c>
      <c r="E230" t="str">
        <f>"TR IBG"</f>
        <v>TR IBG</v>
      </c>
      <c r="F230">
        <v>9938</v>
      </c>
      <c r="G230" t="str">
        <f>"26167967"</f>
        <v>26167967</v>
      </c>
      <c r="H230" s="2">
        <v>763.2</v>
      </c>
      <c r="I230" t="s">
        <v>26</v>
      </c>
      <c r="J230" s="2">
        <v>1209484.69</v>
      </c>
      <c r="K230" t="s">
        <v>27</v>
      </c>
      <c r="L230">
        <v>232510</v>
      </c>
      <c r="M230" t="str">
        <f>"VCREATE SDN BHD"</f>
        <v>VCREATE SDN BHD</v>
      </c>
      <c r="O230">
        <v>1</v>
      </c>
      <c r="P230" t="str">
        <f>"PGTEFT2950"</f>
        <v>PGTEFT2950</v>
      </c>
      <c r="Q230" t="str">
        <f>"10063-10066"</f>
        <v>10063-10066</v>
      </c>
    </row>
    <row r="231" spans="1:17" x14ac:dyDescent="0.25">
      <c r="A231">
        <v>8003879954</v>
      </c>
      <c r="B231">
        <v>28</v>
      </c>
      <c r="C231">
        <v>6022018</v>
      </c>
      <c r="D231">
        <v>299</v>
      </c>
      <c r="E231" t="str">
        <f>"GST"</f>
        <v>GST</v>
      </c>
      <c r="F231">
        <v>9938</v>
      </c>
      <c r="G231" t="str">
        <f>"26167967"</f>
        <v>26167967</v>
      </c>
      <c r="H231" s="2">
        <v>0.01</v>
      </c>
      <c r="I231" t="s">
        <v>26</v>
      </c>
      <c r="J231" s="2">
        <v>1210247.8899999999</v>
      </c>
      <c r="K231" t="s">
        <v>27</v>
      </c>
      <c r="L231">
        <v>232510</v>
      </c>
      <c r="M231" t="str">
        <f>"PGTEFT2950          10063-10066"</f>
        <v>PGTEFT2950          10063-10066</v>
      </c>
      <c r="O231">
        <v>1</v>
      </c>
    </row>
    <row r="232" spans="1:17" x14ac:dyDescent="0.25">
      <c r="A232">
        <v>8003879954</v>
      </c>
      <c r="B232">
        <v>27</v>
      </c>
      <c r="C232">
        <v>6022018</v>
      </c>
      <c r="D232">
        <v>489</v>
      </c>
      <c r="E232" t="str">
        <f>"OTHER TRANSFER FEE"</f>
        <v>OTHER TRANSFER FEE</v>
      </c>
      <c r="F232">
        <v>9938</v>
      </c>
      <c r="G232" t="str">
        <f>"26167967"</f>
        <v>26167967</v>
      </c>
      <c r="H232" s="2">
        <v>0.1</v>
      </c>
      <c r="I232" t="s">
        <v>26</v>
      </c>
      <c r="J232" s="2">
        <v>1210247.8999999999</v>
      </c>
      <c r="K232" t="s">
        <v>27</v>
      </c>
      <c r="L232">
        <v>232510</v>
      </c>
      <c r="M232" t="str">
        <f>"PGTEFT2950          10063-10066"</f>
        <v>PGTEFT2950          10063-10066</v>
      </c>
      <c r="O232">
        <v>1</v>
      </c>
    </row>
    <row r="233" spans="1:17" x14ac:dyDescent="0.25">
      <c r="A233">
        <v>8003879954</v>
      </c>
      <c r="B233">
        <v>26</v>
      </c>
      <c r="C233">
        <v>6022018</v>
      </c>
      <c r="D233">
        <v>345</v>
      </c>
      <c r="E233" t="str">
        <f>"TR TO SAVINGS"</f>
        <v>TR TO SAVINGS</v>
      </c>
      <c r="F233">
        <v>9938</v>
      </c>
      <c r="G233" t="str">
        <f>"26167821"</f>
        <v>26167821</v>
      </c>
      <c r="H233" s="2">
        <v>760.6</v>
      </c>
      <c r="I233" t="s">
        <v>26</v>
      </c>
      <c r="J233" s="2">
        <v>1210248</v>
      </c>
      <c r="K233" t="s">
        <v>27</v>
      </c>
      <c r="L233">
        <v>232510</v>
      </c>
      <c r="M233" t="str">
        <f>"SG TRAVEL AGENTS FAM YOON PAULINE"</f>
        <v>SG TRAVEL AGENTS FAM YOON PAULINE</v>
      </c>
      <c r="O233">
        <v>1</v>
      </c>
      <c r="P233" t="str">
        <f>"PGTEFT2952"</f>
        <v>PGTEFT2952</v>
      </c>
      <c r="Q233" t="str">
        <f>"CLAIMS"</f>
        <v>CLAIMS</v>
      </c>
    </row>
    <row r="234" spans="1:17" x14ac:dyDescent="0.25">
      <c r="A234">
        <v>8003879954</v>
      </c>
      <c r="B234">
        <v>25</v>
      </c>
      <c r="C234">
        <v>6022018</v>
      </c>
      <c r="D234">
        <v>341</v>
      </c>
      <c r="E234" t="str">
        <f>"TR IBG"</f>
        <v>TR IBG</v>
      </c>
      <c r="F234">
        <v>9938</v>
      </c>
      <c r="G234" t="str">
        <f>"26168019"</f>
        <v>26168019</v>
      </c>
      <c r="H234" s="2">
        <v>153.69999999999999</v>
      </c>
      <c r="I234" t="s">
        <v>26</v>
      </c>
      <c r="J234" s="2">
        <v>1211008.6000000001</v>
      </c>
      <c r="K234" t="s">
        <v>27</v>
      </c>
      <c r="L234">
        <v>232239</v>
      </c>
      <c r="M234" t="str">
        <f>"TOONG LI STATIONERY"</f>
        <v>TOONG LI STATIONERY</v>
      </c>
      <c r="O234">
        <v>1</v>
      </c>
      <c r="P234" t="str">
        <f>"PGTEFT2949"</f>
        <v>PGTEFT2949</v>
      </c>
      <c r="Q234" t="str">
        <f>"IV-135133"</f>
        <v>IV-135133</v>
      </c>
    </row>
    <row r="235" spans="1:17" x14ac:dyDescent="0.25">
      <c r="A235">
        <v>8003879954</v>
      </c>
      <c r="B235">
        <v>24</v>
      </c>
      <c r="C235">
        <v>6022018</v>
      </c>
      <c r="D235">
        <v>299</v>
      </c>
      <c r="E235" t="str">
        <f>"GST"</f>
        <v>GST</v>
      </c>
      <c r="F235">
        <v>9938</v>
      </c>
      <c r="G235" t="str">
        <f>"26168019"</f>
        <v>26168019</v>
      </c>
      <c r="H235" s="2">
        <v>0.01</v>
      </c>
      <c r="I235" t="s">
        <v>26</v>
      </c>
      <c r="J235" s="2">
        <v>1211162.3</v>
      </c>
      <c r="K235" t="s">
        <v>27</v>
      </c>
      <c r="L235">
        <v>232239</v>
      </c>
      <c r="M235" t="str">
        <f>"PGTEFT2949          IV-135133"</f>
        <v>PGTEFT2949          IV-135133</v>
      </c>
      <c r="O235">
        <v>1</v>
      </c>
    </row>
    <row r="236" spans="1:17" x14ac:dyDescent="0.25">
      <c r="A236">
        <v>8003879954</v>
      </c>
      <c r="B236">
        <v>23</v>
      </c>
      <c r="C236">
        <v>6022018</v>
      </c>
      <c r="D236">
        <v>489</v>
      </c>
      <c r="E236" t="str">
        <f>"OTHER TRANSFER FEE"</f>
        <v>OTHER TRANSFER FEE</v>
      </c>
      <c r="F236">
        <v>9938</v>
      </c>
      <c r="G236" t="str">
        <f>"26168019"</f>
        <v>26168019</v>
      </c>
      <c r="H236" s="2">
        <v>0.1</v>
      </c>
      <c r="I236" t="s">
        <v>26</v>
      </c>
      <c r="J236" s="2">
        <v>1211162.31</v>
      </c>
      <c r="K236" t="s">
        <v>27</v>
      </c>
      <c r="L236">
        <v>232239</v>
      </c>
      <c r="M236" t="str">
        <f>"PGTEFT2949          IV-135133"</f>
        <v>PGTEFT2949          IV-135133</v>
      </c>
      <c r="O236">
        <v>1</v>
      </c>
    </row>
    <row r="237" spans="1:17" x14ac:dyDescent="0.25">
      <c r="A237">
        <v>8003879954</v>
      </c>
      <c r="B237">
        <v>22</v>
      </c>
      <c r="C237">
        <v>6022018</v>
      </c>
      <c r="D237">
        <v>341</v>
      </c>
      <c r="E237" t="str">
        <f>"TR IBG"</f>
        <v>TR IBG</v>
      </c>
      <c r="F237">
        <v>9938</v>
      </c>
      <c r="G237" t="str">
        <f>"26168776"</f>
        <v>26168776</v>
      </c>
      <c r="H237" s="2">
        <v>902.57</v>
      </c>
      <c r="I237" t="s">
        <v>26</v>
      </c>
      <c r="J237" s="2">
        <v>1211162.4099999999</v>
      </c>
      <c r="K237" t="s">
        <v>27</v>
      </c>
      <c r="L237">
        <v>232238</v>
      </c>
      <c r="M237" t="str">
        <f>"FUJI XEROX ASIA PACI"</f>
        <v>FUJI XEROX ASIA PACI</v>
      </c>
      <c r="O237">
        <v>1</v>
      </c>
      <c r="P237" t="str">
        <f>"PGTEFT2943"</f>
        <v>PGTEFT2943</v>
      </c>
      <c r="Q237" t="str">
        <f>"ACC 316057"</f>
        <v>ACC 316057</v>
      </c>
    </row>
    <row r="238" spans="1:17" x14ac:dyDescent="0.25">
      <c r="A238">
        <v>8003879954</v>
      </c>
      <c r="B238">
        <v>21</v>
      </c>
      <c r="C238">
        <v>6022018</v>
      </c>
      <c r="D238">
        <v>299</v>
      </c>
      <c r="E238" t="str">
        <f>"GST"</f>
        <v>GST</v>
      </c>
      <c r="F238">
        <v>9938</v>
      </c>
      <c r="G238" t="str">
        <f>"26168776"</f>
        <v>26168776</v>
      </c>
      <c r="H238" s="2">
        <v>0.01</v>
      </c>
      <c r="I238" t="s">
        <v>26</v>
      </c>
      <c r="J238" s="2">
        <v>1212064.98</v>
      </c>
      <c r="K238" t="s">
        <v>27</v>
      </c>
      <c r="L238">
        <v>232238</v>
      </c>
      <c r="M238" t="str">
        <f>"PGTEFT2943          ACC 316057"</f>
        <v>PGTEFT2943          ACC 316057</v>
      </c>
      <c r="O238">
        <v>1</v>
      </c>
    </row>
    <row r="239" spans="1:17" x14ac:dyDescent="0.25">
      <c r="A239">
        <v>8003879954</v>
      </c>
      <c r="B239">
        <v>20</v>
      </c>
      <c r="C239">
        <v>6022018</v>
      </c>
      <c r="D239">
        <v>489</v>
      </c>
      <c r="E239" t="str">
        <f>"OTHER TRANSFER FEE"</f>
        <v>OTHER TRANSFER FEE</v>
      </c>
      <c r="F239">
        <v>9938</v>
      </c>
      <c r="G239" t="str">
        <f>"26168776"</f>
        <v>26168776</v>
      </c>
      <c r="H239" s="2">
        <v>0.1</v>
      </c>
      <c r="I239" t="s">
        <v>26</v>
      </c>
      <c r="J239" s="2">
        <v>1212064.99</v>
      </c>
      <c r="K239" t="s">
        <v>27</v>
      </c>
      <c r="L239">
        <v>232238</v>
      </c>
      <c r="M239" t="str">
        <f>"PGTEFT2943          ACC 316057"</f>
        <v>PGTEFT2943          ACC 316057</v>
      </c>
      <c r="O239">
        <v>1</v>
      </c>
    </row>
    <row r="240" spans="1:17" x14ac:dyDescent="0.25">
      <c r="A240">
        <v>8003879954</v>
      </c>
      <c r="B240">
        <v>19</v>
      </c>
      <c r="C240">
        <v>6022018</v>
      </c>
      <c r="D240">
        <v>341</v>
      </c>
      <c r="E240" t="str">
        <f>"TR IBG"</f>
        <v>TR IBG</v>
      </c>
      <c r="F240">
        <v>9938</v>
      </c>
      <c r="G240" t="str">
        <f>"26168174"</f>
        <v>26168174</v>
      </c>
      <c r="H240" s="2">
        <v>2568.6799999999998</v>
      </c>
      <c r="I240" t="s">
        <v>26</v>
      </c>
      <c r="J240" s="2">
        <v>1212065.0900000001</v>
      </c>
      <c r="K240" t="s">
        <v>27</v>
      </c>
      <c r="L240">
        <v>232236</v>
      </c>
      <c r="M240" t="str">
        <f>"TNT EXPRESS WORLDWID"</f>
        <v>TNT EXPRESS WORLDWID</v>
      </c>
      <c r="O240">
        <v>1</v>
      </c>
      <c r="P240" t="str">
        <f>"PGTEFT2948"</f>
        <v>PGTEFT2948</v>
      </c>
      <c r="Q240" t="str">
        <f>"INV07316210"</f>
        <v>INV07316210</v>
      </c>
    </row>
    <row r="241" spans="1:17" x14ac:dyDescent="0.25">
      <c r="A241">
        <v>8003879954</v>
      </c>
      <c r="B241">
        <v>18</v>
      </c>
      <c r="C241">
        <v>6022018</v>
      </c>
      <c r="D241">
        <v>299</v>
      </c>
      <c r="E241" t="str">
        <f>"GST"</f>
        <v>GST</v>
      </c>
      <c r="F241">
        <v>9938</v>
      </c>
      <c r="G241" t="str">
        <f>"26168174"</f>
        <v>26168174</v>
      </c>
      <c r="H241" s="2">
        <v>0.01</v>
      </c>
      <c r="I241" t="s">
        <v>26</v>
      </c>
      <c r="J241" s="2">
        <v>1214633.77</v>
      </c>
      <c r="K241" t="s">
        <v>27</v>
      </c>
      <c r="L241">
        <v>232236</v>
      </c>
      <c r="M241" t="str">
        <f>"PGTEFT2948          INV07316210"</f>
        <v>PGTEFT2948          INV07316210</v>
      </c>
      <c r="O241">
        <v>1</v>
      </c>
    </row>
    <row r="242" spans="1:17" x14ac:dyDescent="0.25">
      <c r="A242">
        <v>8003879954</v>
      </c>
      <c r="B242">
        <v>17</v>
      </c>
      <c r="C242">
        <v>6022018</v>
      </c>
      <c r="D242">
        <v>489</v>
      </c>
      <c r="E242" t="str">
        <f>"OTHER TRANSFER FEE"</f>
        <v>OTHER TRANSFER FEE</v>
      </c>
      <c r="F242">
        <v>9938</v>
      </c>
      <c r="G242" t="str">
        <f>"26168174"</f>
        <v>26168174</v>
      </c>
      <c r="H242" s="2">
        <v>0.1</v>
      </c>
      <c r="I242" t="s">
        <v>26</v>
      </c>
      <c r="J242" s="2">
        <v>1214633.78</v>
      </c>
      <c r="K242" t="s">
        <v>27</v>
      </c>
      <c r="L242">
        <v>232236</v>
      </c>
      <c r="M242" t="str">
        <f>"PGTEFT2948          INV07316210"</f>
        <v>PGTEFT2948          INV07316210</v>
      </c>
      <c r="O242">
        <v>1</v>
      </c>
    </row>
    <row r="243" spans="1:17" x14ac:dyDescent="0.25">
      <c r="A243">
        <v>8003879954</v>
      </c>
      <c r="B243">
        <v>16</v>
      </c>
      <c r="C243">
        <v>6022018</v>
      </c>
      <c r="D243">
        <v>341</v>
      </c>
      <c r="E243" t="str">
        <f>"TR IBG"</f>
        <v>TR IBG</v>
      </c>
      <c r="F243">
        <v>9938</v>
      </c>
      <c r="G243" t="str">
        <f>"26169318"</f>
        <v>26169318</v>
      </c>
      <c r="H243" s="2">
        <v>530</v>
      </c>
      <c r="I243" t="s">
        <v>26</v>
      </c>
      <c r="J243" s="2">
        <v>1214633.8799999999</v>
      </c>
      <c r="K243" t="s">
        <v>27</v>
      </c>
      <c r="L243">
        <v>232236</v>
      </c>
      <c r="M243" t="str">
        <f>"EXOTIC PRINTER SDN B"</f>
        <v>EXOTIC PRINTER SDN B</v>
      </c>
      <c r="O243">
        <v>1</v>
      </c>
      <c r="P243" t="str">
        <f>"PGTEFT2942"</f>
        <v>PGTEFT2942</v>
      </c>
      <c r="Q243" t="str">
        <f>"IO29704"</f>
        <v>IO29704</v>
      </c>
    </row>
    <row r="244" spans="1:17" x14ac:dyDescent="0.25">
      <c r="A244">
        <v>8003879954</v>
      </c>
      <c r="B244">
        <v>15</v>
      </c>
      <c r="C244">
        <v>6022018</v>
      </c>
      <c r="D244">
        <v>299</v>
      </c>
      <c r="E244" t="str">
        <f>"GST"</f>
        <v>GST</v>
      </c>
      <c r="F244">
        <v>9938</v>
      </c>
      <c r="G244" t="str">
        <f>"26169318"</f>
        <v>26169318</v>
      </c>
      <c r="H244" s="2">
        <v>0.01</v>
      </c>
      <c r="I244" t="s">
        <v>26</v>
      </c>
      <c r="J244" s="2">
        <v>1215163.8799999999</v>
      </c>
      <c r="K244" t="s">
        <v>27</v>
      </c>
      <c r="L244">
        <v>232236</v>
      </c>
      <c r="M244" t="str">
        <f>"PGTEFT2942          IO29704"</f>
        <v>PGTEFT2942          IO29704</v>
      </c>
      <c r="O244">
        <v>1</v>
      </c>
    </row>
    <row r="245" spans="1:17" x14ac:dyDescent="0.25">
      <c r="A245">
        <v>8003879954</v>
      </c>
      <c r="B245">
        <v>14</v>
      </c>
      <c r="C245">
        <v>6022018</v>
      </c>
      <c r="D245">
        <v>489</v>
      </c>
      <c r="E245" t="str">
        <f>"OTHER TRANSFER FEE"</f>
        <v>OTHER TRANSFER FEE</v>
      </c>
      <c r="F245">
        <v>9938</v>
      </c>
      <c r="G245" t="str">
        <f>"26169318"</f>
        <v>26169318</v>
      </c>
      <c r="H245" s="2">
        <v>0.1</v>
      </c>
      <c r="I245" t="s">
        <v>26</v>
      </c>
      <c r="J245" s="2">
        <v>1215163.8899999999</v>
      </c>
      <c r="K245" t="s">
        <v>27</v>
      </c>
      <c r="L245">
        <v>232236</v>
      </c>
      <c r="M245" t="str">
        <f>"PGTEFT2942          IO29704"</f>
        <v>PGTEFT2942          IO29704</v>
      </c>
      <c r="O245">
        <v>1</v>
      </c>
    </row>
    <row r="246" spans="1:17" x14ac:dyDescent="0.25">
      <c r="A246">
        <v>8003879954</v>
      </c>
      <c r="B246">
        <v>13</v>
      </c>
      <c r="C246">
        <v>6022018</v>
      </c>
      <c r="D246">
        <v>345</v>
      </c>
      <c r="E246" t="str">
        <f>"TR TO SAVINGS"</f>
        <v>TR TO SAVINGS</v>
      </c>
      <c r="F246">
        <v>9938</v>
      </c>
      <c r="G246" t="str">
        <f>"26168632"</f>
        <v>26168632</v>
      </c>
      <c r="H246" s="2">
        <v>9750</v>
      </c>
      <c r="I246" t="s">
        <v>26</v>
      </c>
      <c r="J246" s="2">
        <v>1215163.99</v>
      </c>
      <c r="K246" t="s">
        <v>27</v>
      </c>
      <c r="L246">
        <v>232237</v>
      </c>
      <c r="M246" t="str">
        <f>"50% BALANCE MOHD IZUDDIN HELMI"</f>
        <v>50% BALANCE MOHD IZUDDIN HELMI</v>
      </c>
      <c r="O246">
        <v>1</v>
      </c>
      <c r="P246" t="str">
        <f>"PGTEFT2945"</f>
        <v>PGTEFT2945</v>
      </c>
      <c r="Q246" t="str">
        <f>"0000002"</f>
        <v>0000002</v>
      </c>
    </row>
    <row r="247" spans="1:17" x14ac:dyDescent="0.25">
      <c r="A247">
        <v>8003879954</v>
      </c>
      <c r="B247">
        <v>12</v>
      </c>
      <c r="C247">
        <v>6022018</v>
      </c>
      <c r="D247">
        <v>341</v>
      </c>
      <c r="E247" t="str">
        <f>"TR IBG"</f>
        <v>TR IBG</v>
      </c>
      <c r="F247">
        <v>9938</v>
      </c>
      <c r="G247" t="str">
        <f>"26169385"</f>
        <v>26169385</v>
      </c>
      <c r="H247" s="2">
        <v>9805</v>
      </c>
      <c r="I247" t="s">
        <v>26</v>
      </c>
      <c r="J247" s="2">
        <v>1224913.99</v>
      </c>
      <c r="K247" t="s">
        <v>27</v>
      </c>
      <c r="L247">
        <v>232237</v>
      </c>
      <c r="M247" t="str">
        <f>"CHEONG SENG CHAN SDN"</f>
        <v>CHEONG SENG CHAN SDN</v>
      </c>
      <c r="O247">
        <v>1</v>
      </c>
      <c r="P247" t="str">
        <f>"PGTEFT2941"</f>
        <v>PGTEFT2941</v>
      </c>
      <c r="Q247" t="str">
        <f>"INV000009914"</f>
        <v>INV000009914</v>
      </c>
    </row>
    <row r="248" spans="1:17" x14ac:dyDescent="0.25">
      <c r="A248">
        <v>8003879954</v>
      </c>
      <c r="B248">
        <v>11</v>
      </c>
      <c r="C248">
        <v>6022018</v>
      </c>
      <c r="D248">
        <v>299</v>
      </c>
      <c r="E248" t="str">
        <f>"GST"</f>
        <v>GST</v>
      </c>
      <c r="F248">
        <v>9938</v>
      </c>
      <c r="G248" t="str">
        <f>"26169385"</f>
        <v>26169385</v>
      </c>
      <c r="H248" s="2">
        <v>0.01</v>
      </c>
      <c r="I248" t="s">
        <v>26</v>
      </c>
      <c r="J248" s="2">
        <v>1234718.99</v>
      </c>
      <c r="K248" t="s">
        <v>27</v>
      </c>
      <c r="L248">
        <v>232237</v>
      </c>
      <c r="M248" t="str">
        <f>"PGTEFT2941          INV000009914"</f>
        <v>PGTEFT2941          INV000009914</v>
      </c>
      <c r="O248">
        <v>1</v>
      </c>
    </row>
    <row r="249" spans="1:17" x14ac:dyDescent="0.25">
      <c r="A249">
        <v>8003879954</v>
      </c>
      <c r="B249">
        <v>10</v>
      </c>
      <c r="C249">
        <v>6022018</v>
      </c>
      <c r="D249">
        <v>489</v>
      </c>
      <c r="E249" t="str">
        <f>"OTHER TRANSFER FEE"</f>
        <v>OTHER TRANSFER FEE</v>
      </c>
      <c r="F249">
        <v>9938</v>
      </c>
      <c r="G249" t="str">
        <f>"26169385"</f>
        <v>26169385</v>
      </c>
      <c r="H249" s="2">
        <v>0.1</v>
      </c>
      <c r="I249" t="s">
        <v>26</v>
      </c>
      <c r="J249" s="2">
        <v>1234719</v>
      </c>
      <c r="K249" t="s">
        <v>27</v>
      </c>
      <c r="L249">
        <v>232237</v>
      </c>
      <c r="M249" t="str">
        <f>"PGTEFT2941          INV000009914"</f>
        <v>PGTEFT2941          INV000009914</v>
      </c>
      <c r="O249">
        <v>1</v>
      </c>
    </row>
    <row r="250" spans="1:17" x14ac:dyDescent="0.25">
      <c r="A250">
        <v>8003879954</v>
      </c>
      <c r="B250">
        <v>9</v>
      </c>
      <c r="C250">
        <v>6022018</v>
      </c>
      <c r="D250">
        <v>60</v>
      </c>
      <c r="E250" t="str">
        <f>"TR TO C/A"</f>
        <v>TR TO C/A</v>
      </c>
      <c r="F250">
        <v>9938</v>
      </c>
      <c r="G250" t="str">
        <f>"26168257"</f>
        <v>26168257</v>
      </c>
      <c r="H250" s="2">
        <v>270</v>
      </c>
      <c r="I250" t="s">
        <v>26</v>
      </c>
      <c r="J250" s="2">
        <v>1234719.1000000001</v>
      </c>
      <c r="K250" t="s">
        <v>27</v>
      </c>
      <c r="L250">
        <v>232237</v>
      </c>
      <c r="M250" t="str">
        <f>"GUIDE FEE JAN TOH KIM HOCK"</f>
        <v>GUIDE FEE JAN TOH KIM HOCK</v>
      </c>
      <c r="O250">
        <v>1</v>
      </c>
      <c r="P250" t="str">
        <f>"PGTEFT2947"</f>
        <v>PGTEFT2947</v>
      </c>
      <c r="Q250" t="str">
        <f>"INV137T-2018"</f>
        <v>INV137T-2018</v>
      </c>
    </row>
    <row r="251" spans="1:17" x14ac:dyDescent="0.25">
      <c r="A251">
        <v>8003879954</v>
      </c>
      <c r="B251">
        <v>8</v>
      </c>
      <c r="C251">
        <v>6022018</v>
      </c>
      <c r="D251">
        <v>341</v>
      </c>
      <c r="E251" t="str">
        <f>"TR IBG"</f>
        <v>TR IBG</v>
      </c>
      <c r="F251">
        <v>9938</v>
      </c>
      <c r="G251" t="str">
        <f>"26168701"</f>
        <v>26168701</v>
      </c>
      <c r="H251" s="2">
        <v>3842.5</v>
      </c>
      <c r="I251" t="s">
        <v>26</v>
      </c>
      <c r="J251" s="2">
        <v>1234989.1000000001</v>
      </c>
      <c r="K251" t="s">
        <v>27</v>
      </c>
      <c r="L251">
        <v>232236</v>
      </c>
      <c r="M251" t="str">
        <f>"FTZ TRAVEL &amp; TOURS S"</f>
        <v>FTZ TRAVEL &amp; TOURS S</v>
      </c>
      <c r="O251">
        <v>1</v>
      </c>
      <c r="P251" t="str">
        <f>"PGTEFT2944"</f>
        <v>PGTEFT2944</v>
      </c>
      <c r="Q251" t="str">
        <f>"P15977 P15975"</f>
        <v>P15977 P15975</v>
      </c>
    </row>
    <row r="252" spans="1:17" x14ac:dyDescent="0.25">
      <c r="A252">
        <v>8003879954</v>
      </c>
      <c r="B252">
        <v>7</v>
      </c>
      <c r="C252">
        <v>6022018</v>
      </c>
      <c r="D252">
        <v>299</v>
      </c>
      <c r="E252" t="str">
        <f>"GST"</f>
        <v>GST</v>
      </c>
      <c r="F252">
        <v>9938</v>
      </c>
      <c r="G252" t="str">
        <f>"26168701"</f>
        <v>26168701</v>
      </c>
      <c r="H252" s="2">
        <v>0.01</v>
      </c>
      <c r="I252" t="s">
        <v>26</v>
      </c>
      <c r="J252" s="2">
        <v>1238831.6000000001</v>
      </c>
      <c r="K252" t="s">
        <v>27</v>
      </c>
      <c r="L252">
        <v>232236</v>
      </c>
      <c r="M252" t="str">
        <f>"PGTEFT2944          P15977 P15975"</f>
        <v>PGTEFT2944          P15977 P15975</v>
      </c>
      <c r="O252">
        <v>1</v>
      </c>
    </row>
    <row r="253" spans="1:17" x14ac:dyDescent="0.25">
      <c r="A253">
        <v>8003879954</v>
      </c>
      <c r="B253">
        <v>6</v>
      </c>
      <c r="C253">
        <v>6022018</v>
      </c>
      <c r="D253">
        <v>489</v>
      </c>
      <c r="E253" t="str">
        <f>"OTHER TRANSFER FEE"</f>
        <v>OTHER TRANSFER FEE</v>
      </c>
      <c r="F253">
        <v>9938</v>
      </c>
      <c r="G253" t="str">
        <f>"26168701"</f>
        <v>26168701</v>
      </c>
      <c r="H253" s="2">
        <v>0.1</v>
      </c>
      <c r="I253" t="s">
        <v>26</v>
      </c>
      <c r="J253" s="2">
        <v>1238831.6100000001</v>
      </c>
      <c r="K253" t="s">
        <v>27</v>
      </c>
      <c r="L253">
        <v>232236</v>
      </c>
      <c r="M253" t="str">
        <f>"PGTEFT2944          P15977 P15975"</f>
        <v>PGTEFT2944          P15977 P15975</v>
      </c>
      <c r="O253">
        <v>1</v>
      </c>
    </row>
    <row r="254" spans="1:17" x14ac:dyDescent="0.25">
      <c r="A254">
        <v>8003879954</v>
      </c>
      <c r="B254">
        <v>5</v>
      </c>
      <c r="C254">
        <v>6022018</v>
      </c>
      <c r="D254">
        <v>341</v>
      </c>
      <c r="E254" t="str">
        <f>"TR IBG"</f>
        <v>TR IBG</v>
      </c>
      <c r="F254">
        <v>9938</v>
      </c>
      <c r="G254" t="str">
        <f>"26168477"</f>
        <v>26168477</v>
      </c>
      <c r="H254" s="2">
        <v>1281.28</v>
      </c>
      <c r="I254" t="s">
        <v>26</v>
      </c>
      <c r="J254" s="2">
        <v>1238831.71</v>
      </c>
      <c r="K254" t="s">
        <v>27</v>
      </c>
      <c r="L254">
        <v>232236</v>
      </c>
      <c r="M254" t="str">
        <f>"ROD CREATIVE SDN BHD"</f>
        <v>ROD CREATIVE SDN BHD</v>
      </c>
      <c r="O254">
        <v>1</v>
      </c>
      <c r="P254" t="str">
        <f>"PGTEFT2946"</f>
        <v>PGTEFT2946</v>
      </c>
      <c r="Q254" t="str">
        <f>"POSTER AND BILLBOARD"</f>
        <v>POSTER AND BILLBOARD</v>
      </c>
    </row>
    <row r="255" spans="1:17" x14ac:dyDescent="0.25">
      <c r="A255">
        <v>8003879954</v>
      </c>
      <c r="B255">
        <v>4</v>
      </c>
      <c r="C255">
        <v>6022018</v>
      </c>
      <c r="D255">
        <v>299</v>
      </c>
      <c r="E255" t="str">
        <f>"GST"</f>
        <v>GST</v>
      </c>
      <c r="F255">
        <v>9938</v>
      </c>
      <c r="G255" t="str">
        <f>"26168477"</f>
        <v>26168477</v>
      </c>
      <c r="H255" s="2">
        <v>0.01</v>
      </c>
      <c r="I255" t="s">
        <v>26</v>
      </c>
      <c r="J255" s="2">
        <v>1240112.99</v>
      </c>
      <c r="K255" t="s">
        <v>27</v>
      </c>
      <c r="L255">
        <v>232236</v>
      </c>
      <c r="M255" t="str">
        <f>"PGTEFT2946          POSTER AND BILLBOARD"</f>
        <v>PGTEFT2946          POSTER AND BILLBOARD</v>
      </c>
      <c r="O255">
        <v>1</v>
      </c>
    </row>
    <row r="256" spans="1:17" x14ac:dyDescent="0.25">
      <c r="A256">
        <v>8003879954</v>
      </c>
      <c r="B256">
        <v>3</v>
      </c>
      <c r="C256">
        <v>6022018</v>
      </c>
      <c r="D256">
        <v>489</v>
      </c>
      <c r="E256" t="str">
        <f>"OTHER TRANSFER FEE"</f>
        <v>OTHER TRANSFER FEE</v>
      </c>
      <c r="F256">
        <v>9938</v>
      </c>
      <c r="G256" t="str">
        <f>"26168477"</f>
        <v>26168477</v>
      </c>
      <c r="H256" s="2">
        <v>0.1</v>
      </c>
      <c r="I256" t="s">
        <v>26</v>
      </c>
      <c r="J256" s="2">
        <v>1240113</v>
      </c>
      <c r="K256" t="s">
        <v>27</v>
      </c>
      <c r="L256">
        <v>232236</v>
      </c>
      <c r="M256" t="str">
        <f>"PGTEFT2946          POSTER AND BILLBOARD"</f>
        <v>PGTEFT2946          POSTER AND BILLBOARD</v>
      </c>
      <c r="O256">
        <v>1</v>
      </c>
    </row>
    <row r="257" spans="1:18" x14ac:dyDescent="0.25">
      <c r="A257">
        <v>8003879954</v>
      </c>
      <c r="B257">
        <v>2</v>
      </c>
      <c r="C257">
        <v>6022018</v>
      </c>
      <c r="D257">
        <v>60</v>
      </c>
      <c r="E257" t="str">
        <f>"TR TO C/A"</f>
        <v>TR TO C/A</v>
      </c>
      <c r="F257">
        <v>9938</v>
      </c>
      <c r="G257" t="str">
        <f>"26169449"</f>
        <v>26169449</v>
      </c>
      <c r="H257" s="2">
        <v>390</v>
      </c>
      <c r="I257" t="s">
        <v>26</v>
      </c>
      <c r="J257" s="2">
        <v>1240113.1000000001</v>
      </c>
      <c r="K257" t="s">
        <v>27</v>
      </c>
      <c r="L257">
        <v>232235</v>
      </c>
      <c r="M257" t="str">
        <f>"CA-18-0019 CORPORATENET ADVISO"</f>
        <v>CA-18-0019 CORPORATENET ADVISO</v>
      </c>
      <c r="O257">
        <v>1</v>
      </c>
      <c r="P257" t="str">
        <f>"PGTEFT2940"</f>
        <v>PGTEFT2940</v>
      </c>
      <c r="Q257" t="str">
        <f>"PAYROLL-JAN18"</f>
        <v>PAYROLL-JAN18</v>
      </c>
    </row>
    <row r="258" spans="1:18" x14ac:dyDescent="0.25">
      <c r="A258">
        <v>8003879954</v>
      </c>
      <c r="B258">
        <v>1</v>
      </c>
      <c r="C258">
        <v>6022018</v>
      </c>
      <c r="D258">
        <v>174</v>
      </c>
      <c r="E258" t="str">
        <f>"IBG CREDIT"</f>
        <v>IBG CREDIT</v>
      </c>
      <c r="F258">
        <v>2001</v>
      </c>
      <c r="G258" t="str">
        <f>"918037710311923"</f>
        <v>918037710311923</v>
      </c>
      <c r="H258" s="2">
        <v>300000</v>
      </c>
      <c r="I258" t="s">
        <v>27</v>
      </c>
      <c r="J258" s="2">
        <v>1240503.1000000001</v>
      </c>
      <c r="K258" t="s">
        <v>27</v>
      </c>
      <c r="L258">
        <v>151427</v>
      </c>
      <c r="M258" t="str">
        <f>"RHB ASSET MGMT SB"</f>
        <v>RHB ASSET MGMT SB</v>
      </c>
      <c r="O258">
        <v>1</v>
      </c>
      <c r="P258" t="str">
        <f>"RHB ASSET MGMT SB"</f>
        <v>RHB ASSET MGMT SB</v>
      </c>
      <c r="R258" t="str">
        <f>"RHB ASSET MANAGEMENT"</f>
        <v>RHB ASSET MANAGEMENT</v>
      </c>
    </row>
    <row r="259" spans="1:18" x14ac:dyDescent="0.25">
      <c r="A259">
        <v>8003879954</v>
      </c>
      <c r="B259">
        <v>6</v>
      </c>
      <c r="C259">
        <v>5022018</v>
      </c>
      <c r="D259">
        <v>299</v>
      </c>
      <c r="E259" t="str">
        <f>"GST"</f>
        <v>GST</v>
      </c>
      <c r="H259" s="2">
        <v>0.06</v>
      </c>
      <c r="I259" t="s">
        <v>26</v>
      </c>
      <c r="J259" s="2">
        <v>940503.1</v>
      </c>
      <c r="K259" t="s">
        <v>27</v>
      </c>
      <c r="L259">
        <v>10244</v>
      </c>
      <c r="M259" t="str">
        <f>""</f>
        <v/>
      </c>
      <c r="O259">
        <v>1</v>
      </c>
    </row>
    <row r="260" spans="1:18" x14ac:dyDescent="0.25">
      <c r="A260">
        <v>8003879954</v>
      </c>
      <c r="B260">
        <v>5</v>
      </c>
      <c r="C260">
        <v>5022018</v>
      </c>
      <c r="D260">
        <v>819</v>
      </c>
      <c r="E260" t="str">
        <f>"CHQ PROCESSING FEE"</f>
        <v>CHQ PROCESSING FEE</v>
      </c>
      <c r="H260" s="2">
        <v>1</v>
      </c>
      <c r="I260" t="s">
        <v>26</v>
      </c>
      <c r="J260" s="2">
        <v>940503.16</v>
      </c>
      <c r="K260" t="s">
        <v>27</v>
      </c>
      <c r="L260">
        <v>10244</v>
      </c>
      <c r="M260" t="str">
        <f>""</f>
        <v/>
      </c>
      <c r="O260">
        <v>1</v>
      </c>
    </row>
    <row r="261" spans="1:18" x14ac:dyDescent="0.25">
      <c r="A261">
        <v>8003879954</v>
      </c>
      <c r="B261">
        <v>4</v>
      </c>
      <c r="C261">
        <v>5022018</v>
      </c>
      <c r="D261">
        <v>323</v>
      </c>
      <c r="E261" t="str">
        <f>"CLRG CHQ DR"</f>
        <v>CLRG CHQ DR</v>
      </c>
      <c r="F261">
        <v>0</v>
      </c>
      <c r="G261" t="str">
        <f>"00688124"</f>
        <v>00688124</v>
      </c>
      <c r="H261" s="2">
        <v>170</v>
      </c>
      <c r="I261" t="s">
        <v>26</v>
      </c>
      <c r="J261" s="2">
        <v>940504.16</v>
      </c>
      <c r="K261" t="s">
        <v>27</v>
      </c>
      <c r="L261">
        <v>10046</v>
      </c>
      <c r="M261" t="str">
        <f>""</f>
        <v/>
      </c>
      <c r="O261">
        <v>1</v>
      </c>
    </row>
    <row r="262" spans="1:18" x14ac:dyDescent="0.25">
      <c r="A262">
        <v>8003879954</v>
      </c>
      <c r="B262">
        <v>3</v>
      </c>
      <c r="C262">
        <v>5022018</v>
      </c>
      <c r="D262">
        <v>323</v>
      </c>
      <c r="E262" t="str">
        <f>"CLRG CHQ DR"</f>
        <v>CLRG CHQ DR</v>
      </c>
      <c r="F262">
        <v>0</v>
      </c>
      <c r="G262" t="str">
        <f>"00688119"</f>
        <v>00688119</v>
      </c>
      <c r="H262" s="2">
        <v>79660</v>
      </c>
      <c r="I262" t="s">
        <v>26</v>
      </c>
      <c r="J262" s="2">
        <v>940674.16</v>
      </c>
      <c r="K262" t="s">
        <v>27</v>
      </c>
      <c r="L262">
        <v>10046</v>
      </c>
      <c r="M262" t="str">
        <f>""</f>
        <v/>
      </c>
      <c r="O262">
        <v>1</v>
      </c>
    </row>
    <row r="263" spans="1:18" x14ac:dyDescent="0.25">
      <c r="A263">
        <v>8003879954</v>
      </c>
      <c r="B263">
        <v>2</v>
      </c>
      <c r="C263">
        <v>5022018</v>
      </c>
      <c r="D263">
        <v>123</v>
      </c>
      <c r="E263" t="str">
        <f>"2D LOCAL CHQ"</f>
        <v>2D LOCAL CHQ</v>
      </c>
      <c r="F263">
        <v>2007</v>
      </c>
      <c r="G263" t="str">
        <f>"60215129"</f>
        <v>60215129</v>
      </c>
      <c r="H263" s="2">
        <v>2000</v>
      </c>
      <c r="I263" t="s">
        <v>27</v>
      </c>
      <c r="J263" s="2">
        <v>1020334.16</v>
      </c>
      <c r="K263" t="s">
        <v>27</v>
      </c>
      <c r="L263">
        <v>191510</v>
      </c>
      <c r="M263" t="str">
        <f>""</f>
        <v/>
      </c>
      <c r="O263">
        <v>1</v>
      </c>
    </row>
    <row r="264" spans="1:18" x14ac:dyDescent="0.25">
      <c r="A264">
        <v>8003879954</v>
      </c>
      <c r="B264">
        <v>1</v>
      </c>
      <c r="C264">
        <v>5022018</v>
      </c>
      <c r="D264">
        <v>174</v>
      </c>
      <c r="E264" t="str">
        <f>"IBG CREDIT"</f>
        <v>IBG CREDIT</v>
      </c>
      <c r="F264">
        <v>2001</v>
      </c>
      <c r="G264" t="str">
        <f>"918036710291056"</f>
        <v>918036710291056</v>
      </c>
      <c r="H264" s="2">
        <v>750</v>
      </c>
      <c r="I264" t="s">
        <v>27</v>
      </c>
      <c r="J264" s="2">
        <v>1018334.16</v>
      </c>
      <c r="K264" t="s">
        <v>27</v>
      </c>
      <c r="L264">
        <v>91541</v>
      </c>
      <c r="M264" t="str">
        <f>"PGTSB - PCET MEMBERS"</f>
        <v>PGTSB - PCET MEMBERS</v>
      </c>
      <c r="O264">
        <v>1</v>
      </c>
      <c r="P264" t="str">
        <f>"PGTSB - PCET MEMBERS"</f>
        <v>PGTSB - PCET MEMBERS</v>
      </c>
      <c r="Q264" t="str">
        <f>"PGTSB - PCET MEMBERS"</f>
        <v>PGTSB - PCET MEMBERS</v>
      </c>
      <c r="R264" t="str">
        <f>"SEGI COLLEGE (PG) SD"</f>
        <v>SEGI COLLEGE (PG) SD</v>
      </c>
    </row>
    <row r="265" spans="1:18" x14ac:dyDescent="0.25">
      <c r="A265">
        <v>8003879954</v>
      </c>
      <c r="B265">
        <v>6</v>
      </c>
      <c r="C265">
        <v>2022018</v>
      </c>
      <c r="D265">
        <v>299</v>
      </c>
      <c r="E265" t="str">
        <f>"GST"</f>
        <v>GST</v>
      </c>
      <c r="H265" s="2">
        <v>0.03</v>
      </c>
      <c r="I265" t="s">
        <v>26</v>
      </c>
      <c r="J265" s="2">
        <v>1017584.16</v>
      </c>
      <c r="K265" t="s">
        <v>27</v>
      </c>
      <c r="L265">
        <v>10359</v>
      </c>
      <c r="M265" t="str">
        <f>""</f>
        <v/>
      </c>
      <c r="O265">
        <v>1</v>
      </c>
    </row>
    <row r="266" spans="1:18" x14ac:dyDescent="0.25">
      <c r="A266">
        <v>8003879954</v>
      </c>
      <c r="B266">
        <v>5</v>
      </c>
      <c r="C266">
        <v>2022018</v>
      </c>
      <c r="D266">
        <v>819</v>
      </c>
      <c r="E266" t="str">
        <f>"CHQ PROCESSING FEE"</f>
        <v>CHQ PROCESSING FEE</v>
      </c>
      <c r="H266" s="2">
        <v>0.5</v>
      </c>
      <c r="I266" t="s">
        <v>26</v>
      </c>
      <c r="J266" s="2">
        <v>1017584.19</v>
      </c>
      <c r="K266" t="s">
        <v>27</v>
      </c>
      <c r="L266">
        <v>10359</v>
      </c>
      <c r="M266" t="str">
        <f>""</f>
        <v/>
      </c>
      <c r="O266">
        <v>1</v>
      </c>
    </row>
    <row r="267" spans="1:18" x14ac:dyDescent="0.25">
      <c r="A267">
        <v>8003879954</v>
      </c>
      <c r="B267">
        <v>4</v>
      </c>
      <c r="C267">
        <v>2022018</v>
      </c>
      <c r="D267">
        <v>323</v>
      </c>
      <c r="E267" t="str">
        <f>"CLRG CHQ DR"</f>
        <v>CLRG CHQ DR</v>
      </c>
      <c r="F267">
        <v>0</v>
      </c>
      <c r="G267" t="str">
        <f>"00688123"</f>
        <v>00688123</v>
      </c>
      <c r="H267" s="2">
        <v>10667.84</v>
      </c>
      <c r="I267" t="s">
        <v>26</v>
      </c>
      <c r="J267" s="2">
        <v>1017584.69</v>
      </c>
      <c r="K267" t="s">
        <v>27</v>
      </c>
      <c r="L267">
        <v>5923</v>
      </c>
      <c r="M267" t="str">
        <f>""</f>
        <v/>
      </c>
      <c r="O267">
        <v>1</v>
      </c>
    </row>
    <row r="268" spans="1:18" x14ac:dyDescent="0.25">
      <c r="A268">
        <v>8003879954</v>
      </c>
      <c r="B268">
        <v>3</v>
      </c>
      <c r="C268">
        <v>2022018</v>
      </c>
      <c r="D268">
        <v>299</v>
      </c>
      <c r="E268" t="s">
        <v>506</v>
      </c>
      <c r="F268">
        <v>72</v>
      </c>
      <c r="G268" t="str">
        <f>"243235810"</f>
        <v>243235810</v>
      </c>
      <c r="H268" s="2">
        <v>1.8</v>
      </c>
      <c r="I268" t="s">
        <v>26</v>
      </c>
      <c r="J268" s="2">
        <v>1028252.53</v>
      </c>
      <c r="K268" t="s">
        <v>27</v>
      </c>
      <c r="L268">
        <v>164730</v>
      </c>
      <c r="M268" t="str">
        <f>"20008020218T0221"</f>
        <v>20008020218T0221</v>
      </c>
      <c r="O268">
        <v>1</v>
      </c>
    </row>
    <row r="269" spans="1:18" x14ac:dyDescent="0.25">
      <c r="A269">
        <v>8003879954</v>
      </c>
      <c r="B269">
        <v>2</v>
      </c>
      <c r="C269">
        <v>2022018</v>
      </c>
      <c r="D269">
        <v>415</v>
      </c>
      <c r="E269" s="14" t="str">
        <f>"TELEX/FAX"</f>
        <v>TELEX/FAX</v>
      </c>
      <c r="F269">
        <v>72</v>
      </c>
      <c r="G269" t="str">
        <f>"243235810"</f>
        <v>243235810</v>
      </c>
      <c r="H269" s="2">
        <v>30</v>
      </c>
      <c r="I269" t="s">
        <v>26</v>
      </c>
      <c r="J269" s="2">
        <v>1028254.33</v>
      </c>
      <c r="K269" t="s">
        <v>27</v>
      </c>
      <c r="L269">
        <v>164730</v>
      </c>
      <c r="M269" t="str">
        <f>"20008020218T0221"</f>
        <v>20008020218T0221</v>
      </c>
      <c r="O269">
        <v>1</v>
      </c>
    </row>
    <row r="270" spans="1:18" x14ac:dyDescent="0.25">
      <c r="A270">
        <v>8003879954</v>
      </c>
      <c r="B270">
        <v>1</v>
      </c>
      <c r="C270">
        <v>2022018</v>
      </c>
      <c r="D270">
        <v>349</v>
      </c>
      <c r="E270" t="str">
        <f>"TR TO REMITT"</f>
        <v>TR TO REMITT</v>
      </c>
      <c r="F270">
        <v>72</v>
      </c>
      <c r="G270" t="str">
        <f>"243235810"</f>
        <v>243235810</v>
      </c>
      <c r="H270" s="2">
        <v>18269.98</v>
      </c>
      <c r="I270" t="s">
        <v>26</v>
      </c>
      <c r="J270" s="2">
        <v>1028284.33</v>
      </c>
      <c r="K270" t="s">
        <v>27</v>
      </c>
      <c r="L270">
        <v>164730</v>
      </c>
      <c r="M270" t="str">
        <f>"20008020218T0221"</f>
        <v>20008020218T0221</v>
      </c>
      <c r="O270">
        <v>1</v>
      </c>
    </row>
    <row r="271" spans="1:18" x14ac:dyDescent="0.25">
      <c r="A271">
        <v>8003879954</v>
      </c>
      <c r="B271">
        <v>12</v>
      </c>
      <c r="C271">
        <v>1022018</v>
      </c>
      <c r="D271">
        <v>345</v>
      </c>
      <c r="E271" t="str">
        <f>"TR TO SAVINGS"</f>
        <v>TR TO SAVINGS</v>
      </c>
      <c r="F271">
        <v>9938</v>
      </c>
      <c r="G271" t="str">
        <f>"25995455"</f>
        <v>25995455</v>
      </c>
      <c r="H271" s="2">
        <v>3507.55</v>
      </c>
      <c r="I271" t="s">
        <v>26</v>
      </c>
      <c r="J271" s="2">
        <v>1046554.31</v>
      </c>
      <c r="K271" t="s">
        <v>27</v>
      </c>
      <c r="L271">
        <v>221253</v>
      </c>
      <c r="M271" t="str">
        <f>"PCET &amp; PMED, CLAIMS TAN SEANG AUN"</f>
        <v>PCET &amp; PMED, CLAIMS TAN SEANG AUN</v>
      </c>
      <c r="O271">
        <v>1</v>
      </c>
      <c r="P271" t="str">
        <f>"PGTEFT2935"</f>
        <v>PGTEFT2935</v>
      </c>
      <c r="Q271" t="str">
        <f>"HONORARIUM FEE JAN18"</f>
        <v>HONORARIUM FEE JAN18</v>
      </c>
    </row>
    <row r="272" spans="1:18" x14ac:dyDescent="0.25">
      <c r="A272">
        <v>8003879954</v>
      </c>
      <c r="B272">
        <v>11</v>
      </c>
      <c r="C272">
        <v>1022018</v>
      </c>
      <c r="D272">
        <v>341</v>
      </c>
      <c r="E272" t="str">
        <f>"TR IBG"</f>
        <v>TR IBG</v>
      </c>
      <c r="F272">
        <v>9938</v>
      </c>
      <c r="G272" t="str">
        <f>"25995479"</f>
        <v>25995479</v>
      </c>
      <c r="H272" s="2">
        <v>362.09</v>
      </c>
      <c r="I272" t="s">
        <v>26</v>
      </c>
      <c r="J272" s="2">
        <v>1050061.8600000001</v>
      </c>
      <c r="K272" t="s">
        <v>27</v>
      </c>
      <c r="L272">
        <v>221250</v>
      </c>
      <c r="M272" t="str">
        <f>"AKAUN PUNGUTAN POTON"</f>
        <v>AKAUN PUNGUTAN POTON</v>
      </c>
      <c r="O272">
        <v>1</v>
      </c>
      <c r="P272" t="str">
        <f>"PGTEFT2916"</f>
        <v>PGTEFT2916</v>
      </c>
      <c r="Q272" t="str">
        <f>"PTPTN LOAN"</f>
        <v>PTPTN LOAN</v>
      </c>
    </row>
    <row r="273" spans="1:17" x14ac:dyDescent="0.25">
      <c r="A273">
        <v>8003879954</v>
      </c>
      <c r="B273">
        <v>10</v>
      </c>
      <c r="C273">
        <v>1022018</v>
      </c>
      <c r="D273">
        <v>299</v>
      </c>
      <c r="E273" t="str">
        <f>"GST"</f>
        <v>GST</v>
      </c>
      <c r="F273">
        <v>9938</v>
      </c>
      <c r="G273" t="str">
        <f>"25995479"</f>
        <v>25995479</v>
      </c>
      <c r="H273" s="2">
        <v>0.01</v>
      </c>
      <c r="I273" t="s">
        <v>26</v>
      </c>
      <c r="J273" s="2">
        <v>1050423.95</v>
      </c>
      <c r="K273" t="s">
        <v>27</v>
      </c>
      <c r="L273">
        <v>221250</v>
      </c>
      <c r="M273" t="str">
        <f>"PGTEFT2916          PTPTN LOAN"</f>
        <v>PGTEFT2916          PTPTN LOAN</v>
      </c>
      <c r="O273">
        <v>1</v>
      </c>
    </row>
    <row r="274" spans="1:17" x14ac:dyDescent="0.25">
      <c r="A274">
        <v>8003879954</v>
      </c>
      <c r="B274">
        <v>9</v>
      </c>
      <c r="C274">
        <v>1022018</v>
      </c>
      <c r="D274">
        <v>489</v>
      </c>
      <c r="E274" t="str">
        <f>"OTHER TRANSFER FEE"</f>
        <v>OTHER TRANSFER FEE</v>
      </c>
      <c r="F274">
        <v>9938</v>
      </c>
      <c r="G274" t="str">
        <f>"25995479"</f>
        <v>25995479</v>
      </c>
      <c r="H274" s="2">
        <v>0.1</v>
      </c>
      <c r="I274" t="s">
        <v>26</v>
      </c>
      <c r="J274" s="2">
        <v>1050423.96</v>
      </c>
      <c r="K274" t="s">
        <v>27</v>
      </c>
      <c r="L274">
        <v>221250</v>
      </c>
      <c r="M274" t="str">
        <f>"PGTEFT2916          PTPTN LOAN"</f>
        <v>PGTEFT2916          PTPTN LOAN</v>
      </c>
      <c r="O274">
        <v>1</v>
      </c>
    </row>
    <row r="275" spans="1:17" x14ac:dyDescent="0.25">
      <c r="A275">
        <v>8003879954</v>
      </c>
      <c r="B275">
        <v>8</v>
      </c>
      <c r="C275">
        <v>1022018</v>
      </c>
      <c r="D275">
        <v>341</v>
      </c>
      <c r="E275" t="str">
        <f>"TR IBG"</f>
        <v>TR IBG</v>
      </c>
      <c r="F275">
        <v>9938</v>
      </c>
      <c r="G275" t="str">
        <f>"25995341"</f>
        <v>25995341</v>
      </c>
      <c r="H275" s="2">
        <v>850</v>
      </c>
      <c r="I275" t="s">
        <v>26</v>
      </c>
      <c r="J275" s="2">
        <v>1050424.06</v>
      </c>
      <c r="K275" t="s">
        <v>27</v>
      </c>
      <c r="L275">
        <v>221252</v>
      </c>
      <c r="M275" t="str">
        <f>"JAYKODI RESOURCES"</f>
        <v>JAYKODI RESOURCES</v>
      </c>
      <c r="O275">
        <v>1</v>
      </c>
      <c r="P275" t="str">
        <f>"PGTEFT2939"</f>
        <v>PGTEFT2939</v>
      </c>
      <c r="Q275" t="str">
        <f>"CLEANING SERVICES"</f>
        <v>CLEANING SERVICES</v>
      </c>
    </row>
    <row r="276" spans="1:17" x14ac:dyDescent="0.25">
      <c r="A276">
        <v>8003879954</v>
      </c>
      <c r="B276">
        <v>7</v>
      </c>
      <c r="C276">
        <v>1022018</v>
      </c>
      <c r="D276">
        <v>299</v>
      </c>
      <c r="E276" t="str">
        <f>"GST"</f>
        <v>GST</v>
      </c>
      <c r="F276">
        <v>9938</v>
      </c>
      <c r="G276" t="str">
        <f>"25995341"</f>
        <v>25995341</v>
      </c>
      <c r="H276" s="2">
        <v>0.01</v>
      </c>
      <c r="I276" t="s">
        <v>26</v>
      </c>
      <c r="J276" s="2">
        <v>1051274.06</v>
      </c>
      <c r="K276" t="s">
        <v>27</v>
      </c>
      <c r="L276">
        <v>221252</v>
      </c>
      <c r="M276" t="str">
        <f>"PGTEFT2939          CLEANING SERVICES"</f>
        <v>PGTEFT2939          CLEANING SERVICES</v>
      </c>
      <c r="O276">
        <v>1</v>
      </c>
    </row>
    <row r="277" spans="1:17" x14ac:dyDescent="0.25">
      <c r="A277">
        <v>8003879954</v>
      </c>
      <c r="B277">
        <v>6</v>
      </c>
      <c r="C277">
        <v>1022018</v>
      </c>
      <c r="D277">
        <v>489</v>
      </c>
      <c r="E277" t="str">
        <f>"OTHER TRANSFER FEE"</f>
        <v>OTHER TRANSFER FEE</v>
      </c>
      <c r="F277">
        <v>9938</v>
      </c>
      <c r="G277" t="str">
        <f>"25995341"</f>
        <v>25995341</v>
      </c>
      <c r="H277" s="2">
        <v>0.1</v>
      </c>
      <c r="I277" t="s">
        <v>26</v>
      </c>
      <c r="J277" s="2">
        <v>1051274.07</v>
      </c>
      <c r="K277" t="s">
        <v>27</v>
      </c>
      <c r="L277">
        <v>221252</v>
      </c>
      <c r="M277" t="str">
        <f>"PGTEFT2939          CLEANING SERVICES"</f>
        <v>PGTEFT2939          CLEANING SERVICES</v>
      </c>
      <c r="O277">
        <v>1</v>
      </c>
    </row>
    <row r="278" spans="1:17" x14ac:dyDescent="0.25">
      <c r="A278">
        <v>8003879954</v>
      </c>
      <c r="B278">
        <v>5</v>
      </c>
      <c r="C278">
        <v>1022018</v>
      </c>
      <c r="D278">
        <v>60</v>
      </c>
      <c r="E278" t="str">
        <f>"TR TO C/A"</f>
        <v>TR TO C/A</v>
      </c>
      <c r="F278">
        <v>9938</v>
      </c>
      <c r="G278" t="str">
        <f>"25995401"</f>
        <v>25995401</v>
      </c>
      <c r="H278" s="2">
        <v>155</v>
      </c>
      <c r="I278" t="s">
        <v>26</v>
      </c>
      <c r="J278" s="2">
        <v>1051274.17</v>
      </c>
      <c r="K278" t="s">
        <v>27</v>
      </c>
      <c r="L278">
        <v>221251</v>
      </c>
      <c r="M278" t="str">
        <f>"NO. ANSURAN 1 2018 AKAUN KJAAN MSIA PU"</f>
        <v>NO. ANSURAN 1 2018 AKAUN KJAAN MSIA PU</v>
      </c>
      <c r="O278">
        <v>1</v>
      </c>
      <c r="P278" t="str">
        <f>"PGTEFT2937"</f>
        <v>PGTEFT2937</v>
      </c>
      <c r="Q278" t="str">
        <f>"C285195105"</f>
        <v>C285195105</v>
      </c>
    </row>
    <row r="279" spans="1:17" x14ac:dyDescent="0.25">
      <c r="A279">
        <v>8003879954</v>
      </c>
      <c r="B279">
        <v>4</v>
      </c>
      <c r="C279">
        <v>1022018</v>
      </c>
      <c r="D279">
        <v>341</v>
      </c>
      <c r="E279" t="str">
        <f>"TR IBG"</f>
        <v>TR IBG</v>
      </c>
      <c r="F279">
        <v>9938</v>
      </c>
      <c r="G279" t="str">
        <f>"25995434"</f>
        <v>25995434</v>
      </c>
      <c r="H279" s="2">
        <v>2500</v>
      </c>
      <c r="I279" t="s">
        <v>26</v>
      </c>
      <c r="J279" s="2">
        <v>1051429.17</v>
      </c>
      <c r="K279" t="s">
        <v>27</v>
      </c>
      <c r="L279">
        <v>221250</v>
      </c>
      <c r="M279" t="str">
        <f>"OON KOK EU"</f>
        <v>OON KOK EU</v>
      </c>
      <c r="O279">
        <v>1</v>
      </c>
      <c r="P279" t="str">
        <f>"PGTEFT2936"</f>
        <v>PGTEFT2936</v>
      </c>
      <c r="Q279" t="str">
        <f>"BROCHURE DISTRIBUTIO"</f>
        <v>BROCHURE DISTRIBUTIO</v>
      </c>
    </row>
    <row r="280" spans="1:17" x14ac:dyDescent="0.25">
      <c r="A280">
        <v>8003879954</v>
      </c>
      <c r="B280">
        <v>3</v>
      </c>
      <c r="C280">
        <v>1022018</v>
      </c>
      <c r="D280">
        <v>299</v>
      </c>
      <c r="E280" t="str">
        <f>"GST"</f>
        <v>GST</v>
      </c>
      <c r="F280">
        <v>9938</v>
      </c>
      <c r="G280" t="str">
        <f>"25995434"</f>
        <v>25995434</v>
      </c>
      <c r="H280" s="2">
        <v>0.01</v>
      </c>
      <c r="I280" t="s">
        <v>26</v>
      </c>
      <c r="J280" s="2">
        <v>1053929.17</v>
      </c>
      <c r="K280" t="s">
        <v>27</v>
      </c>
      <c r="L280">
        <v>221250</v>
      </c>
      <c r="M280" t="str">
        <f>"PGTEFT2936          BROCHURE DISTRIBUTIO"</f>
        <v>PGTEFT2936          BROCHURE DISTRIBUTIO</v>
      </c>
      <c r="O280">
        <v>1</v>
      </c>
    </row>
    <row r="281" spans="1:17" x14ac:dyDescent="0.25">
      <c r="A281">
        <v>8003879954</v>
      </c>
      <c r="B281">
        <v>2</v>
      </c>
      <c r="C281">
        <v>1022018</v>
      </c>
      <c r="D281">
        <v>489</v>
      </c>
      <c r="E281" t="str">
        <f>"OTHER TRANSFER FEE"</f>
        <v>OTHER TRANSFER FEE</v>
      </c>
      <c r="F281">
        <v>9938</v>
      </c>
      <c r="G281" t="str">
        <f>"25995434"</f>
        <v>25995434</v>
      </c>
      <c r="H281" s="2">
        <v>0.1</v>
      </c>
      <c r="I281" t="s">
        <v>26</v>
      </c>
      <c r="J281" s="2">
        <v>1053929.18</v>
      </c>
      <c r="K281" t="s">
        <v>27</v>
      </c>
      <c r="L281">
        <v>221250</v>
      </c>
      <c r="M281" t="str">
        <f>"PGTEFT2936          BROCHURE DISTRIBUTIO"</f>
        <v>PGTEFT2936          BROCHURE DISTRIBUTIO</v>
      </c>
      <c r="O281">
        <v>1</v>
      </c>
    </row>
    <row r="282" spans="1:17" x14ac:dyDescent="0.25">
      <c r="A282">
        <v>8003879954</v>
      </c>
      <c r="B282">
        <v>1</v>
      </c>
      <c r="C282">
        <v>1022018</v>
      </c>
      <c r="D282">
        <v>345</v>
      </c>
      <c r="E282" t="str">
        <f>"TR TO SAVINGS"</f>
        <v>TR TO SAVINGS</v>
      </c>
      <c r="F282">
        <v>9938</v>
      </c>
      <c r="G282" t="str">
        <f>"25995363"</f>
        <v>25995363</v>
      </c>
      <c r="H282" s="2">
        <v>450</v>
      </c>
      <c r="I282" t="s">
        <v>26</v>
      </c>
      <c r="J282" s="2">
        <v>1053929.28</v>
      </c>
      <c r="K282" t="s">
        <v>27</v>
      </c>
      <c r="L282">
        <v>221250</v>
      </c>
      <c r="M282" t="str">
        <f>"PARKROYAL MEDIA LIM YEE HARNG"</f>
        <v>PARKROYAL MEDIA LIM YEE HARNG</v>
      </c>
      <c r="O282">
        <v>1</v>
      </c>
      <c r="P282" t="str">
        <f>"PGTEFT2938"</f>
        <v>PGTEFT2938</v>
      </c>
      <c r="Q282" t="str">
        <f>"ADVANCE"</f>
        <v>ADVANCE</v>
      </c>
    </row>
    <row r="284" spans="1:17" x14ac:dyDescent="0.25">
      <c r="H284" s="2">
        <f>SUBTOTAL(9,H10:H282)</f>
        <v>8497833.6799999904</v>
      </c>
    </row>
  </sheetData>
  <autoFilter ref="A9:M282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5"/>
  <sheetViews>
    <sheetView topLeftCell="A40" workbookViewId="0">
      <selection activeCell="H275" sqref="H275"/>
    </sheetView>
  </sheetViews>
  <sheetFormatPr defaultRowHeight="15" x14ac:dyDescent="0.25"/>
  <cols>
    <col min="1" max="1" width="11" bestFit="1" customWidth="1"/>
    <col min="2" max="2" width="11.140625" customWidth="1"/>
    <col min="5" max="5" width="24.140625" customWidth="1"/>
    <col min="6" max="6" width="12.42578125" customWidth="1"/>
    <col min="7" max="7" width="12.5703125" customWidth="1"/>
    <col min="8" max="8" width="13.28515625" style="2" customWidth="1"/>
    <col min="9" max="9" width="14" customWidth="1"/>
    <col min="10" max="10" width="11.5703125" style="2" bestFit="1" customWidth="1"/>
    <col min="13" max="13" width="12.85546875" customWidth="1"/>
    <col min="16" max="16" width="12.85546875" customWidth="1"/>
    <col min="17" max="17" width="11.140625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3" spans="1:18" x14ac:dyDescent="0.25">
      <c r="A3" t="s">
        <v>3</v>
      </c>
    </row>
    <row r="4" spans="1:18" x14ac:dyDescent="0.25">
      <c r="A4" t="s">
        <v>57</v>
      </c>
    </row>
    <row r="5" spans="1:18" x14ac:dyDescent="0.25">
      <c r="A5" t="s">
        <v>58</v>
      </c>
    </row>
    <row r="6" spans="1:18" x14ac:dyDescent="0.25">
      <c r="A6" t="s">
        <v>59</v>
      </c>
    </row>
    <row r="9" spans="1:18" s="5" customFormat="1" ht="45.75" customHeight="1" x14ac:dyDescent="0.2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13</v>
      </c>
      <c r="H9" s="6" t="s">
        <v>14</v>
      </c>
      <c r="I9" s="5" t="s">
        <v>15</v>
      </c>
      <c r="J9" s="6" t="s">
        <v>16</v>
      </c>
      <c r="K9" s="5" t="s">
        <v>17</v>
      </c>
      <c r="L9" s="5" t="s">
        <v>18</v>
      </c>
      <c r="M9" s="5" t="s">
        <v>19</v>
      </c>
      <c r="N9" s="5" t="s">
        <v>20</v>
      </c>
      <c r="O9" s="5" t="s">
        <v>21</v>
      </c>
      <c r="P9" s="5" t="s">
        <v>22</v>
      </c>
      <c r="Q9" s="5" t="s">
        <v>23</v>
      </c>
      <c r="R9" s="5" t="s">
        <v>24</v>
      </c>
    </row>
    <row r="10" spans="1:18" s="5" customFormat="1" ht="16.5" customHeight="1" x14ac:dyDescent="0.25">
      <c r="H10" s="6"/>
      <c r="J10" s="6"/>
    </row>
    <row r="11" spans="1:18" s="5" customFormat="1" ht="16.5" customHeight="1" x14ac:dyDescent="0.25">
      <c r="H11" s="6"/>
      <c r="J11" s="6"/>
    </row>
    <row r="12" spans="1:18" x14ac:dyDescent="0.25">
      <c r="A12">
        <v>8003879954</v>
      </c>
      <c r="B12">
        <v>3</v>
      </c>
      <c r="C12">
        <v>31032018</v>
      </c>
      <c r="D12">
        <v>299</v>
      </c>
      <c r="E12" t="str">
        <f>"GST"</f>
        <v>GST</v>
      </c>
      <c r="F12">
        <v>3471</v>
      </c>
      <c r="G12" t="str">
        <f>"19514926"</f>
        <v>19514926</v>
      </c>
      <c r="H12" s="2">
        <v>1.98</v>
      </c>
      <c r="I12" t="s">
        <v>26</v>
      </c>
      <c r="J12" s="2">
        <v>357625.35</v>
      </c>
      <c r="K12" t="s">
        <v>27</v>
      </c>
      <c r="L12">
        <v>54842</v>
      </c>
      <c r="M12" t="str">
        <f>""</f>
        <v/>
      </c>
      <c r="O12">
        <v>1</v>
      </c>
    </row>
    <row r="13" spans="1:18" x14ac:dyDescent="0.25">
      <c r="A13">
        <v>8003879954</v>
      </c>
      <c r="B13">
        <v>2</v>
      </c>
      <c r="C13">
        <v>31032018</v>
      </c>
      <c r="D13">
        <v>489</v>
      </c>
      <c r="E13" t="str">
        <f>"AUTOPAY CHARGES"</f>
        <v>AUTOPAY CHARGES</v>
      </c>
      <c r="F13">
        <v>3471</v>
      </c>
      <c r="G13" t="str">
        <f>"19514926"</f>
        <v>19514926</v>
      </c>
      <c r="H13" s="2">
        <v>33</v>
      </c>
      <c r="I13" t="s">
        <v>26</v>
      </c>
      <c r="J13" s="2">
        <v>357627.33</v>
      </c>
      <c r="K13" t="s">
        <v>27</v>
      </c>
      <c r="L13">
        <v>54842</v>
      </c>
      <c r="M13" t="str">
        <f>""</f>
        <v/>
      </c>
      <c r="O13">
        <v>1</v>
      </c>
    </row>
    <row r="14" spans="1:18" x14ac:dyDescent="0.25">
      <c r="A14">
        <v>8003879954</v>
      </c>
      <c r="B14">
        <v>1</v>
      </c>
      <c r="C14">
        <v>31032018</v>
      </c>
      <c r="D14">
        <v>669</v>
      </c>
      <c r="E14" t="str">
        <f>"AUTOPAY DR"</f>
        <v>AUTOPAY DR</v>
      </c>
      <c r="F14">
        <v>3471</v>
      </c>
      <c r="G14" t="str">
        <f>"19501210"</f>
        <v>19501210</v>
      </c>
      <c r="H14" s="2">
        <v>81769.77</v>
      </c>
      <c r="I14" t="s">
        <v>26</v>
      </c>
      <c r="J14" s="2">
        <v>357660.33</v>
      </c>
      <c r="K14" t="s">
        <v>27</v>
      </c>
      <c r="L14">
        <v>50237</v>
      </c>
      <c r="M14" t="str">
        <f>"U2018032802288 Autopay20180331-Encrypted"</f>
        <v>U2018032802288 Autopay20180331-Encrypted</v>
      </c>
      <c r="O14">
        <v>1</v>
      </c>
      <c r="P14" t="str">
        <f>"347119501210"</f>
        <v>347119501210</v>
      </c>
      <c r="R14" t="str">
        <f>"/"</f>
        <v>/</v>
      </c>
    </row>
    <row r="15" spans="1:18" x14ac:dyDescent="0.25">
      <c r="A15">
        <v>8003879954</v>
      </c>
      <c r="B15">
        <v>31</v>
      </c>
      <c r="C15">
        <v>30032018</v>
      </c>
      <c r="D15">
        <v>299</v>
      </c>
      <c r="E15" t="str">
        <f>"GST"</f>
        <v>GST</v>
      </c>
      <c r="H15" s="2">
        <v>0.03</v>
      </c>
      <c r="I15" t="s">
        <v>26</v>
      </c>
      <c r="J15" s="2">
        <v>439430.1</v>
      </c>
      <c r="K15" t="s">
        <v>27</v>
      </c>
      <c r="L15">
        <v>5823</v>
      </c>
      <c r="M15" t="str">
        <f>""</f>
        <v/>
      </c>
      <c r="O15">
        <v>1</v>
      </c>
    </row>
    <row r="16" spans="1:18" x14ac:dyDescent="0.25">
      <c r="A16">
        <v>8003879954</v>
      </c>
      <c r="B16">
        <v>30</v>
      </c>
      <c r="C16">
        <v>30032018</v>
      </c>
      <c r="D16">
        <v>819</v>
      </c>
      <c r="E16" t="str">
        <f>"CHQ PROCESSING FEE"</f>
        <v>CHQ PROCESSING FEE</v>
      </c>
      <c r="H16" s="2">
        <v>0.5</v>
      </c>
      <c r="I16" t="s">
        <v>26</v>
      </c>
      <c r="J16" s="2">
        <v>439430.13</v>
      </c>
      <c r="K16" t="s">
        <v>27</v>
      </c>
      <c r="L16">
        <v>5823</v>
      </c>
      <c r="M16" t="str">
        <f>""</f>
        <v/>
      </c>
      <c r="O16">
        <v>1</v>
      </c>
    </row>
    <row r="17" spans="1:17" x14ac:dyDescent="0.25">
      <c r="A17">
        <v>8003879954</v>
      </c>
      <c r="B17">
        <v>29</v>
      </c>
      <c r="C17">
        <v>30032018</v>
      </c>
      <c r="D17">
        <v>323</v>
      </c>
      <c r="E17" t="str">
        <f>"CLRG CHQ DR"</f>
        <v>CLRG CHQ DR</v>
      </c>
      <c r="F17">
        <v>0</v>
      </c>
      <c r="G17" t="str">
        <f>"00688163"</f>
        <v>00688163</v>
      </c>
      <c r="H17" s="2">
        <v>40468.68</v>
      </c>
      <c r="I17" t="s">
        <v>26</v>
      </c>
      <c r="J17" s="2">
        <v>439430.63</v>
      </c>
      <c r="K17" t="s">
        <v>27</v>
      </c>
      <c r="L17">
        <v>5733</v>
      </c>
      <c r="M17" t="str">
        <f>""</f>
        <v/>
      </c>
      <c r="O17">
        <v>1</v>
      </c>
    </row>
    <row r="18" spans="1:17" x14ac:dyDescent="0.25">
      <c r="A18">
        <v>8003879954</v>
      </c>
      <c r="B18">
        <v>28</v>
      </c>
      <c r="C18">
        <v>30032018</v>
      </c>
      <c r="D18">
        <v>341</v>
      </c>
      <c r="E18" t="str">
        <f>"TR IBG"</f>
        <v>TR IBG</v>
      </c>
      <c r="F18">
        <v>9938</v>
      </c>
      <c r="G18" t="str">
        <f>"28194168"</f>
        <v>28194168</v>
      </c>
      <c r="H18" s="2">
        <v>3300</v>
      </c>
      <c r="I18" t="s">
        <v>26</v>
      </c>
      <c r="J18" s="2">
        <v>479899.31</v>
      </c>
      <c r="K18" t="s">
        <v>27</v>
      </c>
      <c r="L18">
        <v>162633</v>
      </c>
      <c r="M18" t="str">
        <f>"CAROLYN OOI AI CHOO"</f>
        <v>CAROLYN OOI AI CHOO</v>
      </c>
      <c r="O18">
        <v>1</v>
      </c>
      <c r="P18" t="str">
        <f>"PGTEFT3078"</f>
        <v>PGTEFT3078</v>
      </c>
      <c r="Q18" t="str">
        <f>"INV001 002"</f>
        <v>INV001 002</v>
      </c>
    </row>
    <row r="19" spans="1:17" x14ac:dyDescent="0.25">
      <c r="A19">
        <v>8003879954</v>
      </c>
      <c r="B19">
        <v>27</v>
      </c>
      <c r="C19">
        <v>30032018</v>
      </c>
      <c r="D19">
        <v>299</v>
      </c>
      <c r="E19" t="str">
        <f>"GST"</f>
        <v>GST</v>
      </c>
      <c r="F19">
        <v>9938</v>
      </c>
      <c r="G19" t="str">
        <f>"28194168"</f>
        <v>28194168</v>
      </c>
      <c r="H19" s="2">
        <v>0.01</v>
      </c>
      <c r="I19" t="s">
        <v>26</v>
      </c>
      <c r="J19" s="2">
        <v>483199.31</v>
      </c>
      <c r="K19" t="s">
        <v>27</v>
      </c>
      <c r="L19">
        <v>162633</v>
      </c>
      <c r="M19" t="str">
        <f>"PGTEFT3078          INV001 002"</f>
        <v>PGTEFT3078          INV001 002</v>
      </c>
      <c r="O19">
        <v>1</v>
      </c>
    </row>
    <row r="20" spans="1:17" x14ac:dyDescent="0.25">
      <c r="A20">
        <v>8003879954</v>
      </c>
      <c r="B20">
        <v>26</v>
      </c>
      <c r="C20">
        <v>30032018</v>
      </c>
      <c r="D20">
        <v>489</v>
      </c>
      <c r="E20" t="str">
        <f>"OTHER TRANSFER FEE"</f>
        <v>OTHER TRANSFER FEE</v>
      </c>
      <c r="F20">
        <v>9938</v>
      </c>
      <c r="G20" t="str">
        <f>"28194168"</f>
        <v>28194168</v>
      </c>
      <c r="H20" s="2">
        <v>0.1</v>
      </c>
      <c r="I20" t="s">
        <v>26</v>
      </c>
      <c r="J20" s="2">
        <v>483199.32</v>
      </c>
      <c r="K20" t="s">
        <v>27</v>
      </c>
      <c r="L20">
        <v>162633</v>
      </c>
      <c r="M20" t="str">
        <f>"PGTEFT3078          INV001 002"</f>
        <v>PGTEFT3078          INV001 002</v>
      </c>
      <c r="O20">
        <v>1</v>
      </c>
    </row>
    <row r="21" spans="1:17" x14ac:dyDescent="0.25">
      <c r="A21">
        <v>8003879954</v>
      </c>
      <c r="B21">
        <v>25</v>
      </c>
      <c r="C21">
        <v>30032018</v>
      </c>
      <c r="D21">
        <v>345</v>
      </c>
      <c r="E21" t="str">
        <f>"TR TO SAVINGS"</f>
        <v>TR TO SAVINGS</v>
      </c>
      <c r="F21">
        <v>9938</v>
      </c>
      <c r="G21" t="str">
        <f>"28193574"</f>
        <v>28193574</v>
      </c>
      <c r="H21" s="2">
        <v>1026.1199999999999</v>
      </c>
      <c r="I21" t="s">
        <v>26</v>
      </c>
      <c r="J21" s="2">
        <v>483199.42</v>
      </c>
      <c r="K21" t="s">
        <v>27</v>
      </c>
      <c r="L21">
        <v>162632</v>
      </c>
      <c r="M21" t="str">
        <f>"MEDAN FAIR TAN SEANG AUN"</f>
        <v>MEDAN FAIR TAN SEANG AUN</v>
      </c>
      <c r="O21">
        <v>1</v>
      </c>
      <c r="P21" t="str">
        <f>"PGTEFT3082"</f>
        <v>PGTEFT3082</v>
      </c>
      <c r="Q21" t="str">
        <f>"CLAIMS"</f>
        <v>CLAIMS</v>
      </c>
    </row>
    <row r="22" spans="1:17" x14ac:dyDescent="0.25">
      <c r="A22">
        <v>8003879954</v>
      </c>
      <c r="B22">
        <v>24</v>
      </c>
      <c r="C22">
        <v>30032018</v>
      </c>
      <c r="D22">
        <v>345</v>
      </c>
      <c r="E22" t="str">
        <f>"TR TO SAVINGS"</f>
        <v>TR TO SAVINGS</v>
      </c>
      <c r="F22">
        <v>9938</v>
      </c>
      <c r="G22" t="str">
        <f>"28193727"</f>
        <v>28193727</v>
      </c>
      <c r="H22" s="2">
        <v>2084.35</v>
      </c>
      <c r="I22" t="s">
        <v>26</v>
      </c>
      <c r="J22" s="2">
        <v>484225.54</v>
      </c>
      <c r="K22" t="s">
        <v>27</v>
      </c>
      <c r="L22">
        <v>162632</v>
      </c>
      <c r="M22" t="str">
        <f>"ITB BERLIN THOY SIEW PING"</f>
        <v>ITB BERLIN THOY SIEW PING</v>
      </c>
      <c r="O22">
        <v>1</v>
      </c>
      <c r="P22" t="str">
        <f>"PGTEFT3080"</f>
        <v>PGTEFT3080</v>
      </c>
      <c r="Q22" t="str">
        <f>"CLAIMS"</f>
        <v>CLAIMS</v>
      </c>
    </row>
    <row r="23" spans="1:17" x14ac:dyDescent="0.25">
      <c r="A23">
        <v>8003879954</v>
      </c>
      <c r="B23">
        <v>23</v>
      </c>
      <c r="C23">
        <v>30032018</v>
      </c>
      <c r="D23">
        <v>341</v>
      </c>
      <c r="E23" t="str">
        <f>"TR IBG"</f>
        <v>TR IBG</v>
      </c>
      <c r="F23">
        <v>9938</v>
      </c>
      <c r="G23" t="str">
        <f>"28194285"</f>
        <v>28194285</v>
      </c>
      <c r="H23" s="2">
        <v>1233.8399999999999</v>
      </c>
      <c r="I23" t="s">
        <v>26</v>
      </c>
      <c r="J23" s="2">
        <v>486309.89</v>
      </c>
      <c r="K23" t="s">
        <v>27</v>
      </c>
      <c r="L23">
        <v>162632</v>
      </c>
      <c r="M23" t="str">
        <f>"SHIMAI ENTERPRISE"</f>
        <v>SHIMAI ENTERPRISE</v>
      </c>
      <c r="O23">
        <v>1</v>
      </c>
      <c r="P23" t="str">
        <f>"PGTEFT3077"</f>
        <v>PGTEFT3077</v>
      </c>
      <c r="Q23" t="str">
        <f>"PYP18-INV1"</f>
        <v>PYP18-INV1</v>
      </c>
    </row>
    <row r="24" spans="1:17" x14ac:dyDescent="0.25">
      <c r="A24">
        <v>8003879954</v>
      </c>
      <c r="B24">
        <v>22</v>
      </c>
      <c r="C24">
        <v>30032018</v>
      </c>
      <c r="D24">
        <v>299</v>
      </c>
      <c r="E24" t="str">
        <f>"GST"</f>
        <v>GST</v>
      </c>
      <c r="F24">
        <v>9938</v>
      </c>
      <c r="G24" t="str">
        <f>"28194285"</f>
        <v>28194285</v>
      </c>
      <c r="H24" s="2">
        <v>0.01</v>
      </c>
      <c r="I24" t="s">
        <v>26</v>
      </c>
      <c r="J24" s="2">
        <v>487543.73</v>
      </c>
      <c r="K24" t="s">
        <v>27</v>
      </c>
      <c r="L24">
        <v>162632</v>
      </c>
      <c r="M24" t="str">
        <f>"PGTEFT3077          PYP18-INV1"</f>
        <v>PGTEFT3077          PYP18-INV1</v>
      </c>
      <c r="O24">
        <v>1</v>
      </c>
    </row>
    <row r="25" spans="1:17" x14ac:dyDescent="0.25">
      <c r="A25">
        <v>8003879954</v>
      </c>
      <c r="B25">
        <v>21</v>
      </c>
      <c r="C25">
        <v>30032018</v>
      </c>
      <c r="D25">
        <v>489</v>
      </c>
      <c r="E25" t="str">
        <f>"OTHER TRANSFER FEE"</f>
        <v>OTHER TRANSFER FEE</v>
      </c>
      <c r="F25">
        <v>9938</v>
      </c>
      <c r="G25" t="str">
        <f>"28194285"</f>
        <v>28194285</v>
      </c>
      <c r="H25" s="2">
        <v>0.1</v>
      </c>
      <c r="I25" t="s">
        <v>26</v>
      </c>
      <c r="J25" s="2">
        <v>487543.74</v>
      </c>
      <c r="K25" t="s">
        <v>27</v>
      </c>
      <c r="L25">
        <v>162632</v>
      </c>
      <c r="M25" t="str">
        <f>"PGTEFT3077          PYP18-INV1"</f>
        <v>PGTEFT3077          PYP18-INV1</v>
      </c>
      <c r="O25">
        <v>1</v>
      </c>
    </row>
    <row r="26" spans="1:17" x14ac:dyDescent="0.25">
      <c r="A26">
        <v>8003879954</v>
      </c>
      <c r="B26">
        <v>20</v>
      </c>
      <c r="C26">
        <v>30032018</v>
      </c>
      <c r="D26">
        <v>345</v>
      </c>
      <c r="E26" t="str">
        <f>"TR TO SAVINGS"</f>
        <v>TR TO SAVINGS</v>
      </c>
      <c r="F26">
        <v>9938</v>
      </c>
      <c r="G26" t="str">
        <f>"28193636"</f>
        <v>28193636</v>
      </c>
      <c r="H26" s="2">
        <v>5382.65</v>
      </c>
      <c r="I26" t="s">
        <v>26</v>
      </c>
      <c r="J26" s="2">
        <v>487543.84</v>
      </c>
      <c r="K26" t="s">
        <v>27</v>
      </c>
      <c r="L26">
        <v>162632</v>
      </c>
      <c r="M26" t="str">
        <f>"TM AWARDS,QATAR FAM  YOON PAULINE"</f>
        <v>TM AWARDS,QATAR FAM  YOON PAULINE</v>
      </c>
      <c r="O26">
        <v>1</v>
      </c>
      <c r="P26" t="str">
        <f>"PGTEFT3081"</f>
        <v>PGTEFT3081</v>
      </c>
      <c r="Q26" t="str">
        <f>"CLAIMS"</f>
        <v>CLAIMS</v>
      </c>
    </row>
    <row r="27" spans="1:17" x14ac:dyDescent="0.25">
      <c r="A27">
        <v>8003879954</v>
      </c>
      <c r="B27">
        <v>19</v>
      </c>
      <c r="C27">
        <v>30032018</v>
      </c>
      <c r="D27">
        <v>60</v>
      </c>
      <c r="E27" t="str">
        <f>"TR TO C/A"</f>
        <v>TR TO C/A</v>
      </c>
      <c r="F27">
        <v>9938</v>
      </c>
      <c r="G27" t="str">
        <f>"28193798"</f>
        <v>28193798</v>
      </c>
      <c r="H27" s="2">
        <v>90</v>
      </c>
      <c r="I27" t="s">
        <v>26</v>
      </c>
      <c r="J27" s="2">
        <v>492926.49</v>
      </c>
      <c r="K27" t="s">
        <v>27</v>
      </c>
      <c r="L27">
        <v>162632</v>
      </c>
      <c r="M27" t="str">
        <f>"GUIDE FEE 10/3/18 TOH KIM HOCK"</f>
        <v>GUIDE FEE 10/3/18 TOH KIM HOCK</v>
      </c>
      <c r="O27">
        <v>1</v>
      </c>
      <c r="P27" t="str">
        <f>"PGTEFT3079"</f>
        <v>PGTEFT3079</v>
      </c>
      <c r="Q27" t="str">
        <f>"INV143T2018"</f>
        <v>INV143T2018</v>
      </c>
    </row>
    <row r="28" spans="1:17" x14ac:dyDescent="0.25">
      <c r="A28">
        <v>8003879954</v>
      </c>
      <c r="B28">
        <v>18</v>
      </c>
      <c r="C28">
        <v>30032018</v>
      </c>
      <c r="D28">
        <v>60</v>
      </c>
      <c r="E28" t="str">
        <f>"TR TO C/A"</f>
        <v>TR TO C/A</v>
      </c>
      <c r="F28">
        <v>9938</v>
      </c>
      <c r="G28" t="str">
        <f>"28194894"</f>
        <v>28194894</v>
      </c>
      <c r="H28" s="2">
        <v>182.1</v>
      </c>
      <c r="I28" t="s">
        <v>26</v>
      </c>
      <c r="J28" s="2">
        <v>493016.49</v>
      </c>
      <c r="K28" t="s">
        <v>27</v>
      </c>
      <c r="L28">
        <v>162411</v>
      </c>
      <c r="M28" t="str">
        <f>"ROAD TAX PJP1311 LIM HOOI LENG"</f>
        <v>ROAD TAX PJP1311 LIM HOOI LENG</v>
      </c>
      <c r="O28">
        <v>1</v>
      </c>
      <c r="P28" t="str">
        <f>"PGTEFT3074"</f>
        <v>PGTEFT3074</v>
      </c>
      <c r="Q28" t="str">
        <f>"CLAIMS"</f>
        <v>CLAIMS</v>
      </c>
    </row>
    <row r="29" spans="1:17" x14ac:dyDescent="0.25">
      <c r="A29">
        <v>8003879954</v>
      </c>
      <c r="B29">
        <v>17</v>
      </c>
      <c r="C29">
        <v>30032018</v>
      </c>
      <c r="D29">
        <v>345</v>
      </c>
      <c r="E29" t="str">
        <f>"TR TO SAVINGS"</f>
        <v>TR TO SAVINGS</v>
      </c>
      <c r="F29">
        <v>9938</v>
      </c>
      <c r="G29" t="str">
        <f>"28195652"</f>
        <v>28195652</v>
      </c>
      <c r="H29" s="2">
        <v>200</v>
      </c>
      <c r="I29" t="s">
        <v>26</v>
      </c>
      <c r="J29" s="2">
        <v>493198.59</v>
      </c>
      <c r="K29" t="s">
        <v>27</v>
      </c>
      <c r="L29">
        <v>162411</v>
      </c>
      <c r="M29" t="str">
        <f>"RELA ALLOWANCE AZFALYZA BINTI ABDU"</f>
        <v>RELA ALLOWANCE AZFALYZA BINTI ABDU</v>
      </c>
      <c r="O29">
        <v>1</v>
      </c>
      <c r="P29" t="str">
        <f>"PGTEFT3068"</f>
        <v>PGTEFT3068</v>
      </c>
      <c r="Q29" t="str">
        <f>"CLAIMS"</f>
        <v>CLAIMS</v>
      </c>
    </row>
    <row r="30" spans="1:17" x14ac:dyDescent="0.25">
      <c r="A30">
        <v>8003879954</v>
      </c>
      <c r="B30">
        <v>16</v>
      </c>
      <c r="C30">
        <v>30032018</v>
      </c>
      <c r="D30">
        <v>341</v>
      </c>
      <c r="E30" t="str">
        <f>"TR IBG"</f>
        <v>TR IBG</v>
      </c>
      <c r="F30">
        <v>9938</v>
      </c>
      <c r="G30" t="str">
        <f>"28195754"</f>
        <v>28195754</v>
      </c>
      <c r="H30" s="2">
        <v>362.09</v>
      </c>
      <c r="I30" t="s">
        <v>26</v>
      </c>
      <c r="J30" s="2">
        <v>493398.59</v>
      </c>
      <c r="K30" t="s">
        <v>27</v>
      </c>
      <c r="L30">
        <v>162409</v>
      </c>
      <c r="M30" t="str">
        <f>"AKAUN PUNGUTAN POTON"</f>
        <v>AKAUN PUNGUTAN POTON</v>
      </c>
      <c r="O30">
        <v>1</v>
      </c>
      <c r="P30" t="str">
        <f>"PGTEFT3067"</f>
        <v>PGTEFT3067</v>
      </c>
      <c r="Q30" t="str">
        <f>"PTPTN LOAN"</f>
        <v>PTPTN LOAN</v>
      </c>
    </row>
    <row r="31" spans="1:17" x14ac:dyDescent="0.25">
      <c r="A31">
        <v>8003879954</v>
      </c>
      <c r="B31">
        <v>15</v>
      </c>
      <c r="C31">
        <v>30032018</v>
      </c>
      <c r="D31">
        <v>299</v>
      </c>
      <c r="E31" t="str">
        <f>"GST"</f>
        <v>GST</v>
      </c>
      <c r="F31">
        <v>9938</v>
      </c>
      <c r="G31" t="str">
        <f>"28195754"</f>
        <v>28195754</v>
      </c>
      <c r="H31" s="2">
        <v>0.01</v>
      </c>
      <c r="I31" t="s">
        <v>26</v>
      </c>
      <c r="J31" s="2">
        <v>493760.68</v>
      </c>
      <c r="K31" t="s">
        <v>27</v>
      </c>
      <c r="L31">
        <v>162409</v>
      </c>
      <c r="M31" t="str">
        <f>"PGTEFT3067          PTPTN LOAN"</f>
        <v>PGTEFT3067          PTPTN LOAN</v>
      </c>
      <c r="O31">
        <v>1</v>
      </c>
    </row>
    <row r="32" spans="1:17" x14ac:dyDescent="0.25">
      <c r="A32">
        <v>8003879954</v>
      </c>
      <c r="B32">
        <v>14</v>
      </c>
      <c r="C32">
        <v>30032018</v>
      </c>
      <c r="D32">
        <v>489</v>
      </c>
      <c r="E32" t="str">
        <f>"OTHER TRANSFER FEE"</f>
        <v>OTHER TRANSFER FEE</v>
      </c>
      <c r="F32">
        <v>9938</v>
      </c>
      <c r="G32" t="str">
        <f>"28195754"</f>
        <v>28195754</v>
      </c>
      <c r="H32" s="2">
        <v>0.1</v>
      </c>
      <c r="I32" t="s">
        <v>26</v>
      </c>
      <c r="J32" s="2">
        <v>493760.69</v>
      </c>
      <c r="K32" t="s">
        <v>27</v>
      </c>
      <c r="L32">
        <v>162409</v>
      </c>
      <c r="M32" t="str">
        <f>"PGTEFT3067          PTPTN LOAN"</f>
        <v>PGTEFT3067          PTPTN LOAN</v>
      </c>
      <c r="O32">
        <v>1</v>
      </c>
    </row>
    <row r="33" spans="1:17" x14ac:dyDescent="0.25">
      <c r="A33">
        <v>8003879954</v>
      </c>
      <c r="B33">
        <v>13</v>
      </c>
      <c r="C33">
        <v>30032018</v>
      </c>
      <c r="D33">
        <v>341</v>
      </c>
      <c r="E33" t="str">
        <f>"TR IBG"</f>
        <v>TR IBG</v>
      </c>
      <c r="F33">
        <v>9938</v>
      </c>
      <c r="G33" t="str">
        <f>"28195279"</f>
        <v>28195279</v>
      </c>
      <c r="H33" s="2">
        <v>360</v>
      </c>
      <c r="I33" t="s">
        <v>26</v>
      </c>
      <c r="J33" s="2">
        <v>493760.79</v>
      </c>
      <c r="K33" t="s">
        <v>27</v>
      </c>
      <c r="L33">
        <v>162409</v>
      </c>
      <c r="M33" t="str">
        <f>"LIANG CHOW MING"</f>
        <v>LIANG CHOW MING</v>
      </c>
      <c r="O33">
        <v>1</v>
      </c>
      <c r="P33" t="str">
        <f>"PGTEFT3073"</f>
        <v>PGTEFT3073</v>
      </c>
      <c r="Q33" t="str">
        <f>"INV19659 19570"</f>
        <v>INV19659 19570</v>
      </c>
    </row>
    <row r="34" spans="1:17" x14ac:dyDescent="0.25">
      <c r="A34">
        <v>8003879954</v>
      </c>
      <c r="B34">
        <v>12</v>
      </c>
      <c r="C34">
        <v>30032018</v>
      </c>
      <c r="D34">
        <v>299</v>
      </c>
      <c r="E34" t="str">
        <f>"GST"</f>
        <v>GST</v>
      </c>
      <c r="F34">
        <v>9938</v>
      </c>
      <c r="G34" t="str">
        <f>"28195279"</f>
        <v>28195279</v>
      </c>
      <c r="H34" s="2">
        <v>0.01</v>
      </c>
      <c r="I34" t="s">
        <v>26</v>
      </c>
      <c r="J34" s="2">
        <v>494120.79</v>
      </c>
      <c r="K34" t="s">
        <v>27</v>
      </c>
      <c r="L34">
        <v>162409</v>
      </c>
      <c r="M34" t="str">
        <f>"PGTEFT3073          INV19659 19570"</f>
        <v>PGTEFT3073          INV19659 19570</v>
      </c>
      <c r="O34">
        <v>1</v>
      </c>
    </row>
    <row r="35" spans="1:17" x14ac:dyDescent="0.25">
      <c r="A35">
        <v>8003879954</v>
      </c>
      <c r="B35">
        <v>11</v>
      </c>
      <c r="C35">
        <v>30032018</v>
      </c>
      <c r="D35">
        <v>489</v>
      </c>
      <c r="E35" t="str">
        <f>"OTHER TRANSFER FEE"</f>
        <v>OTHER TRANSFER FEE</v>
      </c>
      <c r="F35">
        <v>9938</v>
      </c>
      <c r="G35" t="str">
        <f>"28195279"</f>
        <v>28195279</v>
      </c>
      <c r="H35" s="2">
        <v>0.1</v>
      </c>
      <c r="I35" t="s">
        <v>26</v>
      </c>
      <c r="J35" s="2">
        <v>494120.8</v>
      </c>
      <c r="K35" t="s">
        <v>27</v>
      </c>
      <c r="L35">
        <v>162409</v>
      </c>
      <c r="M35" t="str">
        <f>"PGTEFT3073          INV19659 19570"</f>
        <v>PGTEFT3073          INV19659 19570</v>
      </c>
      <c r="O35">
        <v>1</v>
      </c>
    </row>
    <row r="36" spans="1:17" x14ac:dyDescent="0.25">
      <c r="A36">
        <v>8003879954</v>
      </c>
      <c r="B36">
        <v>10</v>
      </c>
      <c r="C36">
        <v>30032018</v>
      </c>
      <c r="D36">
        <v>341</v>
      </c>
      <c r="E36" t="str">
        <f>"TR IBG"</f>
        <v>TR IBG</v>
      </c>
      <c r="F36">
        <v>9938</v>
      </c>
      <c r="G36" t="str">
        <f>"28195474"</f>
        <v>28195474</v>
      </c>
      <c r="H36" s="2">
        <v>152</v>
      </c>
      <c r="I36" t="s">
        <v>26</v>
      </c>
      <c r="J36" s="2">
        <v>494120.9</v>
      </c>
      <c r="K36" t="s">
        <v>27</v>
      </c>
      <c r="L36">
        <v>162410</v>
      </c>
      <c r="M36" t="str">
        <f>"CLARITY PUBLISHING S"</f>
        <v>CLARITY PUBLISHING S</v>
      </c>
      <c r="O36">
        <v>1</v>
      </c>
      <c r="P36" t="str">
        <f>"PGTEFT3070"</f>
        <v>PGTEFT3070</v>
      </c>
      <c r="Q36" t="str">
        <f>"PGT01-18INV"</f>
        <v>PGT01-18INV</v>
      </c>
    </row>
    <row r="37" spans="1:17" x14ac:dyDescent="0.25">
      <c r="A37">
        <v>8003879954</v>
      </c>
      <c r="B37">
        <v>9</v>
      </c>
      <c r="C37">
        <v>30032018</v>
      </c>
      <c r="D37">
        <v>299</v>
      </c>
      <c r="E37" t="str">
        <f>"GST"</f>
        <v>GST</v>
      </c>
      <c r="F37">
        <v>9938</v>
      </c>
      <c r="G37" t="str">
        <f>"28195474"</f>
        <v>28195474</v>
      </c>
      <c r="H37" s="2">
        <v>0.01</v>
      </c>
      <c r="I37" t="s">
        <v>26</v>
      </c>
      <c r="J37" s="2">
        <v>494272.9</v>
      </c>
      <c r="K37" t="s">
        <v>27</v>
      </c>
      <c r="L37">
        <v>162410</v>
      </c>
      <c r="M37" t="str">
        <f>"PGTEFT3070          PGT01-18INV"</f>
        <v>PGTEFT3070          PGT01-18INV</v>
      </c>
      <c r="O37">
        <v>1</v>
      </c>
    </row>
    <row r="38" spans="1:17" x14ac:dyDescent="0.25">
      <c r="A38">
        <v>8003879954</v>
      </c>
      <c r="B38">
        <v>8</v>
      </c>
      <c r="C38">
        <v>30032018</v>
      </c>
      <c r="D38">
        <v>489</v>
      </c>
      <c r="E38" t="str">
        <f>"OTHER TRANSFER FEE"</f>
        <v>OTHER TRANSFER FEE</v>
      </c>
      <c r="F38">
        <v>9938</v>
      </c>
      <c r="G38" t="str">
        <f>"28195474"</f>
        <v>28195474</v>
      </c>
      <c r="H38" s="2">
        <v>0.1</v>
      </c>
      <c r="I38" t="s">
        <v>26</v>
      </c>
      <c r="J38" s="2">
        <v>494272.91</v>
      </c>
      <c r="K38" t="s">
        <v>27</v>
      </c>
      <c r="L38">
        <v>162410</v>
      </c>
      <c r="M38" t="str">
        <f>"PGTEFT3070          PGT01-18INV"</f>
        <v>PGTEFT3070          PGT01-18INV</v>
      </c>
      <c r="O38">
        <v>1</v>
      </c>
    </row>
    <row r="39" spans="1:17" x14ac:dyDescent="0.25">
      <c r="A39">
        <v>8003879954</v>
      </c>
      <c r="B39">
        <v>7</v>
      </c>
      <c r="C39">
        <v>30032018</v>
      </c>
      <c r="D39">
        <v>60</v>
      </c>
      <c r="E39" t="str">
        <f>"TR TO C/A"</f>
        <v>TR TO C/A</v>
      </c>
      <c r="F39">
        <v>9938</v>
      </c>
      <c r="G39" t="str">
        <f>"28194349"</f>
        <v>28194349</v>
      </c>
      <c r="H39" s="2">
        <v>2120</v>
      </c>
      <c r="I39" t="s">
        <v>26</v>
      </c>
      <c r="J39" s="2">
        <v>494273.01</v>
      </c>
      <c r="K39" t="s">
        <v>27</v>
      </c>
      <c r="L39">
        <v>162409</v>
      </c>
      <c r="M39" t="str">
        <f>"HAB PRE-EVENT VIDEO RISING ONE MEDIA SD"</f>
        <v>HAB PRE-EVENT VIDEO RISING ONE MEDIA SD</v>
      </c>
      <c r="O39">
        <v>1</v>
      </c>
      <c r="P39" t="str">
        <f>"PGTEFT3076"</f>
        <v>PGTEFT3076</v>
      </c>
      <c r="Q39" t="str">
        <f>"INN14319"</f>
        <v>INN14319</v>
      </c>
    </row>
    <row r="40" spans="1:17" x14ac:dyDescent="0.25">
      <c r="A40">
        <v>8003879954</v>
      </c>
      <c r="B40">
        <v>6</v>
      </c>
      <c r="C40">
        <v>30032018</v>
      </c>
      <c r="D40">
        <v>345</v>
      </c>
      <c r="E40" t="str">
        <f>"TR TO SAVINGS"</f>
        <v>TR TO SAVINGS</v>
      </c>
      <c r="F40">
        <v>9938</v>
      </c>
      <c r="G40" t="str">
        <f>"28195365"</f>
        <v>28195365</v>
      </c>
      <c r="H40" s="2">
        <v>772.3</v>
      </c>
      <c r="I40" t="s">
        <v>26</v>
      </c>
      <c r="J40" s="2">
        <v>496393.01</v>
      </c>
      <c r="K40" t="s">
        <v>27</v>
      </c>
      <c r="L40">
        <v>162409</v>
      </c>
      <c r="M40" t="str">
        <f>"QATAR FAM TRIPS LIM YEE HARNG"</f>
        <v>QATAR FAM TRIPS LIM YEE HARNG</v>
      </c>
      <c r="O40">
        <v>1</v>
      </c>
      <c r="P40" t="str">
        <f>"PGTEFT3072"</f>
        <v>PGTEFT3072</v>
      </c>
      <c r="Q40" t="str">
        <f>"CLAIMS"</f>
        <v>CLAIMS</v>
      </c>
    </row>
    <row r="41" spans="1:17" x14ac:dyDescent="0.25">
      <c r="A41">
        <v>8003879954</v>
      </c>
      <c r="B41">
        <v>5</v>
      </c>
      <c r="C41">
        <v>30032018</v>
      </c>
      <c r="D41">
        <v>341</v>
      </c>
      <c r="E41" t="str">
        <f>"TR IBG"</f>
        <v>TR IBG</v>
      </c>
      <c r="F41">
        <v>9938</v>
      </c>
      <c r="G41" t="str">
        <f>"28194785"</f>
        <v>28194785</v>
      </c>
      <c r="H41" s="2">
        <v>820</v>
      </c>
      <c r="I41" t="s">
        <v>26</v>
      </c>
      <c r="J41" s="2">
        <v>497165.31</v>
      </c>
      <c r="K41" t="s">
        <v>27</v>
      </c>
      <c r="L41">
        <v>162409</v>
      </c>
      <c r="M41" t="str">
        <f>"PERBADANAN BUKIT BEN"</f>
        <v>PERBADANAN BUKIT BEN</v>
      </c>
      <c r="O41">
        <v>1</v>
      </c>
      <c r="P41" t="str">
        <f>"PGTEFT3075"</f>
        <v>PGTEFT3075</v>
      </c>
      <c r="Q41" t="str">
        <f>"IV-00001-18"</f>
        <v>IV-00001-18</v>
      </c>
    </row>
    <row r="42" spans="1:17" x14ac:dyDescent="0.25">
      <c r="A42">
        <v>8003879954</v>
      </c>
      <c r="B42">
        <v>4</v>
      </c>
      <c r="C42">
        <v>30032018</v>
      </c>
      <c r="D42">
        <v>299</v>
      </c>
      <c r="E42" t="str">
        <f>"GST"</f>
        <v>GST</v>
      </c>
      <c r="F42">
        <v>9938</v>
      </c>
      <c r="G42" t="str">
        <f>"28194785"</f>
        <v>28194785</v>
      </c>
      <c r="H42" s="2">
        <v>0.01</v>
      </c>
      <c r="I42" t="s">
        <v>26</v>
      </c>
      <c r="J42" s="2">
        <v>497985.31</v>
      </c>
      <c r="K42" t="s">
        <v>27</v>
      </c>
      <c r="L42">
        <v>162409</v>
      </c>
      <c r="M42" t="str">
        <f>"PGTEFT3075          IV-00001-18"</f>
        <v>PGTEFT3075          IV-00001-18</v>
      </c>
      <c r="O42">
        <v>1</v>
      </c>
    </row>
    <row r="43" spans="1:17" x14ac:dyDescent="0.25">
      <c r="A43">
        <v>8003879954</v>
      </c>
      <c r="B43">
        <v>3</v>
      </c>
      <c r="C43">
        <v>30032018</v>
      </c>
      <c r="D43">
        <v>489</v>
      </c>
      <c r="E43" t="str">
        <f>"OTHER TRANSFER FEE"</f>
        <v>OTHER TRANSFER FEE</v>
      </c>
      <c r="F43">
        <v>9938</v>
      </c>
      <c r="G43" t="str">
        <f>"28194785"</f>
        <v>28194785</v>
      </c>
      <c r="H43" s="2">
        <v>0.1</v>
      </c>
      <c r="I43" t="s">
        <v>26</v>
      </c>
      <c r="J43" s="2">
        <v>497985.32</v>
      </c>
      <c r="K43" t="s">
        <v>27</v>
      </c>
      <c r="L43">
        <v>162409</v>
      </c>
      <c r="M43" t="str">
        <f>"PGTEFT3075          IV-00001-18"</f>
        <v>PGTEFT3075          IV-00001-18</v>
      </c>
      <c r="O43">
        <v>1</v>
      </c>
    </row>
    <row r="44" spans="1:17" x14ac:dyDescent="0.25">
      <c r="A44">
        <v>8003879954</v>
      </c>
      <c r="B44">
        <v>2</v>
      </c>
      <c r="C44">
        <v>30032018</v>
      </c>
      <c r="D44">
        <v>345</v>
      </c>
      <c r="E44" t="str">
        <f>"TR TO SAVINGS"</f>
        <v>TR TO SAVINGS</v>
      </c>
      <c r="F44">
        <v>9938</v>
      </c>
      <c r="G44" t="str">
        <f>"28195412"</f>
        <v>28195412</v>
      </c>
      <c r="H44" s="2">
        <v>898.32</v>
      </c>
      <c r="I44" t="s">
        <v>26</v>
      </c>
      <c r="J44" s="2">
        <v>497985.42</v>
      </c>
      <c r="K44" t="s">
        <v>27</v>
      </c>
      <c r="L44">
        <v>162408</v>
      </c>
      <c r="M44" t="str">
        <f>"TM AWARDS DANNY TAN LEE KEONG"</f>
        <v>TM AWARDS DANNY TAN LEE KEONG</v>
      </c>
      <c r="O44">
        <v>1</v>
      </c>
      <c r="P44" t="str">
        <f>"PGTEFT3071"</f>
        <v>PGTEFT3071</v>
      </c>
      <c r="Q44" t="str">
        <f>"CLAIMS"</f>
        <v>CLAIMS</v>
      </c>
    </row>
    <row r="45" spans="1:17" x14ac:dyDescent="0.25">
      <c r="A45">
        <v>8003879954</v>
      </c>
      <c r="B45">
        <v>1</v>
      </c>
      <c r="C45">
        <v>30032018</v>
      </c>
      <c r="D45">
        <v>60</v>
      </c>
      <c r="E45" t="str">
        <f>"TR TO C/A"</f>
        <v>TR TO C/A</v>
      </c>
      <c r="F45">
        <v>9938</v>
      </c>
      <c r="G45" t="str">
        <f>"28195599"</f>
        <v>28195599</v>
      </c>
      <c r="H45" s="2">
        <v>718.2</v>
      </c>
      <c r="I45" t="s">
        <v>26</v>
      </c>
      <c r="J45" s="2">
        <v>498883.74</v>
      </c>
      <c r="K45" t="s">
        <v>27</v>
      </c>
      <c r="L45">
        <v>162408</v>
      </c>
      <c r="M45" t="str">
        <f>"SALES-JAN'18 BUTTERFLY HOUSE (PG"</f>
        <v>SALES-JAN'18 BUTTERFLY HOUSE (PG</v>
      </c>
      <c r="O45">
        <v>1</v>
      </c>
      <c r="P45" t="str">
        <f>"PGTEFT3069"</f>
        <v>PGTEFT3069</v>
      </c>
      <c r="Q45" t="str">
        <f>"A073172"</f>
        <v>A073172</v>
      </c>
    </row>
    <row r="46" spans="1:17" x14ac:dyDescent="0.25">
      <c r="A46">
        <v>8003879954</v>
      </c>
      <c r="B46">
        <v>1</v>
      </c>
      <c r="C46">
        <v>29032018</v>
      </c>
      <c r="D46">
        <v>214</v>
      </c>
      <c r="E46" t="str">
        <f>"CLRG CHQ RTN"</f>
        <v>CLRG CHQ RTN</v>
      </c>
      <c r="F46">
        <v>6881</v>
      </c>
      <c r="G46" t="str">
        <f>"70"</f>
        <v>70</v>
      </c>
      <c r="H46" s="2">
        <v>200000</v>
      </c>
      <c r="I46" t="s">
        <v>27</v>
      </c>
      <c r="J46" s="2">
        <v>499601.94</v>
      </c>
      <c r="K46" t="s">
        <v>27</v>
      </c>
      <c r="L46">
        <v>93720</v>
      </c>
      <c r="M46" t="str">
        <f>""</f>
        <v/>
      </c>
      <c r="O46">
        <v>1</v>
      </c>
    </row>
    <row r="47" spans="1:17" x14ac:dyDescent="0.25">
      <c r="A47">
        <v>8003879954</v>
      </c>
      <c r="B47">
        <v>20</v>
      </c>
      <c r="C47">
        <v>28032018</v>
      </c>
      <c r="D47">
        <v>299</v>
      </c>
      <c r="E47" t="str">
        <f>"GST"</f>
        <v>GST</v>
      </c>
      <c r="H47" s="2">
        <v>0.03</v>
      </c>
      <c r="I47" t="s">
        <v>26</v>
      </c>
      <c r="J47" s="2">
        <v>299601.94</v>
      </c>
      <c r="K47" t="s">
        <v>27</v>
      </c>
      <c r="L47">
        <v>10302</v>
      </c>
      <c r="M47" t="str">
        <f>""</f>
        <v/>
      </c>
      <c r="O47">
        <v>1</v>
      </c>
    </row>
    <row r="48" spans="1:17" x14ac:dyDescent="0.25">
      <c r="A48">
        <v>8003879954</v>
      </c>
      <c r="B48">
        <v>19</v>
      </c>
      <c r="C48">
        <v>28032018</v>
      </c>
      <c r="D48">
        <v>819</v>
      </c>
      <c r="E48" t="str">
        <f>"CHQ PROCESSING FEE"</f>
        <v>CHQ PROCESSING FEE</v>
      </c>
      <c r="H48" s="2">
        <v>0.5</v>
      </c>
      <c r="I48" t="s">
        <v>26</v>
      </c>
      <c r="J48" s="2">
        <v>299601.96999999997</v>
      </c>
      <c r="K48" t="s">
        <v>27</v>
      </c>
      <c r="L48">
        <v>10302</v>
      </c>
      <c r="M48" t="str">
        <f>""</f>
        <v/>
      </c>
      <c r="O48">
        <v>1</v>
      </c>
    </row>
    <row r="49" spans="1:15" x14ac:dyDescent="0.25">
      <c r="A49">
        <v>8003879954</v>
      </c>
      <c r="B49">
        <v>18</v>
      </c>
      <c r="C49">
        <v>28032018</v>
      </c>
      <c r="D49">
        <v>299</v>
      </c>
      <c r="E49" t="str">
        <f>"GST"</f>
        <v>GST</v>
      </c>
      <c r="H49" s="2">
        <v>0.15</v>
      </c>
      <c r="I49" t="s">
        <v>26</v>
      </c>
      <c r="J49" s="2">
        <v>299602.46999999997</v>
      </c>
      <c r="K49" t="s">
        <v>27</v>
      </c>
      <c r="L49">
        <v>10302</v>
      </c>
      <c r="M49" t="str">
        <f>""</f>
        <v/>
      </c>
      <c r="O49">
        <v>1</v>
      </c>
    </row>
    <row r="50" spans="1:15" x14ac:dyDescent="0.25">
      <c r="A50">
        <v>8003879954</v>
      </c>
      <c r="B50">
        <v>17</v>
      </c>
      <c r="C50">
        <v>28032018</v>
      </c>
      <c r="D50">
        <v>819</v>
      </c>
      <c r="E50" t="str">
        <f>"CHQ PROCESSING FEE"</f>
        <v>CHQ PROCESSING FEE</v>
      </c>
      <c r="H50" s="2">
        <v>2.5</v>
      </c>
      <c r="I50" t="s">
        <v>26</v>
      </c>
      <c r="J50" s="2">
        <v>299602.62</v>
      </c>
      <c r="K50" t="s">
        <v>27</v>
      </c>
      <c r="L50">
        <v>10302</v>
      </c>
      <c r="M50" t="str">
        <f>""</f>
        <v/>
      </c>
      <c r="O50">
        <v>1</v>
      </c>
    </row>
    <row r="51" spans="1:15" x14ac:dyDescent="0.25">
      <c r="A51">
        <v>8003879954</v>
      </c>
      <c r="B51">
        <v>16</v>
      </c>
      <c r="C51">
        <v>28032018</v>
      </c>
      <c r="D51">
        <v>323</v>
      </c>
      <c r="E51" t="str">
        <f>"CLRG CHQ DR"</f>
        <v>CLRG CHQ DR</v>
      </c>
      <c r="F51">
        <v>0</v>
      </c>
      <c r="G51" t="str">
        <f>"00688170"</f>
        <v>00688170</v>
      </c>
      <c r="H51" s="2">
        <v>200000</v>
      </c>
      <c r="I51" t="s">
        <v>26</v>
      </c>
      <c r="J51" s="2">
        <v>299605.12</v>
      </c>
      <c r="K51" t="s">
        <v>27</v>
      </c>
      <c r="L51">
        <v>10130</v>
      </c>
      <c r="M51" t="str">
        <f>""</f>
        <v/>
      </c>
      <c r="O51">
        <v>1</v>
      </c>
    </row>
    <row r="52" spans="1:15" x14ac:dyDescent="0.25">
      <c r="A52">
        <v>8003879954</v>
      </c>
      <c r="B52">
        <v>15</v>
      </c>
      <c r="C52">
        <v>28032018</v>
      </c>
      <c r="D52">
        <v>323</v>
      </c>
      <c r="E52" t="str">
        <f>"CLRG CHQ DR"</f>
        <v>CLRG CHQ DR</v>
      </c>
      <c r="F52">
        <v>0</v>
      </c>
      <c r="G52" t="str">
        <f>"00688168"</f>
        <v>00688168</v>
      </c>
      <c r="H52" s="2">
        <v>15937.63</v>
      </c>
      <c r="I52" t="s">
        <v>26</v>
      </c>
      <c r="J52" s="2">
        <v>499605.12</v>
      </c>
      <c r="K52" t="s">
        <v>27</v>
      </c>
      <c r="L52">
        <v>10130</v>
      </c>
      <c r="M52" t="str">
        <f>""</f>
        <v/>
      </c>
      <c r="O52">
        <v>1</v>
      </c>
    </row>
    <row r="53" spans="1:15" x14ac:dyDescent="0.25">
      <c r="A53">
        <v>8003879954</v>
      </c>
      <c r="B53">
        <v>14</v>
      </c>
      <c r="C53">
        <v>28032018</v>
      </c>
      <c r="D53">
        <v>323</v>
      </c>
      <c r="E53" t="str">
        <f>"CLRG CHQ DR"</f>
        <v>CLRG CHQ DR</v>
      </c>
      <c r="F53">
        <v>0</v>
      </c>
      <c r="G53" t="str">
        <f>"00688167"</f>
        <v>00688167</v>
      </c>
      <c r="H53" s="2">
        <v>17310.2</v>
      </c>
      <c r="I53" t="s">
        <v>26</v>
      </c>
      <c r="J53" s="2">
        <v>515542.75</v>
      </c>
      <c r="K53" t="s">
        <v>27</v>
      </c>
      <c r="L53">
        <v>10130</v>
      </c>
      <c r="M53" t="str">
        <f>""</f>
        <v/>
      </c>
      <c r="O53">
        <v>1</v>
      </c>
    </row>
    <row r="54" spans="1:15" x14ac:dyDescent="0.25">
      <c r="A54">
        <v>8003879954</v>
      </c>
      <c r="B54">
        <v>13</v>
      </c>
      <c r="C54">
        <v>28032018</v>
      </c>
      <c r="D54">
        <v>321</v>
      </c>
      <c r="E54" t="str">
        <f>"HOUSE CHQ DR"</f>
        <v>HOUSE CHQ DR</v>
      </c>
      <c r="F54">
        <v>0</v>
      </c>
      <c r="G54" t="str">
        <f>"00688166"</f>
        <v>00688166</v>
      </c>
      <c r="H54" s="2">
        <v>21193.35</v>
      </c>
      <c r="I54" t="s">
        <v>26</v>
      </c>
      <c r="J54" s="2">
        <v>532852.94999999995</v>
      </c>
      <c r="K54" t="s">
        <v>27</v>
      </c>
      <c r="L54">
        <v>10130</v>
      </c>
      <c r="M54" t="str">
        <f>""</f>
        <v/>
      </c>
      <c r="O54">
        <v>1</v>
      </c>
    </row>
    <row r="55" spans="1:15" x14ac:dyDescent="0.25">
      <c r="A55">
        <v>8003879954</v>
      </c>
      <c r="B55">
        <v>12</v>
      </c>
      <c r="C55">
        <v>28032018</v>
      </c>
      <c r="D55">
        <v>323</v>
      </c>
      <c r="E55" t="str">
        <f>"CLRG CHQ DR"</f>
        <v>CLRG CHQ DR</v>
      </c>
      <c r="F55">
        <v>0</v>
      </c>
      <c r="G55" t="str">
        <f>"00688165"</f>
        <v>00688165</v>
      </c>
      <c r="H55" s="2">
        <v>16615</v>
      </c>
      <c r="I55" t="s">
        <v>26</v>
      </c>
      <c r="J55" s="2">
        <v>554046.30000000005</v>
      </c>
      <c r="K55" t="s">
        <v>27</v>
      </c>
      <c r="L55">
        <v>10130</v>
      </c>
      <c r="M55" t="str">
        <f>""</f>
        <v/>
      </c>
      <c r="O55">
        <v>1</v>
      </c>
    </row>
    <row r="56" spans="1:15" x14ac:dyDescent="0.25">
      <c r="A56">
        <v>8003879954</v>
      </c>
      <c r="B56">
        <v>11</v>
      </c>
      <c r="C56">
        <v>28032018</v>
      </c>
      <c r="D56">
        <v>323</v>
      </c>
      <c r="E56" t="str">
        <f>"CLRG CHQ DR"</f>
        <v>CLRG CHQ DR</v>
      </c>
      <c r="F56">
        <v>0</v>
      </c>
      <c r="G56" t="str">
        <f>"00688162"</f>
        <v>00688162</v>
      </c>
      <c r="H56" s="2">
        <v>48904.160000000003</v>
      </c>
      <c r="I56" t="s">
        <v>26</v>
      </c>
      <c r="J56" s="2">
        <v>570661.30000000005</v>
      </c>
      <c r="K56" t="s">
        <v>27</v>
      </c>
      <c r="L56">
        <v>10130</v>
      </c>
      <c r="M56" t="str">
        <f>""</f>
        <v/>
      </c>
      <c r="O56">
        <v>1</v>
      </c>
    </row>
    <row r="57" spans="1:15" x14ac:dyDescent="0.25">
      <c r="A57">
        <v>8003879954</v>
      </c>
      <c r="B57">
        <v>10</v>
      </c>
      <c r="C57">
        <v>28032018</v>
      </c>
      <c r="D57">
        <v>299</v>
      </c>
      <c r="E57" t="s">
        <v>508</v>
      </c>
      <c r="F57">
        <v>72</v>
      </c>
      <c r="G57" t="str">
        <f>"283187717"</f>
        <v>283187717</v>
      </c>
      <c r="H57" s="2">
        <v>0.6</v>
      </c>
      <c r="I57" t="s">
        <v>26</v>
      </c>
      <c r="J57" s="2">
        <v>619565.46</v>
      </c>
      <c r="K57" t="s">
        <v>27</v>
      </c>
      <c r="L57">
        <v>165429</v>
      </c>
      <c r="M57" t="str">
        <f>"00722280318T5728                       S"</f>
        <v>00722280318T5728                       S</v>
      </c>
      <c r="O57">
        <v>1</v>
      </c>
    </row>
    <row r="58" spans="1:15" x14ac:dyDescent="0.25">
      <c r="A58">
        <v>8003879954</v>
      </c>
      <c r="B58">
        <v>9</v>
      </c>
      <c r="C58">
        <v>28032018</v>
      </c>
      <c r="D58">
        <v>415</v>
      </c>
      <c r="E58" s="14" t="str">
        <f>"TELEX/FAX"</f>
        <v>TELEX/FAX</v>
      </c>
      <c r="F58">
        <v>72</v>
      </c>
      <c r="G58" t="str">
        <f>"283187717"</f>
        <v>283187717</v>
      </c>
      <c r="H58" s="2">
        <v>10</v>
      </c>
      <c r="I58" t="s">
        <v>26</v>
      </c>
      <c r="J58" s="2">
        <v>619566.06000000006</v>
      </c>
      <c r="K58" t="s">
        <v>27</v>
      </c>
      <c r="L58">
        <v>165429</v>
      </c>
      <c r="M58" t="str">
        <f>"00722280318T5728                       S"</f>
        <v>00722280318T5728                       S</v>
      </c>
      <c r="O58">
        <v>1</v>
      </c>
    </row>
    <row r="59" spans="1:15" x14ac:dyDescent="0.25">
      <c r="A59">
        <v>8003879954</v>
      </c>
      <c r="B59">
        <v>8</v>
      </c>
      <c r="C59">
        <v>28032018</v>
      </c>
      <c r="D59">
        <v>349</v>
      </c>
      <c r="E59" t="str">
        <f>"TR TO REMITT"</f>
        <v>TR TO REMITT</v>
      </c>
      <c r="F59">
        <v>72</v>
      </c>
      <c r="G59" t="str">
        <f>"283187717"</f>
        <v>283187717</v>
      </c>
      <c r="H59" s="2">
        <v>14412.96</v>
      </c>
      <c r="I59" t="s">
        <v>26</v>
      </c>
      <c r="J59" s="2">
        <v>619576.06000000006</v>
      </c>
      <c r="K59" t="s">
        <v>27</v>
      </c>
      <c r="L59">
        <v>165429</v>
      </c>
      <c r="M59" t="str">
        <f>"00722280318T5728                       S"</f>
        <v>00722280318T5728                       S</v>
      </c>
      <c r="O59">
        <v>1</v>
      </c>
    </row>
    <row r="60" spans="1:15" x14ac:dyDescent="0.25">
      <c r="A60">
        <v>8003879954</v>
      </c>
      <c r="B60">
        <v>7</v>
      </c>
      <c r="C60">
        <v>28032018</v>
      </c>
      <c r="D60">
        <v>299</v>
      </c>
      <c r="E60" t="s">
        <v>508</v>
      </c>
      <c r="F60">
        <v>72</v>
      </c>
      <c r="G60" t="str">
        <f t="shared" ref="G60:G65" si="0">"225661284"</f>
        <v>225661284</v>
      </c>
      <c r="H60" s="2">
        <v>1.8</v>
      </c>
      <c r="I60" t="s">
        <v>26</v>
      </c>
      <c r="J60" s="2">
        <v>633989.02</v>
      </c>
      <c r="K60" t="s">
        <v>27</v>
      </c>
      <c r="L60">
        <v>161936</v>
      </c>
      <c r="M60" t="str">
        <f>"20008280318T0089    /ACC/PLEASE DO NOT"</f>
        <v>20008280318T0089    /ACC/PLEASE DO NOT</v>
      </c>
      <c r="O60">
        <v>1</v>
      </c>
    </row>
    <row r="61" spans="1:15" x14ac:dyDescent="0.25">
      <c r="A61">
        <v>8003879954</v>
      </c>
      <c r="B61">
        <v>6</v>
      </c>
      <c r="C61">
        <v>28032018</v>
      </c>
      <c r="D61">
        <v>415</v>
      </c>
      <c r="E61" s="14" t="str">
        <f>"TELEX/FAX"</f>
        <v>TELEX/FAX</v>
      </c>
      <c r="F61">
        <v>72</v>
      </c>
      <c r="G61" t="str">
        <f t="shared" si="0"/>
        <v>225661284</v>
      </c>
      <c r="H61" s="2">
        <v>30</v>
      </c>
      <c r="I61" t="s">
        <v>26</v>
      </c>
      <c r="J61" s="2">
        <v>633990.81999999995</v>
      </c>
      <c r="K61" t="s">
        <v>27</v>
      </c>
      <c r="L61">
        <v>161936</v>
      </c>
      <c r="M61" t="str">
        <f>"20008280318T0089    /ACC/PLEASE DO NOT"</f>
        <v>20008280318T0089    /ACC/PLEASE DO NOT</v>
      </c>
      <c r="O61">
        <v>1</v>
      </c>
    </row>
    <row r="62" spans="1:15" x14ac:dyDescent="0.25">
      <c r="A62">
        <v>8003879954</v>
      </c>
      <c r="B62">
        <v>5</v>
      </c>
      <c r="C62">
        <v>28032018</v>
      </c>
      <c r="D62">
        <v>349</v>
      </c>
      <c r="E62" t="str">
        <f>"TR TO REMITT"</f>
        <v>TR TO REMITT</v>
      </c>
      <c r="F62">
        <v>72</v>
      </c>
      <c r="G62" t="str">
        <f t="shared" si="0"/>
        <v>225661284</v>
      </c>
      <c r="H62" s="2">
        <v>175331.16</v>
      </c>
      <c r="I62" t="s">
        <v>26</v>
      </c>
      <c r="J62" s="2">
        <v>634020.81999999995</v>
      </c>
      <c r="K62" t="s">
        <v>27</v>
      </c>
      <c r="L62">
        <v>161936</v>
      </c>
      <c r="M62" t="str">
        <f>"20008280318T0089    /ACC/PLEASE DO NOT"</f>
        <v>20008280318T0089    /ACC/PLEASE DO NOT</v>
      </c>
      <c r="O62">
        <v>1</v>
      </c>
    </row>
    <row r="63" spans="1:15" x14ac:dyDescent="0.25">
      <c r="A63">
        <v>8003879954</v>
      </c>
      <c r="B63">
        <v>4</v>
      </c>
      <c r="C63">
        <v>28032018</v>
      </c>
      <c r="D63">
        <v>299</v>
      </c>
      <c r="E63" t="s">
        <v>508</v>
      </c>
      <c r="F63">
        <v>72</v>
      </c>
      <c r="G63" t="str">
        <f t="shared" si="0"/>
        <v>225661284</v>
      </c>
      <c r="H63" s="2">
        <v>1.8</v>
      </c>
      <c r="I63" t="s">
        <v>26</v>
      </c>
      <c r="J63" s="2">
        <v>809351.98</v>
      </c>
      <c r="K63" t="s">
        <v>27</v>
      </c>
      <c r="L63">
        <v>160904</v>
      </c>
      <c r="M63" t="str">
        <f>"20008280318T0084    /ACC/PLEASE DO NOT"</f>
        <v>20008280318T0084    /ACC/PLEASE DO NOT</v>
      </c>
      <c r="O63">
        <v>1</v>
      </c>
    </row>
    <row r="64" spans="1:15" x14ac:dyDescent="0.25">
      <c r="A64">
        <v>8003879954</v>
      </c>
      <c r="B64">
        <v>3</v>
      </c>
      <c r="C64">
        <v>28032018</v>
      </c>
      <c r="D64">
        <v>415</v>
      </c>
      <c r="E64" s="14" t="str">
        <f>"TELEX/FAX"</f>
        <v>TELEX/FAX</v>
      </c>
      <c r="F64">
        <v>72</v>
      </c>
      <c r="G64" t="str">
        <f t="shared" si="0"/>
        <v>225661284</v>
      </c>
      <c r="H64" s="2">
        <v>30</v>
      </c>
      <c r="I64" t="s">
        <v>26</v>
      </c>
      <c r="J64" s="2">
        <v>809353.78</v>
      </c>
      <c r="K64" t="s">
        <v>27</v>
      </c>
      <c r="L64">
        <v>160904</v>
      </c>
      <c r="M64" t="str">
        <f>"20008280318T0084    /ACC/PLEASE DO NOT"</f>
        <v>20008280318T0084    /ACC/PLEASE DO NOT</v>
      </c>
      <c r="O64">
        <v>1</v>
      </c>
    </row>
    <row r="65" spans="1:18" x14ac:dyDescent="0.25">
      <c r="A65">
        <v>8003879954</v>
      </c>
      <c r="B65">
        <v>2</v>
      </c>
      <c r="C65">
        <v>28032018</v>
      </c>
      <c r="D65">
        <v>349</v>
      </c>
      <c r="E65" t="str">
        <f>"TR TO REMITT"</f>
        <v>TR TO REMITT</v>
      </c>
      <c r="F65">
        <v>72</v>
      </c>
      <c r="G65" t="str">
        <f t="shared" si="0"/>
        <v>225661284</v>
      </c>
      <c r="H65" s="2">
        <v>42936.3</v>
      </c>
      <c r="I65" t="s">
        <v>26</v>
      </c>
      <c r="J65" s="2">
        <v>809383.78</v>
      </c>
      <c r="K65" t="s">
        <v>27</v>
      </c>
      <c r="L65">
        <v>160904</v>
      </c>
      <c r="M65" t="str">
        <f>"20008280318T0084    /ACC/PLEASE DO NOT"</f>
        <v>20008280318T0084    /ACC/PLEASE DO NOT</v>
      </c>
      <c r="O65">
        <v>1</v>
      </c>
    </row>
    <row r="66" spans="1:18" x14ac:dyDescent="0.25">
      <c r="A66">
        <v>8003879954</v>
      </c>
      <c r="B66">
        <v>1</v>
      </c>
      <c r="C66">
        <v>28032018</v>
      </c>
      <c r="D66">
        <v>143</v>
      </c>
      <c r="E66" t="str">
        <f>"TR FROM CA"</f>
        <v>TR FROM CA</v>
      </c>
      <c r="F66">
        <v>9938</v>
      </c>
      <c r="G66" t="str">
        <f>"28084220"</f>
        <v>28084220</v>
      </c>
      <c r="H66" s="2">
        <v>3000</v>
      </c>
      <c r="I66" t="s">
        <v>27</v>
      </c>
      <c r="J66" s="2">
        <v>852320.08</v>
      </c>
      <c r="K66" t="s">
        <v>27</v>
      </c>
      <c r="L66">
        <v>152446</v>
      </c>
      <c r="M66" t="str">
        <f>"ITB ASIA SINGAPORE"</f>
        <v>ITB ASIA SINGAPORE</v>
      </c>
      <c r="O66">
        <v>1</v>
      </c>
      <c r="P66" t="str">
        <f>"ITB ASIA SINGAPORE"</f>
        <v>ITB ASIA SINGAPORE</v>
      </c>
      <c r="Q66" t="str">
        <f>"TSGARDEN"</f>
        <v>TSGARDEN</v>
      </c>
      <c r="R66" t="str">
        <f>"TROPICAL SPICE GARDE"</f>
        <v>TROPICAL SPICE GARDE</v>
      </c>
    </row>
    <row r="67" spans="1:18" x14ac:dyDescent="0.25">
      <c r="A67">
        <v>8003879954</v>
      </c>
      <c r="B67">
        <v>4</v>
      </c>
      <c r="C67">
        <v>27032018</v>
      </c>
      <c r="D67">
        <v>299</v>
      </c>
      <c r="E67" t="str">
        <f>"GST"</f>
        <v>GST</v>
      </c>
      <c r="H67" s="2">
        <v>0.03</v>
      </c>
      <c r="I67" t="s">
        <v>26</v>
      </c>
      <c r="J67" s="2">
        <v>849320.08</v>
      </c>
      <c r="K67" t="s">
        <v>27</v>
      </c>
      <c r="L67">
        <v>11154</v>
      </c>
      <c r="M67" t="str">
        <f>""</f>
        <v/>
      </c>
      <c r="O67">
        <v>1</v>
      </c>
    </row>
    <row r="68" spans="1:18" x14ac:dyDescent="0.25">
      <c r="A68">
        <v>8003879954</v>
      </c>
      <c r="B68">
        <v>3</v>
      </c>
      <c r="C68">
        <v>27032018</v>
      </c>
      <c r="D68">
        <v>819</v>
      </c>
      <c r="E68" t="str">
        <f>"CHQ PROCESSING FEE"</f>
        <v>CHQ PROCESSING FEE</v>
      </c>
      <c r="H68" s="2">
        <v>0.5</v>
      </c>
      <c r="I68" t="s">
        <v>26</v>
      </c>
      <c r="J68" s="2">
        <v>849320.11</v>
      </c>
      <c r="K68" t="s">
        <v>27</v>
      </c>
      <c r="L68">
        <v>11154</v>
      </c>
      <c r="M68" t="str">
        <f>""</f>
        <v/>
      </c>
      <c r="O68">
        <v>1</v>
      </c>
    </row>
    <row r="69" spans="1:18" x14ac:dyDescent="0.25">
      <c r="A69">
        <v>8003879954</v>
      </c>
      <c r="B69">
        <v>2</v>
      </c>
      <c r="C69">
        <v>27032018</v>
      </c>
      <c r="D69">
        <v>321</v>
      </c>
      <c r="E69" t="str">
        <f>"HOUSE CHQ DR"</f>
        <v>HOUSE CHQ DR</v>
      </c>
      <c r="F69">
        <v>0</v>
      </c>
      <c r="G69" t="str">
        <f>"00688164"</f>
        <v>00688164</v>
      </c>
      <c r="H69" s="2">
        <v>16684.68</v>
      </c>
      <c r="I69" t="s">
        <v>26</v>
      </c>
      <c r="J69" s="2">
        <v>849320.61</v>
      </c>
      <c r="K69" t="s">
        <v>27</v>
      </c>
      <c r="L69">
        <v>11036</v>
      </c>
      <c r="M69" t="str">
        <f>""</f>
        <v/>
      </c>
      <c r="O69">
        <v>1</v>
      </c>
    </row>
    <row r="70" spans="1:18" x14ac:dyDescent="0.25">
      <c r="A70">
        <v>8003879954</v>
      </c>
      <c r="B70">
        <v>1</v>
      </c>
      <c r="C70">
        <v>27032018</v>
      </c>
      <c r="D70">
        <v>5</v>
      </c>
      <c r="E70" t="str">
        <f>"REMITTANCE CR"</f>
        <v>REMITTANCE CR</v>
      </c>
      <c r="H70" s="2">
        <v>600000</v>
      </c>
      <c r="I70" t="s">
        <v>27</v>
      </c>
      <c r="J70" s="2">
        <v>866005.29</v>
      </c>
      <c r="K70" t="s">
        <v>27</v>
      </c>
      <c r="L70">
        <v>110111</v>
      </c>
      <c r="M70" t="str">
        <f>"/ROC/FROM RHB REFLE RHB ASSET MANAGEMENT"</f>
        <v>/ROC/FROM RHB REFLE RHB ASSET MANAGEMENT</v>
      </c>
      <c r="O70">
        <v>1</v>
      </c>
      <c r="P70" t="str">
        <f>"FROM RHB REFLEX"</f>
        <v>FROM RHB REFLEX</v>
      </c>
      <c r="Q70" t="str">
        <f>"RHB ASSET MGMT SB"</f>
        <v>RHB ASSET MGMT SB</v>
      </c>
      <c r="R70" t="str">
        <f>"RHB ASSET MANAGEMENT"</f>
        <v>RHB ASSET MANAGEMENT</v>
      </c>
    </row>
    <row r="71" spans="1:18" x14ac:dyDescent="0.25">
      <c r="A71">
        <v>8003879954</v>
      </c>
      <c r="B71">
        <v>4</v>
      </c>
      <c r="C71">
        <v>26032018</v>
      </c>
      <c r="D71">
        <v>341</v>
      </c>
      <c r="E71" t="str">
        <f>"TR IBG"</f>
        <v>TR IBG</v>
      </c>
      <c r="F71">
        <v>9938</v>
      </c>
      <c r="G71" t="str">
        <f>"27971598"</f>
        <v>27971598</v>
      </c>
      <c r="H71" s="2">
        <v>3000</v>
      </c>
      <c r="I71" t="s">
        <v>26</v>
      </c>
      <c r="J71" s="2">
        <v>266005.28999999998</v>
      </c>
      <c r="K71" t="s">
        <v>27</v>
      </c>
      <c r="L71">
        <v>183843</v>
      </c>
      <c r="M71" t="str">
        <f>"HAZE CHACKO EVENTS"</f>
        <v>HAZE CHACKO EVENTS</v>
      </c>
      <c r="O71">
        <v>1</v>
      </c>
      <c r="P71" t="str">
        <f>"PGTEFT3044"</f>
        <v>PGTEFT3044</v>
      </c>
      <c r="Q71" t="str">
        <f>"QI-013-18"</f>
        <v>QI-013-18</v>
      </c>
    </row>
    <row r="72" spans="1:18" x14ac:dyDescent="0.25">
      <c r="A72">
        <v>8003879954</v>
      </c>
      <c r="B72">
        <v>3</v>
      </c>
      <c r="C72">
        <v>26032018</v>
      </c>
      <c r="D72">
        <v>299</v>
      </c>
      <c r="E72" t="str">
        <f>"GST"</f>
        <v>GST</v>
      </c>
      <c r="F72">
        <v>9938</v>
      </c>
      <c r="G72" t="str">
        <f>"27971598"</f>
        <v>27971598</v>
      </c>
      <c r="H72" s="2">
        <v>0.01</v>
      </c>
      <c r="I72" t="s">
        <v>26</v>
      </c>
      <c r="J72" s="2">
        <v>269005.28999999998</v>
      </c>
      <c r="K72" t="s">
        <v>27</v>
      </c>
      <c r="L72">
        <v>183843</v>
      </c>
      <c r="M72" t="str">
        <f>"PGTEFT3044          QI-013-18"</f>
        <v>PGTEFT3044          QI-013-18</v>
      </c>
      <c r="O72">
        <v>1</v>
      </c>
    </row>
    <row r="73" spans="1:18" x14ac:dyDescent="0.25">
      <c r="A73">
        <v>8003879954</v>
      </c>
      <c r="B73">
        <v>2</v>
      </c>
      <c r="C73">
        <v>26032018</v>
      </c>
      <c r="D73">
        <v>489</v>
      </c>
      <c r="E73" t="str">
        <f>"OTHER TRANSFER FEE"</f>
        <v>OTHER TRANSFER FEE</v>
      </c>
      <c r="F73">
        <v>9938</v>
      </c>
      <c r="G73" t="str">
        <f>"27971598"</f>
        <v>27971598</v>
      </c>
      <c r="H73" s="2">
        <v>0.1</v>
      </c>
      <c r="I73" t="s">
        <v>26</v>
      </c>
      <c r="J73" s="2">
        <v>269005.3</v>
      </c>
      <c r="K73" t="s">
        <v>27</v>
      </c>
      <c r="L73">
        <v>183843</v>
      </c>
      <c r="M73" t="str">
        <f>"PGTEFT3044          QI-013-18"</f>
        <v>PGTEFT3044          QI-013-18</v>
      </c>
      <c r="O73">
        <v>1</v>
      </c>
    </row>
    <row r="74" spans="1:18" x14ac:dyDescent="0.25">
      <c r="A74">
        <v>8003879954</v>
      </c>
      <c r="B74">
        <v>1</v>
      </c>
      <c r="C74">
        <v>26032018</v>
      </c>
      <c r="D74">
        <v>141</v>
      </c>
      <c r="E74" t="str">
        <f>"I-FUNDS TR FROM SA"</f>
        <v>I-FUNDS TR FROM SA</v>
      </c>
      <c r="F74">
        <v>6189</v>
      </c>
      <c r="G74" t="str">
        <f>"23608"</f>
        <v>23608</v>
      </c>
      <c r="H74" s="2">
        <v>600.08000000000004</v>
      </c>
      <c r="I74" t="s">
        <v>27</v>
      </c>
      <c r="J74" s="2">
        <v>269005.40000000002</v>
      </c>
      <c r="K74" t="s">
        <v>27</v>
      </c>
      <c r="L74">
        <v>121924</v>
      </c>
      <c r="M74" t="str">
        <f>""</f>
        <v/>
      </c>
      <c r="O74">
        <v>1</v>
      </c>
      <c r="P74" t="str">
        <f>"Qatar Advance"</f>
        <v>Qatar Advance</v>
      </c>
      <c r="R74" t="str">
        <f>"JOANNE KHOO ROU YAN"</f>
        <v>JOANNE KHOO ROU YAN</v>
      </c>
    </row>
    <row r="75" spans="1:18" x14ac:dyDescent="0.25">
      <c r="A75">
        <v>8003879954</v>
      </c>
      <c r="B75">
        <v>1</v>
      </c>
      <c r="C75">
        <v>23032018</v>
      </c>
      <c r="D75">
        <v>121</v>
      </c>
      <c r="E75" t="str">
        <f>"HSE CHQ DEPOSIT"</f>
        <v>HSE CHQ DEPOSIT</v>
      </c>
      <c r="F75">
        <v>2007</v>
      </c>
      <c r="G75" t="str">
        <f>"07146135"</f>
        <v>07146135</v>
      </c>
      <c r="H75" s="2">
        <v>2000</v>
      </c>
      <c r="I75" t="s">
        <v>27</v>
      </c>
      <c r="J75" s="2">
        <v>268405.32</v>
      </c>
      <c r="K75" t="s">
        <v>27</v>
      </c>
      <c r="L75">
        <v>221022</v>
      </c>
      <c r="M75" t="str">
        <f>""</f>
        <v/>
      </c>
      <c r="O75">
        <v>1</v>
      </c>
    </row>
    <row r="76" spans="1:18" x14ac:dyDescent="0.25">
      <c r="A76">
        <v>8003879954</v>
      </c>
      <c r="B76">
        <v>5</v>
      </c>
      <c r="C76">
        <v>21032018</v>
      </c>
      <c r="D76">
        <v>299</v>
      </c>
      <c r="E76" t="str">
        <f>"GST"</f>
        <v>GST</v>
      </c>
      <c r="H76" s="2">
        <v>0.06</v>
      </c>
      <c r="I76" t="s">
        <v>26</v>
      </c>
      <c r="J76" s="2">
        <v>266405.32</v>
      </c>
      <c r="K76" t="s">
        <v>27</v>
      </c>
      <c r="L76">
        <v>5348</v>
      </c>
      <c r="M76" t="str">
        <f>""</f>
        <v/>
      </c>
      <c r="O76">
        <v>1</v>
      </c>
    </row>
    <row r="77" spans="1:18" x14ac:dyDescent="0.25">
      <c r="A77">
        <v>8003879954</v>
      </c>
      <c r="B77">
        <v>4</v>
      </c>
      <c r="C77">
        <v>21032018</v>
      </c>
      <c r="D77">
        <v>819</v>
      </c>
      <c r="E77" t="str">
        <f>"CHQ PROCESSING FEE"</f>
        <v>CHQ PROCESSING FEE</v>
      </c>
      <c r="H77" s="2">
        <v>1</v>
      </c>
      <c r="I77" t="s">
        <v>26</v>
      </c>
      <c r="J77" s="2">
        <v>266405.38</v>
      </c>
      <c r="K77" t="s">
        <v>27</v>
      </c>
      <c r="L77">
        <v>5348</v>
      </c>
      <c r="M77" t="str">
        <f>""</f>
        <v/>
      </c>
      <c r="O77">
        <v>1</v>
      </c>
    </row>
    <row r="78" spans="1:18" x14ac:dyDescent="0.25">
      <c r="A78">
        <v>8003879954</v>
      </c>
      <c r="B78">
        <v>3</v>
      </c>
      <c r="C78">
        <v>21032018</v>
      </c>
      <c r="D78">
        <v>323</v>
      </c>
      <c r="E78" t="str">
        <f>"CLRG CHQ DR"</f>
        <v>CLRG CHQ DR</v>
      </c>
      <c r="F78">
        <v>0</v>
      </c>
      <c r="G78" t="str">
        <f>"00688161"</f>
        <v>00688161</v>
      </c>
      <c r="H78" s="2">
        <v>15900</v>
      </c>
      <c r="I78" t="s">
        <v>26</v>
      </c>
      <c r="J78" s="2">
        <v>266406.38</v>
      </c>
      <c r="K78" t="s">
        <v>27</v>
      </c>
      <c r="L78">
        <v>5208</v>
      </c>
      <c r="M78" t="str">
        <f>""</f>
        <v/>
      </c>
      <c r="O78">
        <v>1</v>
      </c>
    </row>
    <row r="79" spans="1:18" x14ac:dyDescent="0.25">
      <c r="A79">
        <v>8003879954</v>
      </c>
      <c r="B79">
        <v>2</v>
      </c>
      <c r="C79">
        <v>21032018</v>
      </c>
      <c r="D79">
        <v>323</v>
      </c>
      <c r="E79" t="str">
        <f>"CLRG CHQ DR"</f>
        <v>CLRG CHQ DR</v>
      </c>
      <c r="F79">
        <v>0</v>
      </c>
      <c r="G79" t="str">
        <f>"00688156"</f>
        <v>00688156</v>
      </c>
      <c r="H79" s="2">
        <v>17100</v>
      </c>
      <c r="I79" t="s">
        <v>26</v>
      </c>
      <c r="J79" s="2">
        <v>282306.38</v>
      </c>
      <c r="K79" t="s">
        <v>27</v>
      </c>
      <c r="L79">
        <v>5208</v>
      </c>
      <c r="M79" t="str">
        <f>""</f>
        <v/>
      </c>
      <c r="O79">
        <v>1</v>
      </c>
    </row>
    <row r="80" spans="1:18" x14ac:dyDescent="0.25">
      <c r="A80">
        <v>8003879954</v>
      </c>
      <c r="B80">
        <v>1</v>
      </c>
      <c r="C80">
        <v>21032018</v>
      </c>
      <c r="D80">
        <v>174</v>
      </c>
      <c r="E80" t="str">
        <f>"IBG CREDIT"</f>
        <v>IBG CREDIT</v>
      </c>
      <c r="F80">
        <v>2001</v>
      </c>
      <c r="G80" t="str">
        <f>"218080710735529"</f>
        <v>218080710735529</v>
      </c>
      <c r="H80" s="2">
        <v>2000</v>
      </c>
      <c r="I80" t="s">
        <v>27</v>
      </c>
      <c r="J80" s="2">
        <v>299406.38</v>
      </c>
      <c r="K80" t="s">
        <v>27</v>
      </c>
      <c r="L80">
        <v>151220</v>
      </c>
      <c r="M80" t="str">
        <f>"HLV1803-024"</f>
        <v>HLV1803-024</v>
      </c>
      <c r="O80">
        <v>1</v>
      </c>
      <c r="P80" t="str">
        <f>"HLV1803-024"</f>
        <v>HLV1803-024</v>
      </c>
      <c r="Q80" t="str">
        <f>"INV0001/2018/OCY/MIC"</f>
        <v>INV0001/2018/OCY/MIC</v>
      </c>
      <c r="R80" t="str">
        <f>"GENESIS SPECIALISTS"</f>
        <v>GENESIS SPECIALISTS</v>
      </c>
    </row>
    <row r="81" spans="1:17" x14ac:dyDescent="0.25">
      <c r="A81">
        <v>8003879954</v>
      </c>
      <c r="B81">
        <v>9</v>
      </c>
      <c r="C81">
        <v>20032018</v>
      </c>
      <c r="D81">
        <v>299</v>
      </c>
      <c r="E81" t="str">
        <f>"GST"</f>
        <v>GST</v>
      </c>
      <c r="H81" s="2">
        <v>0.03</v>
      </c>
      <c r="I81" t="s">
        <v>26</v>
      </c>
      <c r="J81" s="2">
        <v>297406.38</v>
      </c>
      <c r="K81" t="s">
        <v>27</v>
      </c>
      <c r="L81">
        <v>5633</v>
      </c>
      <c r="M81" t="str">
        <f>""</f>
        <v/>
      </c>
      <c r="O81">
        <v>1</v>
      </c>
    </row>
    <row r="82" spans="1:17" x14ac:dyDescent="0.25">
      <c r="A82">
        <v>8003879954</v>
      </c>
      <c r="B82">
        <v>8</v>
      </c>
      <c r="C82">
        <v>20032018</v>
      </c>
      <c r="D82">
        <v>819</v>
      </c>
      <c r="E82" t="str">
        <f>"CHQ PROCESSING FEE"</f>
        <v>CHQ PROCESSING FEE</v>
      </c>
      <c r="H82" s="2">
        <v>0.5</v>
      </c>
      <c r="I82" t="s">
        <v>26</v>
      </c>
      <c r="J82" s="2">
        <v>297406.40999999997</v>
      </c>
      <c r="K82" t="s">
        <v>27</v>
      </c>
      <c r="L82">
        <v>5633</v>
      </c>
      <c r="M82" t="str">
        <f>""</f>
        <v/>
      </c>
      <c r="O82">
        <v>1</v>
      </c>
    </row>
    <row r="83" spans="1:17" x14ac:dyDescent="0.25">
      <c r="A83">
        <v>8003879954</v>
      </c>
      <c r="B83">
        <v>7</v>
      </c>
      <c r="C83">
        <v>20032018</v>
      </c>
      <c r="D83">
        <v>321</v>
      </c>
      <c r="E83" t="str">
        <f>"HOUSE CHQ DR"</f>
        <v>HOUSE CHQ DR</v>
      </c>
      <c r="F83">
        <v>0</v>
      </c>
      <c r="G83" t="str">
        <f>"00688160"</f>
        <v>00688160</v>
      </c>
      <c r="H83" s="2">
        <v>899.45</v>
      </c>
      <c r="I83" t="s">
        <v>26</v>
      </c>
      <c r="J83" s="2">
        <v>297406.90999999997</v>
      </c>
      <c r="K83" t="s">
        <v>27</v>
      </c>
      <c r="L83">
        <v>5517</v>
      </c>
      <c r="M83" t="str">
        <f>""</f>
        <v/>
      </c>
      <c r="O83">
        <v>1</v>
      </c>
    </row>
    <row r="84" spans="1:17" x14ac:dyDescent="0.25">
      <c r="A84">
        <v>8003879954</v>
      </c>
      <c r="B84">
        <v>6</v>
      </c>
      <c r="C84">
        <v>20032018</v>
      </c>
      <c r="D84">
        <v>299</v>
      </c>
      <c r="E84" t="s">
        <v>508</v>
      </c>
      <c r="F84">
        <v>72</v>
      </c>
      <c r="G84" t="str">
        <f>"283159645"</f>
        <v>283159645</v>
      </c>
      <c r="H84" s="2">
        <v>1.8</v>
      </c>
      <c r="I84" t="s">
        <v>26</v>
      </c>
      <c r="J84" s="2">
        <v>298306.36</v>
      </c>
      <c r="K84" t="s">
        <v>27</v>
      </c>
      <c r="L84">
        <v>154656</v>
      </c>
      <c r="M84" t="str">
        <f>"00722200318T5560                       C"</f>
        <v>00722200318T5560                       C</v>
      </c>
      <c r="O84">
        <v>1</v>
      </c>
    </row>
    <row r="85" spans="1:17" x14ac:dyDescent="0.25">
      <c r="A85">
        <v>8003879954</v>
      </c>
      <c r="B85">
        <v>5</v>
      </c>
      <c r="C85">
        <v>20032018</v>
      </c>
      <c r="D85">
        <v>415</v>
      </c>
      <c r="E85" s="14" t="str">
        <f>"TELEX/FAX"</f>
        <v>TELEX/FAX</v>
      </c>
      <c r="F85">
        <v>72</v>
      </c>
      <c r="G85" t="str">
        <f>"283159645"</f>
        <v>283159645</v>
      </c>
      <c r="H85" s="2">
        <v>30</v>
      </c>
      <c r="I85" t="s">
        <v>26</v>
      </c>
      <c r="J85" s="2">
        <v>298308.15999999997</v>
      </c>
      <c r="K85" t="s">
        <v>27</v>
      </c>
      <c r="L85">
        <v>154656</v>
      </c>
      <c r="M85" t="str">
        <f>"00722200318T5560                       C"</f>
        <v>00722200318T5560                       C</v>
      </c>
      <c r="O85">
        <v>1</v>
      </c>
    </row>
    <row r="86" spans="1:17" x14ac:dyDescent="0.25">
      <c r="A86">
        <v>8003879954</v>
      </c>
      <c r="B86">
        <v>4</v>
      </c>
      <c r="C86">
        <v>20032018</v>
      </c>
      <c r="D86">
        <v>349</v>
      </c>
      <c r="E86" t="str">
        <f>"TR TO REMITT"</f>
        <v>TR TO REMITT</v>
      </c>
      <c r="F86">
        <v>72</v>
      </c>
      <c r="G86" t="str">
        <f>"283159645"</f>
        <v>283159645</v>
      </c>
      <c r="H86" s="2">
        <v>30626</v>
      </c>
      <c r="I86" t="s">
        <v>26</v>
      </c>
      <c r="J86" s="2">
        <v>298338.15999999997</v>
      </c>
      <c r="K86" t="s">
        <v>27</v>
      </c>
      <c r="L86">
        <v>154656</v>
      </c>
      <c r="M86" t="str">
        <f>"00722200318T5560                       C"</f>
        <v>00722200318T5560                       C</v>
      </c>
      <c r="O86">
        <v>1</v>
      </c>
    </row>
    <row r="87" spans="1:17" x14ac:dyDescent="0.25">
      <c r="A87">
        <v>8003879954</v>
      </c>
      <c r="B87">
        <v>3</v>
      </c>
      <c r="C87">
        <v>20032018</v>
      </c>
      <c r="D87">
        <v>299</v>
      </c>
      <c r="E87" t="s">
        <v>508</v>
      </c>
      <c r="F87">
        <v>72</v>
      </c>
      <c r="G87" t="str">
        <f>"283158816"</f>
        <v>283158816</v>
      </c>
      <c r="H87" s="2">
        <v>1.8</v>
      </c>
      <c r="I87" t="s">
        <v>26</v>
      </c>
      <c r="J87" s="2">
        <v>328964.15999999997</v>
      </c>
      <c r="K87" t="s">
        <v>27</v>
      </c>
      <c r="L87">
        <v>141331</v>
      </c>
      <c r="M87" t="str">
        <f>"00722200318T5390                       H"</f>
        <v>00722200318T5390                       H</v>
      </c>
      <c r="O87">
        <v>1</v>
      </c>
    </row>
    <row r="88" spans="1:17" x14ac:dyDescent="0.25">
      <c r="A88">
        <v>8003879954</v>
      </c>
      <c r="B88">
        <v>2</v>
      </c>
      <c r="C88">
        <v>20032018</v>
      </c>
      <c r="D88">
        <v>415</v>
      </c>
      <c r="E88" s="14" t="str">
        <f>"TELEX/FAX"</f>
        <v>TELEX/FAX</v>
      </c>
      <c r="F88">
        <v>72</v>
      </c>
      <c r="G88" t="str">
        <f>"283158816"</f>
        <v>283158816</v>
      </c>
      <c r="H88" s="2">
        <v>30</v>
      </c>
      <c r="I88" t="s">
        <v>26</v>
      </c>
      <c r="J88" s="2">
        <v>328965.96000000002</v>
      </c>
      <c r="K88" t="s">
        <v>27</v>
      </c>
      <c r="L88">
        <v>141331</v>
      </c>
      <c r="M88" t="str">
        <f>"00722200318T5390                       H"</f>
        <v>00722200318T5390                       H</v>
      </c>
      <c r="O88">
        <v>1</v>
      </c>
    </row>
    <row r="89" spans="1:17" x14ac:dyDescent="0.25">
      <c r="A89">
        <v>8003879954</v>
      </c>
      <c r="B89">
        <v>1</v>
      </c>
      <c r="C89">
        <v>20032018</v>
      </c>
      <c r="D89">
        <v>349</v>
      </c>
      <c r="E89" t="str">
        <f>"TR TO REMITT"</f>
        <v>TR TO REMITT</v>
      </c>
      <c r="F89">
        <v>72</v>
      </c>
      <c r="G89" t="str">
        <f>"283158816"</f>
        <v>283158816</v>
      </c>
      <c r="H89" s="2">
        <v>43266.78</v>
      </c>
      <c r="I89" t="s">
        <v>26</v>
      </c>
      <c r="J89" s="2">
        <v>328995.96000000002</v>
      </c>
      <c r="K89" t="s">
        <v>27</v>
      </c>
      <c r="L89">
        <v>141331</v>
      </c>
      <c r="M89" t="str">
        <f>"00722200318T5390                       H"</f>
        <v>00722200318T5390                       H</v>
      </c>
      <c r="O89">
        <v>1</v>
      </c>
    </row>
    <row r="90" spans="1:17" x14ac:dyDescent="0.25">
      <c r="A90">
        <v>8003879954</v>
      </c>
      <c r="B90">
        <v>3</v>
      </c>
      <c r="C90">
        <v>19032018</v>
      </c>
      <c r="D90">
        <v>341</v>
      </c>
      <c r="E90" t="str">
        <f>"TR IBG"</f>
        <v>TR IBG</v>
      </c>
      <c r="F90">
        <v>9938</v>
      </c>
      <c r="G90" t="str">
        <f>"27742025"</f>
        <v>27742025</v>
      </c>
      <c r="H90" s="2">
        <v>1998.38</v>
      </c>
      <c r="I90" t="s">
        <v>26</v>
      </c>
      <c r="J90" s="2">
        <v>372262.74</v>
      </c>
      <c r="K90" t="s">
        <v>27</v>
      </c>
      <c r="L90">
        <v>181652</v>
      </c>
      <c r="M90" t="str">
        <f>"QATAR AIRWAYS"</f>
        <v>QATAR AIRWAYS</v>
      </c>
      <c r="O90">
        <v>1</v>
      </c>
      <c r="P90" t="str">
        <f>"PGTEFT3066"</f>
        <v>PGTEFT3066</v>
      </c>
      <c r="Q90" t="str">
        <f>"OCY-AIRFARE"</f>
        <v>OCY-AIRFARE</v>
      </c>
    </row>
    <row r="91" spans="1:17" x14ac:dyDescent="0.25">
      <c r="A91">
        <v>8003879954</v>
      </c>
      <c r="B91">
        <v>2</v>
      </c>
      <c r="C91">
        <v>19032018</v>
      </c>
      <c r="D91">
        <v>299</v>
      </c>
      <c r="E91" t="str">
        <f>"GST"</f>
        <v>GST</v>
      </c>
      <c r="F91">
        <v>9938</v>
      </c>
      <c r="G91" t="str">
        <f>"27742025"</f>
        <v>27742025</v>
      </c>
      <c r="H91" s="2">
        <v>0.01</v>
      </c>
      <c r="I91" t="s">
        <v>26</v>
      </c>
      <c r="J91" s="2">
        <v>374261.12</v>
      </c>
      <c r="K91" t="s">
        <v>27</v>
      </c>
      <c r="L91">
        <v>181652</v>
      </c>
      <c r="M91" t="str">
        <f>"PGTEFT3066          OCY-AIRFARE"</f>
        <v>PGTEFT3066          OCY-AIRFARE</v>
      </c>
      <c r="O91">
        <v>1</v>
      </c>
    </row>
    <row r="92" spans="1:17" x14ac:dyDescent="0.25">
      <c r="A92">
        <v>8003879954</v>
      </c>
      <c r="B92">
        <v>1</v>
      </c>
      <c r="C92">
        <v>19032018</v>
      </c>
      <c r="D92">
        <v>489</v>
      </c>
      <c r="E92" t="str">
        <f>"OTHER TRANSFER FEE"</f>
        <v>OTHER TRANSFER FEE</v>
      </c>
      <c r="F92">
        <v>9938</v>
      </c>
      <c r="G92" t="str">
        <f>"27742025"</f>
        <v>27742025</v>
      </c>
      <c r="H92" s="2">
        <v>0.1</v>
      </c>
      <c r="I92" t="s">
        <v>26</v>
      </c>
      <c r="J92" s="2">
        <v>374261.13</v>
      </c>
      <c r="K92" t="s">
        <v>27</v>
      </c>
      <c r="L92">
        <v>181652</v>
      </c>
      <c r="M92" t="str">
        <f>"PGTEFT3066          OCY-AIRFARE"</f>
        <v>PGTEFT3066          OCY-AIRFARE</v>
      </c>
      <c r="O92">
        <v>1</v>
      </c>
    </row>
    <row r="93" spans="1:17" x14ac:dyDescent="0.25">
      <c r="A93">
        <v>8003879954</v>
      </c>
      <c r="B93">
        <v>72</v>
      </c>
      <c r="C93">
        <v>16032018</v>
      </c>
      <c r="D93">
        <v>341</v>
      </c>
      <c r="E93" t="str">
        <f>"TR IBG"</f>
        <v>TR IBG</v>
      </c>
      <c r="F93">
        <v>9938</v>
      </c>
      <c r="G93" t="str">
        <f>"27687334"</f>
        <v>27687334</v>
      </c>
      <c r="H93" s="2">
        <v>424</v>
      </c>
      <c r="I93" t="s">
        <v>26</v>
      </c>
      <c r="J93" s="2">
        <v>374261.23</v>
      </c>
      <c r="K93" t="s">
        <v>27</v>
      </c>
      <c r="L93">
        <v>200128</v>
      </c>
      <c r="M93" t="str">
        <f>"VCREATE SDN BHD"</f>
        <v>VCREATE SDN BHD</v>
      </c>
      <c r="O93">
        <v>1</v>
      </c>
      <c r="P93" t="str">
        <f>"PGTEFT3064"</f>
        <v>PGTEFT3064</v>
      </c>
      <c r="Q93" t="str">
        <f>"10193-18"</f>
        <v>10193-18</v>
      </c>
    </row>
    <row r="94" spans="1:17" x14ac:dyDescent="0.25">
      <c r="A94">
        <v>8003879954</v>
      </c>
      <c r="B94">
        <v>71</v>
      </c>
      <c r="C94">
        <v>16032018</v>
      </c>
      <c r="D94">
        <v>299</v>
      </c>
      <c r="E94" t="str">
        <f>"GST"</f>
        <v>GST</v>
      </c>
      <c r="F94">
        <v>9938</v>
      </c>
      <c r="G94" t="str">
        <f>"27687334"</f>
        <v>27687334</v>
      </c>
      <c r="H94" s="2">
        <v>0.01</v>
      </c>
      <c r="I94" t="s">
        <v>26</v>
      </c>
      <c r="J94" s="2">
        <v>374685.23</v>
      </c>
      <c r="K94" t="s">
        <v>27</v>
      </c>
      <c r="L94">
        <v>200128</v>
      </c>
      <c r="M94" t="str">
        <f>"PGTEFT3064          10193-18"</f>
        <v>PGTEFT3064          10193-18</v>
      </c>
      <c r="O94">
        <v>1</v>
      </c>
    </row>
    <row r="95" spans="1:17" x14ac:dyDescent="0.25">
      <c r="A95">
        <v>8003879954</v>
      </c>
      <c r="B95">
        <v>70</v>
      </c>
      <c r="C95">
        <v>16032018</v>
      </c>
      <c r="D95">
        <v>489</v>
      </c>
      <c r="E95" t="str">
        <f>"OTHER TRANSFER FEE"</f>
        <v>OTHER TRANSFER FEE</v>
      </c>
      <c r="F95">
        <v>9938</v>
      </c>
      <c r="G95" t="str">
        <f>"27687334"</f>
        <v>27687334</v>
      </c>
      <c r="H95" s="2">
        <v>0.1</v>
      </c>
      <c r="I95" t="s">
        <v>26</v>
      </c>
      <c r="J95" s="2">
        <v>374685.24</v>
      </c>
      <c r="K95" t="s">
        <v>27</v>
      </c>
      <c r="L95">
        <v>200128</v>
      </c>
      <c r="M95" t="str">
        <f>"PGTEFT3064          10193-18"</f>
        <v>PGTEFT3064          10193-18</v>
      </c>
      <c r="O95">
        <v>1</v>
      </c>
    </row>
    <row r="96" spans="1:17" x14ac:dyDescent="0.25">
      <c r="A96">
        <v>8003879954</v>
      </c>
      <c r="B96">
        <v>69</v>
      </c>
      <c r="C96">
        <v>16032018</v>
      </c>
      <c r="D96">
        <v>341</v>
      </c>
      <c r="E96" t="str">
        <f>"TR IBG"</f>
        <v>TR IBG</v>
      </c>
      <c r="F96">
        <v>9938</v>
      </c>
      <c r="G96" t="str">
        <f>"27691555"</f>
        <v>27691555</v>
      </c>
      <c r="H96" s="2">
        <v>1908</v>
      </c>
      <c r="I96" t="s">
        <v>26</v>
      </c>
      <c r="J96" s="2">
        <v>374685.34</v>
      </c>
      <c r="K96" t="s">
        <v>27</v>
      </c>
      <c r="L96">
        <v>200128</v>
      </c>
      <c r="M96" t="str">
        <f>"SE VENA NETWORKS SDN"</f>
        <v>SE VENA NETWORKS SDN</v>
      </c>
      <c r="O96">
        <v>1</v>
      </c>
      <c r="P96" t="str">
        <f>"PGTEFT3057"</f>
        <v>PGTEFT3057</v>
      </c>
      <c r="Q96" t="str">
        <f>"INV0448 0442 0443"</f>
        <v>INV0448 0442 0443</v>
      </c>
    </row>
    <row r="97" spans="1:17" x14ac:dyDescent="0.25">
      <c r="A97">
        <v>8003879954</v>
      </c>
      <c r="B97">
        <v>68</v>
      </c>
      <c r="C97">
        <v>16032018</v>
      </c>
      <c r="D97">
        <v>299</v>
      </c>
      <c r="E97" t="str">
        <f>"GST"</f>
        <v>GST</v>
      </c>
      <c r="F97">
        <v>9938</v>
      </c>
      <c r="G97" t="str">
        <f>"27691555"</f>
        <v>27691555</v>
      </c>
      <c r="H97" s="2">
        <v>0.01</v>
      </c>
      <c r="I97" t="s">
        <v>26</v>
      </c>
      <c r="J97" s="2">
        <v>376593.34</v>
      </c>
      <c r="K97" t="s">
        <v>27</v>
      </c>
      <c r="L97">
        <v>200128</v>
      </c>
      <c r="M97" t="str">
        <f>"PGTEFT3057          INV0448 0442 0443"</f>
        <v>PGTEFT3057          INV0448 0442 0443</v>
      </c>
      <c r="O97">
        <v>1</v>
      </c>
    </row>
    <row r="98" spans="1:17" x14ac:dyDescent="0.25">
      <c r="A98">
        <v>8003879954</v>
      </c>
      <c r="B98">
        <v>67</v>
      </c>
      <c r="C98">
        <v>16032018</v>
      </c>
      <c r="D98">
        <v>489</v>
      </c>
      <c r="E98" t="str">
        <f>"OTHER TRANSFER FEE"</f>
        <v>OTHER TRANSFER FEE</v>
      </c>
      <c r="F98">
        <v>9938</v>
      </c>
      <c r="G98" t="str">
        <f>"27691555"</f>
        <v>27691555</v>
      </c>
      <c r="H98" s="2">
        <v>0.1</v>
      </c>
      <c r="I98" t="s">
        <v>26</v>
      </c>
      <c r="J98" s="2">
        <v>376593.35</v>
      </c>
      <c r="K98" t="s">
        <v>27</v>
      </c>
      <c r="L98">
        <v>200128</v>
      </c>
      <c r="M98" t="str">
        <f>"PGTEFT3057          INV0448 0442 0443"</f>
        <v>PGTEFT3057          INV0448 0442 0443</v>
      </c>
      <c r="O98">
        <v>1</v>
      </c>
    </row>
    <row r="99" spans="1:17" x14ac:dyDescent="0.25">
      <c r="A99">
        <v>8003879954</v>
      </c>
      <c r="B99">
        <v>66</v>
      </c>
      <c r="C99">
        <v>16032018</v>
      </c>
      <c r="D99">
        <v>341</v>
      </c>
      <c r="E99" t="str">
        <f>"TR IBG"</f>
        <v>TR IBG</v>
      </c>
      <c r="F99">
        <v>9938</v>
      </c>
      <c r="G99" t="str">
        <f>"27691065"</f>
        <v>27691065</v>
      </c>
      <c r="H99" s="2">
        <v>788.64</v>
      </c>
      <c r="I99" t="s">
        <v>26</v>
      </c>
      <c r="J99" s="2">
        <v>376593.45</v>
      </c>
      <c r="K99" t="s">
        <v>27</v>
      </c>
      <c r="L99">
        <v>200128</v>
      </c>
      <c r="M99" t="str">
        <f>"TNT EXPRESS WORLDWID"</f>
        <v>TNT EXPRESS WORLDWID</v>
      </c>
      <c r="O99">
        <v>1</v>
      </c>
      <c r="P99" t="str">
        <f>"PGTEFT3062"</f>
        <v>PGTEFT3062</v>
      </c>
      <c r="Q99" t="str">
        <f>"ACC233560"</f>
        <v>ACC233560</v>
      </c>
    </row>
    <row r="100" spans="1:17" x14ac:dyDescent="0.25">
      <c r="A100">
        <v>8003879954</v>
      </c>
      <c r="B100">
        <v>65</v>
      </c>
      <c r="C100">
        <v>16032018</v>
      </c>
      <c r="D100">
        <v>299</v>
      </c>
      <c r="E100" t="str">
        <f>"GST"</f>
        <v>GST</v>
      </c>
      <c r="F100">
        <v>9938</v>
      </c>
      <c r="G100" t="str">
        <f>"27691065"</f>
        <v>27691065</v>
      </c>
      <c r="H100" s="2">
        <v>0.01</v>
      </c>
      <c r="I100" t="s">
        <v>26</v>
      </c>
      <c r="J100" s="2">
        <v>377382.09</v>
      </c>
      <c r="K100" t="s">
        <v>27</v>
      </c>
      <c r="L100">
        <v>200128</v>
      </c>
      <c r="M100" t="str">
        <f>"PGTEFT3062          ACC233560"</f>
        <v>PGTEFT3062          ACC233560</v>
      </c>
      <c r="O100">
        <v>1</v>
      </c>
    </row>
    <row r="101" spans="1:17" x14ac:dyDescent="0.25">
      <c r="A101">
        <v>8003879954</v>
      </c>
      <c r="B101">
        <v>64</v>
      </c>
      <c r="C101">
        <v>16032018</v>
      </c>
      <c r="D101">
        <v>489</v>
      </c>
      <c r="E101" t="str">
        <f>"OTHER TRANSFER FEE"</f>
        <v>OTHER TRANSFER FEE</v>
      </c>
      <c r="F101">
        <v>9938</v>
      </c>
      <c r="G101" t="str">
        <f>"27691065"</f>
        <v>27691065</v>
      </c>
      <c r="H101" s="2">
        <v>0.1</v>
      </c>
      <c r="I101" t="s">
        <v>26</v>
      </c>
      <c r="J101" s="2">
        <v>377382.1</v>
      </c>
      <c r="K101" t="s">
        <v>27</v>
      </c>
      <c r="L101">
        <v>200128</v>
      </c>
      <c r="M101" t="str">
        <f>"PGTEFT3062          ACC233560"</f>
        <v>PGTEFT3062          ACC233560</v>
      </c>
      <c r="O101">
        <v>1</v>
      </c>
    </row>
    <row r="102" spans="1:17" x14ac:dyDescent="0.25">
      <c r="A102">
        <v>8003879954</v>
      </c>
      <c r="B102">
        <v>63</v>
      </c>
      <c r="C102">
        <v>16032018</v>
      </c>
      <c r="D102">
        <v>60</v>
      </c>
      <c r="E102" t="str">
        <f>"TR TO C/A"</f>
        <v>TR TO C/A</v>
      </c>
      <c r="F102">
        <v>9938</v>
      </c>
      <c r="G102" t="str">
        <f>"27691310"</f>
        <v>27691310</v>
      </c>
      <c r="H102" s="2">
        <v>540</v>
      </c>
      <c r="I102" t="s">
        <v>26</v>
      </c>
      <c r="J102" s="2">
        <v>377382.2</v>
      </c>
      <c r="K102" t="s">
        <v>27</v>
      </c>
      <c r="L102">
        <v>200128</v>
      </c>
      <c r="M102" t="str">
        <f>"GUIDE FEE FEB &amp; MAR TOH KIM HOCK"</f>
        <v>GUIDE FEE FEB &amp; MAR TOH KIM HOCK</v>
      </c>
      <c r="O102">
        <v>1</v>
      </c>
      <c r="P102" t="str">
        <f>"PGTEFT3059"</f>
        <v>PGTEFT3059</v>
      </c>
      <c r="Q102" t="str">
        <f>"INV139T-142T"</f>
        <v>INV139T-142T</v>
      </c>
    </row>
    <row r="103" spans="1:17" x14ac:dyDescent="0.25">
      <c r="A103">
        <v>8003879954</v>
      </c>
      <c r="B103">
        <v>62</v>
      </c>
      <c r="C103">
        <v>16032018</v>
      </c>
      <c r="D103">
        <v>343</v>
      </c>
      <c r="E103" t="str">
        <f>"I-PAYMENT"</f>
        <v>I-PAYMENT</v>
      </c>
      <c r="F103">
        <v>9938</v>
      </c>
      <c r="G103" t="str">
        <f>"2018031658238415"</f>
        <v>2018031658238415</v>
      </c>
      <c r="H103" s="2">
        <v>1260.9000000000001</v>
      </c>
      <c r="I103" t="s">
        <v>26</v>
      </c>
      <c r="J103" s="2">
        <v>377922.2</v>
      </c>
      <c r="K103" t="s">
        <v>27</v>
      </c>
      <c r="L103">
        <v>200128</v>
      </c>
      <c r="M103" t="str">
        <f>"Pay to TNB: 220543726302"</f>
        <v>Pay to TNB: 220543726302</v>
      </c>
      <c r="O103">
        <v>1</v>
      </c>
    </row>
    <row r="104" spans="1:17" x14ac:dyDescent="0.25">
      <c r="A104">
        <v>8003879954</v>
      </c>
      <c r="B104">
        <v>61</v>
      </c>
      <c r="C104">
        <v>16032018</v>
      </c>
      <c r="D104">
        <v>341</v>
      </c>
      <c r="E104" t="str">
        <f>"TR IBG"</f>
        <v>TR IBG</v>
      </c>
      <c r="F104">
        <v>9938</v>
      </c>
      <c r="G104" t="str">
        <f>"27688405"</f>
        <v>27688405</v>
      </c>
      <c r="H104" s="2">
        <v>161.61000000000001</v>
      </c>
      <c r="I104" t="s">
        <v>26</v>
      </c>
      <c r="J104" s="2">
        <v>379183.1</v>
      </c>
      <c r="K104" t="s">
        <v>27</v>
      </c>
      <c r="L104">
        <v>200126</v>
      </c>
      <c r="M104" t="str">
        <f>"TOONG LI STATIONERY"</f>
        <v>TOONG LI STATIONERY</v>
      </c>
      <c r="O104">
        <v>1</v>
      </c>
      <c r="P104" t="str">
        <f>"PGTEFT3063"</f>
        <v>PGTEFT3063</v>
      </c>
      <c r="Q104" t="str">
        <f>"IV-135952 IV-135310"</f>
        <v>IV-135952 IV-135310</v>
      </c>
    </row>
    <row r="105" spans="1:17" x14ac:dyDescent="0.25">
      <c r="A105">
        <v>8003879954</v>
      </c>
      <c r="B105">
        <v>60</v>
      </c>
      <c r="C105">
        <v>16032018</v>
      </c>
      <c r="D105">
        <v>299</v>
      </c>
      <c r="E105" t="str">
        <f>"GST"</f>
        <v>GST</v>
      </c>
      <c r="F105">
        <v>9938</v>
      </c>
      <c r="G105" t="str">
        <f>"27688405"</f>
        <v>27688405</v>
      </c>
      <c r="H105" s="2">
        <v>0.01</v>
      </c>
      <c r="I105" t="s">
        <v>26</v>
      </c>
      <c r="J105" s="2">
        <v>379344.71</v>
      </c>
      <c r="K105" t="s">
        <v>27</v>
      </c>
      <c r="L105">
        <v>200126</v>
      </c>
      <c r="M105" t="str">
        <f>"PGTEFT3063          IV-135952 IV-135310"</f>
        <v>PGTEFT3063          IV-135952 IV-135310</v>
      </c>
      <c r="O105">
        <v>1</v>
      </c>
    </row>
    <row r="106" spans="1:17" x14ac:dyDescent="0.25">
      <c r="A106">
        <v>8003879954</v>
      </c>
      <c r="B106">
        <v>59</v>
      </c>
      <c r="C106">
        <v>16032018</v>
      </c>
      <c r="D106">
        <v>489</v>
      </c>
      <c r="E106" t="str">
        <f>"OTHER TRANSFER FEE"</f>
        <v>OTHER TRANSFER FEE</v>
      </c>
      <c r="F106">
        <v>9938</v>
      </c>
      <c r="G106" t="str">
        <f>"27688405"</f>
        <v>27688405</v>
      </c>
      <c r="H106" s="2">
        <v>0.1</v>
      </c>
      <c r="I106" t="s">
        <v>26</v>
      </c>
      <c r="J106" s="2">
        <v>379344.72</v>
      </c>
      <c r="K106" t="s">
        <v>27</v>
      </c>
      <c r="L106">
        <v>200126</v>
      </c>
      <c r="M106" t="str">
        <f>"PGTEFT3063          IV-135952 IV-135310"</f>
        <v>PGTEFT3063          IV-135952 IV-135310</v>
      </c>
      <c r="O106">
        <v>1</v>
      </c>
    </row>
    <row r="107" spans="1:17" x14ac:dyDescent="0.25">
      <c r="A107">
        <v>8003879954</v>
      </c>
      <c r="B107">
        <v>58</v>
      </c>
      <c r="C107">
        <v>16032018</v>
      </c>
      <c r="D107">
        <v>341</v>
      </c>
      <c r="E107" t="str">
        <f>"TR IBG"</f>
        <v>TR IBG</v>
      </c>
      <c r="F107">
        <v>9938</v>
      </c>
      <c r="G107" t="str">
        <f>"27687251"</f>
        <v>27687251</v>
      </c>
      <c r="H107" s="2">
        <v>63.6</v>
      </c>
      <c r="I107" t="s">
        <v>26</v>
      </c>
      <c r="J107" s="2">
        <v>379344.82</v>
      </c>
      <c r="K107" t="s">
        <v>27</v>
      </c>
      <c r="L107">
        <v>200126</v>
      </c>
      <c r="M107" t="str">
        <f>"WEB ASP SDN BHD"</f>
        <v>WEB ASP SDN BHD</v>
      </c>
      <c r="O107">
        <v>1</v>
      </c>
      <c r="P107" t="str">
        <f>"PGTEFT3065"</f>
        <v>PGTEFT3065</v>
      </c>
      <c r="Q107" t="str">
        <f>"ACC1618-3542"</f>
        <v>ACC1618-3542</v>
      </c>
    </row>
    <row r="108" spans="1:17" x14ac:dyDescent="0.25">
      <c r="A108">
        <v>8003879954</v>
      </c>
      <c r="B108">
        <v>57</v>
      </c>
      <c r="C108">
        <v>16032018</v>
      </c>
      <c r="D108">
        <v>299</v>
      </c>
      <c r="E108" t="str">
        <f>"GST"</f>
        <v>GST</v>
      </c>
      <c r="F108">
        <v>9938</v>
      </c>
      <c r="G108" t="str">
        <f>"27687251"</f>
        <v>27687251</v>
      </c>
      <c r="H108" s="2">
        <v>0.01</v>
      </c>
      <c r="I108" t="s">
        <v>26</v>
      </c>
      <c r="J108" s="2">
        <v>379408.42</v>
      </c>
      <c r="K108" t="s">
        <v>27</v>
      </c>
      <c r="L108">
        <v>200126</v>
      </c>
      <c r="M108" t="str">
        <f>"PGTEFT3065          ACC1618-3542"</f>
        <v>PGTEFT3065          ACC1618-3542</v>
      </c>
      <c r="O108">
        <v>1</v>
      </c>
    </row>
    <row r="109" spans="1:17" x14ac:dyDescent="0.25">
      <c r="A109">
        <v>8003879954</v>
      </c>
      <c r="B109">
        <v>56</v>
      </c>
      <c r="C109">
        <v>16032018</v>
      </c>
      <c r="D109">
        <v>489</v>
      </c>
      <c r="E109" t="str">
        <f>"OTHER TRANSFER FEE"</f>
        <v>OTHER TRANSFER FEE</v>
      </c>
      <c r="F109">
        <v>9938</v>
      </c>
      <c r="G109" t="str">
        <f>"27687251"</f>
        <v>27687251</v>
      </c>
      <c r="H109" s="2">
        <v>0.1</v>
      </c>
      <c r="I109" t="s">
        <v>26</v>
      </c>
      <c r="J109" s="2">
        <v>379408.43</v>
      </c>
      <c r="K109" t="s">
        <v>27</v>
      </c>
      <c r="L109">
        <v>200126</v>
      </c>
      <c r="M109" t="str">
        <f>"PGTEFT3065          ACC1618-3542"</f>
        <v>PGTEFT3065          ACC1618-3542</v>
      </c>
      <c r="O109">
        <v>1</v>
      </c>
    </row>
    <row r="110" spans="1:17" x14ac:dyDescent="0.25">
      <c r="A110">
        <v>8003879954</v>
      </c>
      <c r="B110">
        <v>55</v>
      </c>
      <c r="C110">
        <v>16032018</v>
      </c>
      <c r="D110">
        <v>341</v>
      </c>
      <c r="E110" t="str">
        <f>"TR IBG"</f>
        <v>TR IBG</v>
      </c>
      <c r="F110">
        <v>9938</v>
      </c>
      <c r="G110" t="str">
        <f>"27691676"</f>
        <v>27691676</v>
      </c>
      <c r="H110" s="2">
        <v>807.72</v>
      </c>
      <c r="I110" t="s">
        <v>26</v>
      </c>
      <c r="J110" s="2">
        <v>379408.53</v>
      </c>
      <c r="K110" t="s">
        <v>27</v>
      </c>
      <c r="L110">
        <v>200126</v>
      </c>
      <c r="M110" t="str">
        <f>"ROD CREATIVE SDN BHD"</f>
        <v>ROD CREATIVE SDN BHD</v>
      </c>
      <c r="O110">
        <v>1</v>
      </c>
      <c r="P110" t="str">
        <f>"PGTEFT3056"</f>
        <v>PGTEFT3056</v>
      </c>
    </row>
    <row r="111" spans="1:17" x14ac:dyDescent="0.25">
      <c r="A111">
        <v>8003879954</v>
      </c>
      <c r="B111">
        <v>54</v>
      </c>
      <c r="C111">
        <v>16032018</v>
      </c>
      <c r="D111">
        <v>299</v>
      </c>
      <c r="E111" t="str">
        <f>"GST"</f>
        <v>GST</v>
      </c>
      <c r="F111">
        <v>9938</v>
      </c>
      <c r="G111" t="str">
        <f>"27691676"</f>
        <v>27691676</v>
      </c>
      <c r="H111" s="2">
        <v>0.01</v>
      </c>
      <c r="I111" t="s">
        <v>26</v>
      </c>
      <c r="J111" s="2">
        <v>380216.25</v>
      </c>
      <c r="K111" t="s">
        <v>27</v>
      </c>
      <c r="L111">
        <v>200126</v>
      </c>
      <c r="M111" t="str">
        <f>"PGTEFT3056"</f>
        <v>PGTEFT3056</v>
      </c>
      <c r="O111">
        <v>1</v>
      </c>
    </row>
    <row r="112" spans="1:17" x14ac:dyDescent="0.25">
      <c r="A112">
        <v>8003879954</v>
      </c>
      <c r="B112">
        <v>53</v>
      </c>
      <c r="C112">
        <v>16032018</v>
      </c>
      <c r="D112">
        <v>489</v>
      </c>
      <c r="E112" t="str">
        <f>"OTHER TRANSFER FEE"</f>
        <v>OTHER TRANSFER FEE</v>
      </c>
      <c r="F112">
        <v>9938</v>
      </c>
      <c r="G112" t="str">
        <f>"27691676"</f>
        <v>27691676</v>
      </c>
      <c r="H112" s="2">
        <v>0.1</v>
      </c>
      <c r="I112" t="s">
        <v>26</v>
      </c>
      <c r="J112" s="2">
        <v>380216.26</v>
      </c>
      <c r="K112" t="s">
        <v>27</v>
      </c>
      <c r="L112">
        <v>200126</v>
      </c>
      <c r="M112" t="str">
        <f>"PGTEFT3056"</f>
        <v>PGTEFT3056</v>
      </c>
      <c r="O112">
        <v>1</v>
      </c>
    </row>
    <row r="113" spans="1:17" x14ac:dyDescent="0.25">
      <c r="A113">
        <v>8003879954</v>
      </c>
      <c r="B113">
        <v>52</v>
      </c>
      <c r="C113">
        <v>16032018</v>
      </c>
      <c r="D113">
        <v>345</v>
      </c>
      <c r="E113" t="str">
        <f>"TR TO SAVINGS"</f>
        <v>TR TO SAVINGS</v>
      </c>
      <c r="F113">
        <v>9938</v>
      </c>
      <c r="G113" t="str">
        <f>"27691432"</f>
        <v>27691432</v>
      </c>
      <c r="H113" s="2">
        <v>65.650000000000006</v>
      </c>
      <c r="I113" t="s">
        <v>26</v>
      </c>
      <c r="J113" s="2">
        <v>380216.36</v>
      </c>
      <c r="K113" t="s">
        <v>27</v>
      </c>
      <c r="L113">
        <v>200126</v>
      </c>
      <c r="M113" t="str">
        <f>"PCET &amp; PMED CLAIMS TAN SEANG AUN"</f>
        <v>PCET &amp; PMED CLAIMS TAN SEANG AUN</v>
      </c>
      <c r="O113">
        <v>1</v>
      </c>
      <c r="P113" t="str">
        <f>"PGTEFT3058"</f>
        <v>PGTEFT3058</v>
      </c>
    </row>
    <row r="114" spans="1:17" x14ac:dyDescent="0.25">
      <c r="A114">
        <v>8003879954</v>
      </c>
      <c r="B114">
        <v>51</v>
      </c>
      <c r="C114">
        <v>16032018</v>
      </c>
      <c r="D114">
        <v>60</v>
      </c>
      <c r="E114" t="str">
        <f>"TR TO C/A"</f>
        <v>TR TO C/A</v>
      </c>
      <c r="F114">
        <v>9938</v>
      </c>
      <c r="G114" t="str">
        <f>"27691182"</f>
        <v>27691182</v>
      </c>
      <c r="H114" s="2">
        <v>7306</v>
      </c>
      <c r="I114" t="s">
        <v>26</v>
      </c>
      <c r="J114" s="2">
        <v>380282.01</v>
      </c>
      <c r="K114" t="s">
        <v>27</v>
      </c>
      <c r="L114">
        <v>200126</v>
      </c>
      <c r="M114" t="str">
        <f>"TRANSPORTATION TOUR &amp; INCENTIVE TR"</f>
        <v>TRANSPORTATION TOUR &amp; INCENTIVE TR</v>
      </c>
      <c r="O114">
        <v>1</v>
      </c>
      <c r="P114" t="str">
        <f>"PGTEFT3061"</f>
        <v>PGTEFT3061</v>
      </c>
      <c r="Q114" t="str">
        <f>"INV18115-116"</f>
        <v>INV18115-116</v>
      </c>
    </row>
    <row r="115" spans="1:17" x14ac:dyDescent="0.25">
      <c r="A115">
        <v>8003879954</v>
      </c>
      <c r="B115">
        <v>50</v>
      </c>
      <c r="C115">
        <v>16032018</v>
      </c>
      <c r="D115">
        <v>341</v>
      </c>
      <c r="E115" t="str">
        <f>"TR IBG"</f>
        <v>TR IBG</v>
      </c>
      <c r="F115">
        <v>9938</v>
      </c>
      <c r="G115" t="str">
        <f>"27694712"</f>
        <v>27694712</v>
      </c>
      <c r="H115" s="2">
        <v>270</v>
      </c>
      <c r="I115" t="s">
        <v>26</v>
      </c>
      <c r="J115" s="2">
        <v>387588.01</v>
      </c>
      <c r="K115" t="s">
        <v>27</v>
      </c>
      <c r="L115">
        <v>195849</v>
      </c>
      <c r="M115" t="str">
        <f>"LIANG CHOW MING"</f>
        <v>LIANG CHOW MING</v>
      </c>
      <c r="O115">
        <v>1</v>
      </c>
      <c r="P115" t="str">
        <f>"PGTEFT3047"</f>
        <v>PGTEFT3047</v>
      </c>
      <c r="Q115" t="str">
        <f>"INV19567 19568"</f>
        <v>INV19567 19568</v>
      </c>
    </row>
    <row r="116" spans="1:17" x14ac:dyDescent="0.25">
      <c r="A116">
        <v>8003879954</v>
      </c>
      <c r="B116">
        <v>49</v>
      </c>
      <c r="C116">
        <v>16032018</v>
      </c>
      <c r="D116">
        <v>299</v>
      </c>
      <c r="E116" t="str">
        <f>"GST"</f>
        <v>GST</v>
      </c>
      <c r="F116">
        <v>9938</v>
      </c>
      <c r="G116" t="str">
        <f>"27694712"</f>
        <v>27694712</v>
      </c>
      <c r="H116" s="2">
        <v>0.01</v>
      </c>
      <c r="I116" t="s">
        <v>26</v>
      </c>
      <c r="J116" s="2">
        <v>387858.01</v>
      </c>
      <c r="K116" t="s">
        <v>27</v>
      </c>
      <c r="L116">
        <v>195849</v>
      </c>
      <c r="M116" t="str">
        <f>"PGTEFT3047          INV19567 19568"</f>
        <v>PGTEFT3047          INV19567 19568</v>
      </c>
      <c r="O116">
        <v>1</v>
      </c>
    </row>
    <row r="117" spans="1:17" x14ac:dyDescent="0.25">
      <c r="A117">
        <v>8003879954</v>
      </c>
      <c r="B117">
        <v>48</v>
      </c>
      <c r="C117">
        <v>16032018</v>
      </c>
      <c r="D117">
        <v>489</v>
      </c>
      <c r="E117" t="str">
        <f>"OTHER TRANSFER FEE"</f>
        <v>OTHER TRANSFER FEE</v>
      </c>
      <c r="F117">
        <v>9938</v>
      </c>
      <c r="G117" t="str">
        <f>"27694712"</f>
        <v>27694712</v>
      </c>
      <c r="H117" s="2">
        <v>0.1</v>
      </c>
      <c r="I117" t="s">
        <v>26</v>
      </c>
      <c r="J117" s="2">
        <v>387858.02</v>
      </c>
      <c r="K117" t="s">
        <v>27</v>
      </c>
      <c r="L117">
        <v>195849</v>
      </c>
      <c r="M117" t="str">
        <f>"PGTEFT3047          INV19567 19568"</f>
        <v>PGTEFT3047          INV19567 19568</v>
      </c>
      <c r="O117">
        <v>1</v>
      </c>
    </row>
    <row r="118" spans="1:17" x14ac:dyDescent="0.25">
      <c r="A118">
        <v>8003879954</v>
      </c>
      <c r="B118">
        <v>47</v>
      </c>
      <c r="C118">
        <v>16032018</v>
      </c>
      <c r="D118">
        <v>341</v>
      </c>
      <c r="E118" t="str">
        <f>"TR IBG"</f>
        <v>TR IBG</v>
      </c>
      <c r="F118">
        <v>9938</v>
      </c>
      <c r="G118" t="str">
        <f>"27694768"</f>
        <v>27694768</v>
      </c>
      <c r="H118" s="2">
        <v>59.5</v>
      </c>
      <c r="I118" t="s">
        <v>26</v>
      </c>
      <c r="J118" s="2">
        <v>387858.12</v>
      </c>
      <c r="K118" t="s">
        <v>27</v>
      </c>
      <c r="L118">
        <v>195846</v>
      </c>
      <c r="M118" t="str">
        <f>"KAKI CREATION"</f>
        <v>KAKI CREATION</v>
      </c>
      <c r="O118">
        <v>1</v>
      </c>
      <c r="P118" t="str">
        <f>"PGTEFT3046"</f>
        <v>PGTEFT3046</v>
      </c>
      <c r="Q118" t="str">
        <f>"KKCN18-IV011"</f>
        <v>KKCN18-IV011</v>
      </c>
    </row>
    <row r="119" spans="1:17" x14ac:dyDescent="0.25">
      <c r="A119">
        <v>8003879954</v>
      </c>
      <c r="B119">
        <v>46</v>
      </c>
      <c r="C119">
        <v>16032018</v>
      </c>
      <c r="D119">
        <v>299</v>
      </c>
      <c r="E119" t="str">
        <f>"GST"</f>
        <v>GST</v>
      </c>
      <c r="F119">
        <v>9938</v>
      </c>
      <c r="G119" t="str">
        <f>"27694768"</f>
        <v>27694768</v>
      </c>
      <c r="H119" s="2">
        <v>0.01</v>
      </c>
      <c r="I119" t="s">
        <v>26</v>
      </c>
      <c r="J119" s="2">
        <v>387917.62</v>
      </c>
      <c r="K119" t="s">
        <v>27</v>
      </c>
      <c r="L119">
        <v>195846</v>
      </c>
      <c r="M119" t="str">
        <f>"PGTEFT3046          KKCN18-IV011"</f>
        <v>PGTEFT3046          KKCN18-IV011</v>
      </c>
      <c r="O119">
        <v>1</v>
      </c>
    </row>
    <row r="120" spans="1:17" x14ac:dyDescent="0.25">
      <c r="A120">
        <v>8003879954</v>
      </c>
      <c r="B120">
        <v>45</v>
      </c>
      <c r="C120">
        <v>16032018</v>
      </c>
      <c r="D120">
        <v>489</v>
      </c>
      <c r="E120" t="str">
        <f>"OTHER TRANSFER FEE"</f>
        <v>OTHER TRANSFER FEE</v>
      </c>
      <c r="F120">
        <v>9938</v>
      </c>
      <c r="G120" t="str">
        <f>"27694768"</f>
        <v>27694768</v>
      </c>
      <c r="H120" s="2">
        <v>0.1</v>
      </c>
      <c r="I120" t="s">
        <v>26</v>
      </c>
      <c r="J120" s="2">
        <v>387917.63</v>
      </c>
      <c r="K120" t="s">
        <v>27</v>
      </c>
      <c r="L120">
        <v>195846</v>
      </c>
      <c r="M120" t="str">
        <f>"PGTEFT3046          KKCN18-IV011"</f>
        <v>PGTEFT3046          KKCN18-IV011</v>
      </c>
      <c r="O120">
        <v>1</v>
      </c>
    </row>
    <row r="121" spans="1:17" x14ac:dyDescent="0.25">
      <c r="A121">
        <v>8003879954</v>
      </c>
      <c r="B121">
        <v>44</v>
      </c>
      <c r="C121">
        <v>16032018</v>
      </c>
      <c r="D121">
        <v>341</v>
      </c>
      <c r="E121" t="str">
        <f>"TR IBG"</f>
        <v>TR IBG</v>
      </c>
      <c r="F121">
        <v>9938</v>
      </c>
      <c r="G121" t="str">
        <f>"27692064"</f>
        <v>27692064</v>
      </c>
      <c r="H121" s="2">
        <v>200</v>
      </c>
      <c r="I121" t="s">
        <v>26</v>
      </c>
      <c r="J121" s="2">
        <v>387917.73</v>
      </c>
      <c r="K121" t="s">
        <v>27</v>
      </c>
      <c r="L121">
        <v>195847</v>
      </c>
      <c r="M121" t="str">
        <f>"RELA TIMUR LAUT ENTE"</f>
        <v>RELA TIMUR LAUT ENTE</v>
      </c>
      <c r="O121">
        <v>1</v>
      </c>
      <c r="P121" t="str">
        <f>"PGTEFT3055"</f>
        <v>PGTEFT3055</v>
      </c>
      <c r="Q121" t="str">
        <f>"JSM-KMR-019-2018"</f>
        <v>JSM-KMR-019-2018</v>
      </c>
    </row>
    <row r="122" spans="1:17" x14ac:dyDescent="0.25">
      <c r="A122">
        <v>8003879954</v>
      </c>
      <c r="B122">
        <v>43</v>
      </c>
      <c r="C122">
        <v>16032018</v>
      </c>
      <c r="D122">
        <v>299</v>
      </c>
      <c r="E122" t="str">
        <f>"GST"</f>
        <v>GST</v>
      </c>
      <c r="F122">
        <v>9938</v>
      </c>
      <c r="G122" t="str">
        <f>"27692064"</f>
        <v>27692064</v>
      </c>
      <c r="H122" s="2">
        <v>0.01</v>
      </c>
      <c r="I122" t="s">
        <v>26</v>
      </c>
      <c r="J122" s="2">
        <v>388117.73</v>
      </c>
      <c r="K122" t="s">
        <v>27</v>
      </c>
      <c r="L122">
        <v>195847</v>
      </c>
      <c r="M122" t="str">
        <f>"PGTEFT3055          JSM-KMR-019-2018"</f>
        <v>PGTEFT3055          JSM-KMR-019-2018</v>
      </c>
      <c r="O122">
        <v>1</v>
      </c>
    </row>
    <row r="123" spans="1:17" x14ac:dyDescent="0.25">
      <c r="A123">
        <v>8003879954</v>
      </c>
      <c r="B123">
        <v>42</v>
      </c>
      <c r="C123">
        <v>16032018</v>
      </c>
      <c r="D123">
        <v>489</v>
      </c>
      <c r="E123" t="str">
        <f>"OTHER TRANSFER FEE"</f>
        <v>OTHER TRANSFER FEE</v>
      </c>
      <c r="F123">
        <v>9938</v>
      </c>
      <c r="G123" t="str">
        <f>"27692064"</f>
        <v>27692064</v>
      </c>
      <c r="H123" s="2">
        <v>0.1</v>
      </c>
      <c r="I123" t="s">
        <v>26</v>
      </c>
      <c r="J123" s="2">
        <v>388117.74</v>
      </c>
      <c r="K123" t="s">
        <v>27</v>
      </c>
      <c r="L123">
        <v>195847</v>
      </c>
      <c r="M123" t="str">
        <f>"PGTEFT3055          JSM-KMR-019-2018"</f>
        <v>PGTEFT3055          JSM-KMR-019-2018</v>
      </c>
      <c r="O123">
        <v>1</v>
      </c>
    </row>
    <row r="124" spans="1:17" x14ac:dyDescent="0.25">
      <c r="A124">
        <v>8003879954</v>
      </c>
      <c r="B124">
        <v>41</v>
      </c>
      <c r="C124">
        <v>16032018</v>
      </c>
      <c r="D124">
        <v>341</v>
      </c>
      <c r="E124" t="str">
        <f>"TR IBG"</f>
        <v>TR IBG</v>
      </c>
      <c r="F124">
        <v>9938</v>
      </c>
      <c r="G124" t="str">
        <f>"27694005"</f>
        <v>27694005</v>
      </c>
      <c r="H124" s="2">
        <v>3710</v>
      </c>
      <c r="I124" t="s">
        <v>26</v>
      </c>
      <c r="J124" s="2">
        <v>388117.84</v>
      </c>
      <c r="K124" t="s">
        <v>27</v>
      </c>
      <c r="L124">
        <v>195847</v>
      </c>
      <c r="M124" t="str">
        <f>"OPTIMAL MEDIA SDN BH"</f>
        <v>OPTIMAL MEDIA SDN BH</v>
      </c>
      <c r="O124">
        <v>1</v>
      </c>
      <c r="P124" t="str">
        <f>"PGTEFT3053"</f>
        <v>PGTEFT3053</v>
      </c>
      <c r="Q124" t="str">
        <f>"INV412"</f>
        <v>INV412</v>
      </c>
    </row>
    <row r="125" spans="1:17" x14ac:dyDescent="0.25">
      <c r="A125">
        <v>8003879954</v>
      </c>
      <c r="B125">
        <v>40</v>
      </c>
      <c r="C125">
        <v>16032018</v>
      </c>
      <c r="D125">
        <v>299</v>
      </c>
      <c r="E125" t="str">
        <f>"GST"</f>
        <v>GST</v>
      </c>
      <c r="F125">
        <v>9938</v>
      </c>
      <c r="G125" t="str">
        <f>"27694005"</f>
        <v>27694005</v>
      </c>
      <c r="H125" s="2">
        <v>0.01</v>
      </c>
      <c r="I125" t="s">
        <v>26</v>
      </c>
      <c r="J125" s="2">
        <v>391827.84</v>
      </c>
      <c r="K125" t="s">
        <v>27</v>
      </c>
      <c r="L125">
        <v>195847</v>
      </c>
      <c r="M125" t="str">
        <f>"PGTEFT3053          INV412"</f>
        <v>PGTEFT3053          INV412</v>
      </c>
      <c r="O125">
        <v>1</v>
      </c>
    </row>
    <row r="126" spans="1:17" x14ac:dyDescent="0.25">
      <c r="A126">
        <v>8003879954</v>
      </c>
      <c r="B126">
        <v>39</v>
      </c>
      <c r="C126">
        <v>16032018</v>
      </c>
      <c r="D126">
        <v>489</v>
      </c>
      <c r="E126" t="str">
        <f>"OTHER TRANSFER FEE"</f>
        <v>OTHER TRANSFER FEE</v>
      </c>
      <c r="F126">
        <v>9938</v>
      </c>
      <c r="G126" t="str">
        <f>"27694005"</f>
        <v>27694005</v>
      </c>
      <c r="H126" s="2">
        <v>0.1</v>
      </c>
      <c r="I126" t="s">
        <v>26</v>
      </c>
      <c r="J126" s="2">
        <v>391827.85</v>
      </c>
      <c r="K126" t="s">
        <v>27</v>
      </c>
      <c r="L126">
        <v>195847</v>
      </c>
      <c r="M126" t="str">
        <f>"PGTEFT3053          INV412"</f>
        <v>PGTEFT3053          INV412</v>
      </c>
      <c r="O126">
        <v>1</v>
      </c>
    </row>
    <row r="127" spans="1:17" x14ac:dyDescent="0.25">
      <c r="A127">
        <v>8003879954</v>
      </c>
      <c r="B127">
        <v>38</v>
      </c>
      <c r="C127">
        <v>16032018</v>
      </c>
      <c r="D127">
        <v>60</v>
      </c>
      <c r="E127" t="str">
        <f>"TR TO C/A"</f>
        <v>TR TO C/A</v>
      </c>
      <c r="F127">
        <v>9938</v>
      </c>
      <c r="G127" t="str">
        <f>"27694324"</f>
        <v>27694324</v>
      </c>
      <c r="H127" s="2">
        <v>572.4</v>
      </c>
      <c r="I127" t="s">
        <v>26</v>
      </c>
      <c r="J127" s="2">
        <v>391827.95</v>
      </c>
      <c r="K127" t="s">
        <v>27</v>
      </c>
      <c r="L127">
        <v>195847</v>
      </c>
      <c r="M127" t="str">
        <f>"R.O WATER OMEGA SPARKLES SDN"</f>
        <v>R.O WATER OMEGA SPARKLES SDN</v>
      </c>
      <c r="O127">
        <v>1</v>
      </c>
      <c r="P127" t="str">
        <f>"PGTEFT3051"</f>
        <v>PGTEFT3051</v>
      </c>
      <c r="Q127" t="str">
        <f>"I-46049"</f>
        <v>I-46049</v>
      </c>
    </row>
    <row r="128" spans="1:17" x14ac:dyDescent="0.25">
      <c r="A128">
        <v>8003879954</v>
      </c>
      <c r="B128">
        <v>37</v>
      </c>
      <c r="C128">
        <v>16032018</v>
      </c>
      <c r="D128">
        <v>341</v>
      </c>
      <c r="E128" t="str">
        <f>"TR IBG"</f>
        <v>TR IBG</v>
      </c>
      <c r="F128">
        <v>9938</v>
      </c>
      <c r="G128" t="str">
        <f>"27694513"</f>
        <v>27694513</v>
      </c>
      <c r="H128" s="2">
        <v>200</v>
      </c>
      <c r="I128" t="s">
        <v>26</v>
      </c>
      <c r="J128" s="2">
        <v>392400.35</v>
      </c>
      <c r="K128" t="s">
        <v>27</v>
      </c>
      <c r="L128">
        <v>195847</v>
      </c>
      <c r="M128" t="str">
        <f>"MARZIAH BINTI MOHAME"</f>
        <v>MARZIAH BINTI MOHAME</v>
      </c>
      <c r="O128">
        <v>1</v>
      </c>
      <c r="P128" t="str">
        <f>"PGTEFT3049"</f>
        <v>PGTEFT3049</v>
      </c>
      <c r="Q128" t="str">
        <f>"AB0001"</f>
        <v>AB0001</v>
      </c>
    </row>
    <row r="129" spans="1:17" x14ac:dyDescent="0.25">
      <c r="A129">
        <v>8003879954</v>
      </c>
      <c r="B129">
        <v>36</v>
      </c>
      <c r="C129">
        <v>16032018</v>
      </c>
      <c r="D129">
        <v>299</v>
      </c>
      <c r="E129" t="str">
        <f>"GST"</f>
        <v>GST</v>
      </c>
      <c r="F129">
        <v>9938</v>
      </c>
      <c r="G129" t="str">
        <f>"27694513"</f>
        <v>27694513</v>
      </c>
      <c r="H129" s="2">
        <v>0.01</v>
      </c>
      <c r="I129" t="s">
        <v>26</v>
      </c>
      <c r="J129" s="2">
        <v>392600.35</v>
      </c>
      <c r="K129" t="s">
        <v>27</v>
      </c>
      <c r="L129">
        <v>195847</v>
      </c>
      <c r="M129" t="str">
        <f>"PGTEFT3049          AB0001"</f>
        <v>PGTEFT3049          AB0001</v>
      </c>
      <c r="O129">
        <v>1</v>
      </c>
    </row>
    <row r="130" spans="1:17" x14ac:dyDescent="0.25">
      <c r="A130">
        <v>8003879954</v>
      </c>
      <c r="B130">
        <v>35</v>
      </c>
      <c r="C130">
        <v>16032018</v>
      </c>
      <c r="D130">
        <v>489</v>
      </c>
      <c r="E130" t="str">
        <f>"OTHER TRANSFER FEE"</f>
        <v>OTHER TRANSFER FEE</v>
      </c>
      <c r="F130">
        <v>9938</v>
      </c>
      <c r="G130" t="str">
        <f>"27694513"</f>
        <v>27694513</v>
      </c>
      <c r="H130" s="2">
        <v>0.1</v>
      </c>
      <c r="I130" t="s">
        <v>26</v>
      </c>
      <c r="J130" s="2">
        <v>392600.36</v>
      </c>
      <c r="K130" t="s">
        <v>27</v>
      </c>
      <c r="L130">
        <v>195847</v>
      </c>
      <c r="M130" t="str">
        <f>"PGTEFT3049          AB0001"</f>
        <v>PGTEFT3049          AB0001</v>
      </c>
      <c r="O130">
        <v>1</v>
      </c>
    </row>
    <row r="131" spans="1:17" x14ac:dyDescent="0.25">
      <c r="A131">
        <v>8003879954</v>
      </c>
      <c r="B131">
        <v>34</v>
      </c>
      <c r="C131">
        <v>16032018</v>
      </c>
      <c r="D131">
        <v>341</v>
      </c>
      <c r="E131" t="str">
        <f>"TR IBG"</f>
        <v>TR IBG</v>
      </c>
      <c r="F131">
        <v>9938</v>
      </c>
      <c r="G131" t="str">
        <f>"27694035"</f>
        <v>27694035</v>
      </c>
      <c r="H131" s="2">
        <v>180</v>
      </c>
      <c r="I131" t="s">
        <v>26</v>
      </c>
      <c r="J131" s="2">
        <v>392600.46</v>
      </c>
      <c r="K131" t="s">
        <v>27</v>
      </c>
      <c r="L131">
        <v>195846</v>
      </c>
      <c r="M131" t="str">
        <f>"KOLEKSI WASAYANG"</f>
        <v>KOLEKSI WASAYANG</v>
      </c>
      <c r="O131">
        <v>1</v>
      </c>
      <c r="P131" t="str">
        <f>"PGTEFT3052"</f>
        <v>PGTEFT3052</v>
      </c>
      <c r="Q131" t="str">
        <f>"INV2018402"</f>
        <v>INV2018402</v>
      </c>
    </row>
    <row r="132" spans="1:17" x14ac:dyDescent="0.25">
      <c r="A132">
        <v>8003879954</v>
      </c>
      <c r="B132">
        <v>33</v>
      </c>
      <c r="C132">
        <v>16032018</v>
      </c>
      <c r="D132">
        <v>299</v>
      </c>
      <c r="E132" t="str">
        <f>"GST"</f>
        <v>GST</v>
      </c>
      <c r="F132">
        <v>9938</v>
      </c>
      <c r="G132" t="str">
        <f>"27694035"</f>
        <v>27694035</v>
      </c>
      <c r="H132" s="2">
        <v>0.01</v>
      </c>
      <c r="I132" t="s">
        <v>26</v>
      </c>
      <c r="J132" s="2">
        <v>392780.46</v>
      </c>
      <c r="K132" t="s">
        <v>27</v>
      </c>
      <c r="L132">
        <v>195846</v>
      </c>
      <c r="M132" t="str">
        <f>"PGTEFT3052          INV2018402"</f>
        <v>PGTEFT3052          INV2018402</v>
      </c>
      <c r="O132">
        <v>1</v>
      </c>
    </row>
    <row r="133" spans="1:17" x14ac:dyDescent="0.25">
      <c r="A133">
        <v>8003879954</v>
      </c>
      <c r="B133">
        <v>32</v>
      </c>
      <c r="C133">
        <v>16032018</v>
      </c>
      <c r="D133">
        <v>489</v>
      </c>
      <c r="E133" t="str">
        <f>"OTHER TRANSFER FEE"</f>
        <v>OTHER TRANSFER FEE</v>
      </c>
      <c r="F133">
        <v>9938</v>
      </c>
      <c r="G133" t="str">
        <f>"27694035"</f>
        <v>27694035</v>
      </c>
      <c r="H133" s="2">
        <v>0.1</v>
      </c>
      <c r="I133" t="s">
        <v>26</v>
      </c>
      <c r="J133" s="2">
        <v>392780.47</v>
      </c>
      <c r="K133" t="s">
        <v>27</v>
      </c>
      <c r="L133">
        <v>195846</v>
      </c>
      <c r="M133" t="str">
        <f>"PGTEFT3052          INV2018402"</f>
        <v>PGTEFT3052          INV2018402</v>
      </c>
      <c r="O133">
        <v>1</v>
      </c>
    </row>
    <row r="134" spans="1:17" x14ac:dyDescent="0.25">
      <c r="A134">
        <v>8003879954</v>
      </c>
      <c r="B134">
        <v>31</v>
      </c>
      <c r="C134">
        <v>16032018</v>
      </c>
      <c r="D134">
        <v>341</v>
      </c>
      <c r="E134" t="str">
        <f>"TR IBG"</f>
        <v>TR IBG</v>
      </c>
      <c r="F134">
        <v>9938</v>
      </c>
      <c r="G134" t="str">
        <f>"27694480"</f>
        <v>27694480</v>
      </c>
      <c r="H134" s="2">
        <v>1014.57</v>
      </c>
      <c r="I134" t="s">
        <v>26</v>
      </c>
      <c r="J134" s="2">
        <v>392780.57</v>
      </c>
      <c r="K134" t="s">
        <v>27</v>
      </c>
      <c r="L134">
        <v>195846</v>
      </c>
      <c r="M134" t="str">
        <f>"MSIG INSURANCE (MALA"</f>
        <v>MSIG INSURANCE (MALA</v>
      </c>
      <c r="O134">
        <v>1</v>
      </c>
      <c r="P134" t="str">
        <f>"PGTEFT3050"</f>
        <v>PGTEFT3050</v>
      </c>
      <c r="Q134" t="str">
        <f>"GL1621953"</f>
        <v>GL1621953</v>
      </c>
    </row>
    <row r="135" spans="1:17" x14ac:dyDescent="0.25">
      <c r="A135">
        <v>8003879954</v>
      </c>
      <c r="B135">
        <v>30</v>
      </c>
      <c r="C135">
        <v>16032018</v>
      </c>
      <c r="D135">
        <v>299</v>
      </c>
      <c r="E135" t="str">
        <f>"GST"</f>
        <v>GST</v>
      </c>
      <c r="F135">
        <v>9938</v>
      </c>
      <c r="G135" t="str">
        <f>"27694480"</f>
        <v>27694480</v>
      </c>
      <c r="H135" s="2">
        <v>0.01</v>
      </c>
      <c r="I135" t="s">
        <v>26</v>
      </c>
      <c r="J135" s="2">
        <v>393795.14</v>
      </c>
      <c r="K135" t="s">
        <v>27</v>
      </c>
      <c r="L135">
        <v>195846</v>
      </c>
      <c r="M135" t="str">
        <f>"PGTEFT3050          GL1621953"</f>
        <v>PGTEFT3050          GL1621953</v>
      </c>
      <c r="O135">
        <v>1</v>
      </c>
    </row>
    <row r="136" spans="1:17" x14ac:dyDescent="0.25">
      <c r="A136">
        <v>8003879954</v>
      </c>
      <c r="B136">
        <v>29</v>
      </c>
      <c r="C136">
        <v>16032018</v>
      </c>
      <c r="D136">
        <v>489</v>
      </c>
      <c r="E136" t="str">
        <f>"OTHER TRANSFER FEE"</f>
        <v>OTHER TRANSFER FEE</v>
      </c>
      <c r="F136">
        <v>9938</v>
      </c>
      <c r="G136" t="str">
        <f>"27694480"</f>
        <v>27694480</v>
      </c>
      <c r="H136" s="2">
        <v>0.1</v>
      </c>
      <c r="I136" t="s">
        <v>26</v>
      </c>
      <c r="J136" s="2">
        <v>393795.15</v>
      </c>
      <c r="K136" t="s">
        <v>27</v>
      </c>
      <c r="L136">
        <v>195846</v>
      </c>
      <c r="M136" t="str">
        <f>"PGTEFT3050          GL1621953"</f>
        <v>PGTEFT3050          GL1621953</v>
      </c>
      <c r="O136">
        <v>1</v>
      </c>
    </row>
    <row r="137" spans="1:17" x14ac:dyDescent="0.25">
      <c r="A137">
        <v>8003879954</v>
      </c>
      <c r="B137">
        <v>28</v>
      </c>
      <c r="C137">
        <v>16032018</v>
      </c>
      <c r="D137">
        <v>60</v>
      </c>
      <c r="E137" t="str">
        <f>"TR TO C/A"</f>
        <v>TR TO C/A</v>
      </c>
      <c r="F137">
        <v>9938</v>
      </c>
      <c r="G137" t="str">
        <f>"27692165"</f>
        <v>27692165</v>
      </c>
      <c r="H137" s="2">
        <v>5300</v>
      </c>
      <c r="I137" t="s">
        <v>26</v>
      </c>
      <c r="J137" s="2">
        <v>393795.25</v>
      </c>
      <c r="K137" t="s">
        <v>27</v>
      </c>
      <c r="L137">
        <v>195846</v>
      </c>
      <c r="M137" t="str">
        <f>"PERFORMANCE PLUS MA"</f>
        <v>PERFORMANCE PLUS MA</v>
      </c>
      <c r="O137">
        <v>1</v>
      </c>
      <c r="P137" t="str">
        <f>"PGTEFT3054"</f>
        <v>PGTEFT3054</v>
      </c>
      <c r="Q137" t="str">
        <f>"PPM18-03-01"</f>
        <v>PPM18-03-01</v>
      </c>
    </row>
    <row r="138" spans="1:17" x14ac:dyDescent="0.25">
      <c r="A138">
        <v>8003879954</v>
      </c>
      <c r="B138">
        <v>27</v>
      </c>
      <c r="C138">
        <v>16032018</v>
      </c>
      <c r="D138">
        <v>345</v>
      </c>
      <c r="E138" t="str">
        <f>"TR TO SAVINGS"</f>
        <v>TR TO SAVINGS</v>
      </c>
      <c r="F138">
        <v>9938</v>
      </c>
      <c r="G138" t="str">
        <f>"27694673"</f>
        <v>27694673</v>
      </c>
      <c r="H138" s="2">
        <v>60.2</v>
      </c>
      <c r="I138" t="s">
        <v>26</v>
      </c>
      <c r="J138" s="2">
        <v>399095.25</v>
      </c>
      <c r="K138" t="s">
        <v>27</v>
      </c>
      <c r="L138">
        <v>195846</v>
      </c>
      <c r="M138" t="str">
        <f>"QATAR &amp; SG AIRLINE B LIM YEE HARNG"</f>
        <v>QATAR &amp; SG AIRLINE B LIM YEE HARNG</v>
      </c>
      <c r="O138">
        <v>1</v>
      </c>
      <c r="P138" t="str">
        <f>"PGTEFT3048"</f>
        <v>PGTEFT3048</v>
      </c>
      <c r="Q138" t="str">
        <f>"CLAIMS"</f>
        <v>CLAIMS</v>
      </c>
    </row>
    <row r="139" spans="1:17" x14ac:dyDescent="0.25">
      <c r="A139">
        <v>8003879954</v>
      </c>
      <c r="B139">
        <v>26</v>
      </c>
      <c r="C139">
        <v>16032018</v>
      </c>
      <c r="D139">
        <v>341</v>
      </c>
      <c r="E139" t="str">
        <f>"TR IBG"</f>
        <v>TR IBG</v>
      </c>
      <c r="F139">
        <v>9938</v>
      </c>
      <c r="G139" t="str">
        <f>"27695737"</f>
        <v>27695737</v>
      </c>
      <c r="H139" s="2">
        <v>90</v>
      </c>
      <c r="I139" t="s">
        <v>26</v>
      </c>
      <c r="J139" s="2">
        <v>399155.45</v>
      </c>
      <c r="K139" t="s">
        <v>27</v>
      </c>
      <c r="L139">
        <v>195642</v>
      </c>
      <c r="M139" t="str">
        <f>"ASMADI BIN MOHD SALL"</f>
        <v>ASMADI BIN MOHD SALL</v>
      </c>
      <c r="O139">
        <v>1</v>
      </c>
      <c r="P139" t="str">
        <f>"PGTEFT3036"</f>
        <v>PGTEFT3036</v>
      </c>
      <c r="Q139" t="str">
        <f>"INV1-2018"</f>
        <v>INV1-2018</v>
      </c>
    </row>
    <row r="140" spans="1:17" x14ac:dyDescent="0.25">
      <c r="A140">
        <v>8003879954</v>
      </c>
      <c r="B140">
        <v>25</v>
      </c>
      <c r="C140">
        <v>16032018</v>
      </c>
      <c r="D140">
        <v>299</v>
      </c>
      <c r="E140" t="str">
        <f>"GST"</f>
        <v>GST</v>
      </c>
      <c r="F140">
        <v>9938</v>
      </c>
      <c r="G140" t="str">
        <f>"27695737"</f>
        <v>27695737</v>
      </c>
      <c r="H140" s="2">
        <v>0.01</v>
      </c>
      <c r="I140" t="s">
        <v>26</v>
      </c>
      <c r="J140" s="2">
        <v>399245.45</v>
      </c>
      <c r="K140" t="s">
        <v>27</v>
      </c>
      <c r="L140">
        <v>195642</v>
      </c>
      <c r="M140" t="str">
        <f>"PGTEFT3036          INV1-2018"</f>
        <v>PGTEFT3036          INV1-2018</v>
      </c>
      <c r="O140">
        <v>1</v>
      </c>
    </row>
    <row r="141" spans="1:17" x14ac:dyDescent="0.25">
      <c r="A141">
        <v>8003879954</v>
      </c>
      <c r="B141">
        <v>24</v>
      </c>
      <c r="C141">
        <v>16032018</v>
      </c>
      <c r="D141">
        <v>489</v>
      </c>
      <c r="E141" t="str">
        <f>"OTHER TRANSFER FEE"</f>
        <v>OTHER TRANSFER FEE</v>
      </c>
      <c r="F141">
        <v>9938</v>
      </c>
      <c r="G141" t="str">
        <f>"27695737"</f>
        <v>27695737</v>
      </c>
      <c r="H141" s="2">
        <v>0.1</v>
      </c>
      <c r="I141" t="s">
        <v>26</v>
      </c>
      <c r="J141" s="2">
        <v>399245.46</v>
      </c>
      <c r="K141" t="s">
        <v>27</v>
      </c>
      <c r="L141">
        <v>195642</v>
      </c>
      <c r="M141" t="str">
        <f>"PGTEFT3036          INV1-2018"</f>
        <v>PGTEFT3036          INV1-2018</v>
      </c>
      <c r="O141">
        <v>1</v>
      </c>
    </row>
    <row r="142" spans="1:17" x14ac:dyDescent="0.25">
      <c r="A142">
        <v>8003879954</v>
      </c>
      <c r="B142">
        <v>23</v>
      </c>
      <c r="C142">
        <v>16032018</v>
      </c>
      <c r="D142">
        <v>341</v>
      </c>
      <c r="E142" t="str">
        <f>"TR IBG"</f>
        <v>TR IBG</v>
      </c>
      <c r="F142">
        <v>9938</v>
      </c>
      <c r="G142" t="str">
        <f>"27694983"</f>
        <v>27694983</v>
      </c>
      <c r="H142" s="2">
        <v>1798.47</v>
      </c>
      <c r="I142" t="s">
        <v>26</v>
      </c>
      <c r="J142" s="2">
        <v>399245.56</v>
      </c>
      <c r="K142" t="s">
        <v>27</v>
      </c>
      <c r="L142">
        <v>195641</v>
      </c>
      <c r="M142" t="str">
        <f>"FUJI XEROX ASIA PACI"</f>
        <v>FUJI XEROX ASIA PACI</v>
      </c>
      <c r="O142">
        <v>1</v>
      </c>
      <c r="P142" t="str">
        <f>"PGTEFT3043"</f>
        <v>PGTEFT3043</v>
      </c>
      <c r="Q142" t="str">
        <f>"ACC 316057"</f>
        <v>ACC 316057</v>
      </c>
    </row>
    <row r="143" spans="1:17" x14ac:dyDescent="0.25">
      <c r="A143">
        <v>8003879954</v>
      </c>
      <c r="B143">
        <v>22</v>
      </c>
      <c r="C143">
        <v>16032018</v>
      </c>
      <c r="D143">
        <v>299</v>
      </c>
      <c r="E143" t="str">
        <f>"GST"</f>
        <v>GST</v>
      </c>
      <c r="F143">
        <v>9938</v>
      </c>
      <c r="G143" t="str">
        <f>"27694983"</f>
        <v>27694983</v>
      </c>
      <c r="H143" s="2">
        <v>0.01</v>
      </c>
      <c r="I143" t="s">
        <v>26</v>
      </c>
      <c r="J143" s="2">
        <v>401044.03</v>
      </c>
      <c r="K143" t="s">
        <v>27</v>
      </c>
      <c r="L143">
        <v>195641</v>
      </c>
      <c r="M143" t="str">
        <f>"PGTEFT3043          ACC 316057"</f>
        <v>PGTEFT3043          ACC 316057</v>
      </c>
      <c r="O143">
        <v>1</v>
      </c>
    </row>
    <row r="144" spans="1:17" x14ac:dyDescent="0.25">
      <c r="A144">
        <v>8003879954</v>
      </c>
      <c r="B144">
        <v>21</v>
      </c>
      <c r="C144">
        <v>16032018</v>
      </c>
      <c r="D144">
        <v>489</v>
      </c>
      <c r="E144" t="str">
        <f>"OTHER TRANSFER FEE"</f>
        <v>OTHER TRANSFER FEE</v>
      </c>
      <c r="F144">
        <v>9938</v>
      </c>
      <c r="G144" t="str">
        <f>"27694983"</f>
        <v>27694983</v>
      </c>
      <c r="H144" s="2">
        <v>0.1</v>
      </c>
      <c r="I144" t="s">
        <v>26</v>
      </c>
      <c r="J144" s="2">
        <v>401044.04</v>
      </c>
      <c r="K144" t="s">
        <v>27</v>
      </c>
      <c r="L144">
        <v>195641</v>
      </c>
      <c r="M144" t="str">
        <f>"PGTEFT3043          ACC 316057"</f>
        <v>PGTEFT3043          ACC 316057</v>
      </c>
      <c r="O144">
        <v>1</v>
      </c>
    </row>
    <row r="145" spans="1:17" x14ac:dyDescent="0.25">
      <c r="A145">
        <v>8003879954</v>
      </c>
      <c r="B145">
        <v>20</v>
      </c>
      <c r="C145">
        <v>16032018</v>
      </c>
      <c r="D145">
        <v>343</v>
      </c>
      <c r="E145" t="str">
        <f>"I-PAYMENT"</f>
        <v>I-PAYMENT</v>
      </c>
      <c r="F145">
        <v>9938</v>
      </c>
      <c r="G145" t="str">
        <f>"2018031658237840"</f>
        <v>2018031658237840</v>
      </c>
      <c r="H145" s="2">
        <v>659.29</v>
      </c>
      <c r="I145" t="s">
        <v>26</v>
      </c>
      <c r="J145" s="2">
        <v>401044.14</v>
      </c>
      <c r="K145" t="s">
        <v>27</v>
      </c>
      <c r="L145">
        <v>195641</v>
      </c>
      <c r="M145" t="str">
        <f>"Pay to CELCOM: 191908888"</f>
        <v>Pay to CELCOM: 191908888</v>
      </c>
      <c r="O145">
        <v>1</v>
      </c>
    </row>
    <row r="146" spans="1:17" x14ac:dyDescent="0.25">
      <c r="A146">
        <v>8003879954</v>
      </c>
      <c r="B146">
        <v>19</v>
      </c>
      <c r="C146">
        <v>16032018</v>
      </c>
      <c r="D146">
        <v>341</v>
      </c>
      <c r="E146" t="str">
        <f>"TR IBG"</f>
        <v>TR IBG</v>
      </c>
      <c r="F146">
        <v>9938</v>
      </c>
      <c r="G146" t="str">
        <f>"27695198"</f>
        <v>27695198</v>
      </c>
      <c r="H146" s="2">
        <v>44</v>
      </c>
      <c r="I146" t="s">
        <v>26</v>
      </c>
      <c r="J146" s="2">
        <v>401703.43</v>
      </c>
      <c r="K146" t="s">
        <v>27</v>
      </c>
      <c r="L146">
        <v>195640</v>
      </c>
      <c r="M146" t="str">
        <f>"CLARITY PUBLISHING S"</f>
        <v>CLARITY PUBLISHING S</v>
      </c>
      <c r="O146">
        <v>1</v>
      </c>
      <c r="P146" t="str">
        <f>"PGTEFT3040"</f>
        <v>PGTEFT3040</v>
      </c>
      <c r="Q146" t="str">
        <f>"PGT12-18INV"</f>
        <v>PGT12-18INV</v>
      </c>
    </row>
    <row r="147" spans="1:17" x14ac:dyDescent="0.25">
      <c r="A147">
        <v>8003879954</v>
      </c>
      <c r="B147">
        <v>18</v>
      </c>
      <c r="C147">
        <v>16032018</v>
      </c>
      <c r="D147">
        <v>299</v>
      </c>
      <c r="E147" t="str">
        <f>"GST"</f>
        <v>GST</v>
      </c>
      <c r="F147">
        <v>9938</v>
      </c>
      <c r="G147" t="str">
        <f>"27695198"</f>
        <v>27695198</v>
      </c>
      <c r="H147" s="2">
        <v>0.01</v>
      </c>
      <c r="I147" t="s">
        <v>26</v>
      </c>
      <c r="J147" s="2">
        <v>401747.43</v>
      </c>
      <c r="K147" t="s">
        <v>27</v>
      </c>
      <c r="L147">
        <v>195640</v>
      </c>
      <c r="M147" t="str">
        <f>"PGTEFT3040          PGT12-18INV"</f>
        <v>PGTEFT3040          PGT12-18INV</v>
      </c>
      <c r="O147">
        <v>1</v>
      </c>
    </row>
    <row r="148" spans="1:17" x14ac:dyDescent="0.25">
      <c r="A148">
        <v>8003879954</v>
      </c>
      <c r="B148">
        <v>17</v>
      </c>
      <c r="C148">
        <v>16032018</v>
      </c>
      <c r="D148">
        <v>489</v>
      </c>
      <c r="E148" t="str">
        <f>"OTHER TRANSFER FEE"</f>
        <v>OTHER TRANSFER FEE</v>
      </c>
      <c r="F148">
        <v>9938</v>
      </c>
      <c r="G148" t="str">
        <f>"27695198"</f>
        <v>27695198</v>
      </c>
      <c r="H148" s="2">
        <v>0.1</v>
      </c>
      <c r="I148" t="s">
        <v>26</v>
      </c>
      <c r="J148" s="2">
        <v>401747.44</v>
      </c>
      <c r="K148" t="s">
        <v>27</v>
      </c>
      <c r="L148">
        <v>195640</v>
      </c>
      <c r="M148" t="str">
        <f>"PGTEFT3040          PGT12-18INV"</f>
        <v>PGTEFT3040          PGT12-18INV</v>
      </c>
      <c r="O148">
        <v>1</v>
      </c>
    </row>
    <row r="149" spans="1:17" x14ac:dyDescent="0.25">
      <c r="A149">
        <v>8003879954</v>
      </c>
      <c r="B149">
        <v>16</v>
      </c>
      <c r="C149">
        <v>16032018</v>
      </c>
      <c r="D149">
        <v>341</v>
      </c>
      <c r="E149" t="str">
        <f>"TR IBG"</f>
        <v>TR IBG</v>
      </c>
      <c r="F149">
        <v>9938</v>
      </c>
      <c r="G149" t="str">
        <f>"27696099"</f>
        <v>27696099</v>
      </c>
      <c r="H149" s="2">
        <v>3577.5</v>
      </c>
      <c r="I149" t="s">
        <v>26</v>
      </c>
      <c r="J149" s="2">
        <v>401747.54</v>
      </c>
      <c r="K149" t="s">
        <v>27</v>
      </c>
      <c r="L149">
        <v>195639</v>
      </c>
      <c r="M149" t="str">
        <f>"INFOCOLOR SDN BHD"</f>
        <v>INFOCOLOR SDN BHD</v>
      </c>
      <c r="O149">
        <v>1</v>
      </c>
      <c r="P149" t="str">
        <f>"PGTEFT3001"</f>
        <v>PGTEFT3001</v>
      </c>
      <c r="Q149" t="str">
        <f>"INV4262-4263"</f>
        <v>INV4262-4263</v>
      </c>
    </row>
    <row r="150" spans="1:17" x14ac:dyDescent="0.25">
      <c r="A150">
        <v>8003879954</v>
      </c>
      <c r="B150">
        <v>15</v>
      </c>
      <c r="C150">
        <v>16032018</v>
      </c>
      <c r="D150">
        <v>299</v>
      </c>
      <c r="E150" t="str">
        <f>"GST"</f>
        <v>GST</v>
      </c>
      <c r="F150">
        <v>9938</v>
      </c>
      <c r="G150" t="str">
        <f>"27696099"</f>
        <v>27696099</v>
      </c>
      <c r="H150" s="2">
        <v>0.01</v>
      </c>
      <c r="I150" t="s">
        <v>26</v>
      </c>
      <c r="J150" s="2">
        <v>405325.04</v>
      </c>
      <c r="K150" t="s">
        <v>27</v>
      </c>
      <c r="L150">
        <v>195639</v>
      </c>
      <c r="M150" t="str">
        <f>"PGTEFT3001          INV4262-4263"</f>
        <v>PGTEFT3001          INV4262-4263</v>
      </c>
      <c r="O150">
        <v>1</v>
      </c>
    </row>
    <row r="151" spans="1:17" x14ac:dyDescent="0.25">
      <c r="A151">
        <v>8003879954</v>
      </c>
      <c r="B151">
        <v>14</v>
      </c>
      <c r="C151">
        <v>16032018</v>
      </c>
      <c r="D151">
        <v>489</v>
      </c>
      <c r="E151" t="str">
        <f>"OTHER TRANSFER FEE"</f>
        <v>OTHER TRANSFER FEE</v>
      </c>
      <c r="F151">
        <v>9938</v>
      </c>
      <c r="G151" t="str">
        <f>"27696099"</f>
        <v>27696099</v>
      </c>
      <c r="H151" s="2">
        <v>0.1</v>
      </c>
      <c r="I151" t="s">
        <v>26</v>
      </c>
      <c r="J151" s="2">
        <v>405325.05</v>
      </c>
      <c r="K151" t="s">
        <v>27</v>
      </c>
      <c r="L151">
        <v>195639</v>
      </c>
      <c r="M151" t="str">
        <f>"PGTEFT3001          INV4262-4263"</f>
        <v>PGTEFT3001          INV4262-4263</v>
      </c>
      <c r="O151">
        <v>1</v>
      </c>
    </row>
    <row r="152" spans="1:17" x14ac:dyDescent="0.25">
      <c r="A152">
        <v>8003879954</v>
      </c>
      <c r="B152">
        <v>13</v>
      </c>
      <c r="C152">
        <v>16032018</v>
      </c>
      <c r="D152">
        <v>341</v>
      </c>
      <c r="E152" t="str">
        <f>"TR IBG"</f>
        <v>TR IBG</v>
      </c>
      <c r="F152">
        <v>9938</v>
      </c>
      <c r="G152" t="str">
        <f>"27695491"</f>
        <v>27695491</v>
      </c>
      <c r="H152" s="2">
        <v>2250</v>
      </c>
      <c r="I152" t="s">
        <v>26</v>
      </c>
      <c r="J152" s="2">
        <v>405325.15</v>
      </c>
      <c r="K152" t="s">
        <v>27</v>
      </c>
      <c r="L152">
        <v>195640</v>
      </c>
      <c r="M152" t="str">
        <f>"BRAND-NEW BANNERSHOP"</f>
        <v>BRAND-NEW BANNERSHOP</v>
      </c>
      <c r="O152">
        <v>1</v>
      </c>
      <c r="P152" t="str">
        <f>"PGTEFT3038"</f>
        <v>PGTEFT3038</v>
      </c>
      <c r="Q152" t="str">
        <f>"INV46681"</f>
        <v>INV46681</v>
      </c>
    </row>
    <row r="153" spans="1:17" x14ac:dyDescent="0.25">
      <c r="A153">
        <v>8003879954</v>
      </c>
      <c r="B153">
        <v>12</v>
      </c>
      <c r="C153">
        <v>16032018</v>
      </c>
      <c r="D153">
        <v>299</v>
      </c>
      <c r="E153" t="str">
        <f>"GST"</f>
        <v>GST</v>
      </c>
      <c r="F153">
        <v>9938</v>
      </c>
      <c r="G153" t="str">
        <f>"27695491"</f>
        <v>27695491</v>
      </c>
      <c r="H153" s="2">
        <v>0.01</v>
      </c>
      <c r="I153" t="s">
        <v>26</v>
      </c>
      <c r="J153" s="2">
        <v>407575.15</v>
      </c>
      <c r="K153" t="s">
        <v>27</v>
      </c>
      <c r="L153">
        <v>195640</v>
      </c>
      <c r="M153" t="str">
        <f>"PGTEFT3038          INV46681"</f>
        <v>PGTEFT3038          INV46681</v>
      </c>
      <c r="O153">
        <v>1</v>
      </c>
    </row>
    <row r="154" spans="1:17" x14ac:dyDescent="0.25">
      <c r="A154">
        <v>8003879954</v>
      </c>
      <c r="B154">
        <v>11</v>
      </c>
      <c r="C154">
        <v>16032018</v>
      </c>
      <c r="D154">
        <v>489</v>
      </c>
      <c r="E154" t="str">
        <f>"OTHER TRANSFER FEE"</f>
        <v>OTHER TRANSFER FEE</v>
      </c>
      <c r="F154">
        <v>9938</v>
      </c>
      <c r="G154" t="str">
        <f>"27695491"</f>
        <v>27695491</v>
      </c>
      <c r="H154" s="2">
        <v>0.1</v>
      </c>
      <c r="I154" t="s">
        <v>26</v>
      </c>
      <c r="J154" s="2">
        <v>407575.16</v>
      </c>
      <c r="K154" t="s">
        <v>27</v>
      </c>
      <c r="L154">
        <v>195640</v>
      </c>
      <c r="M154" t="str">
        <f>"PGTEFT3038          INV46681"</f>
        <v>PGTEFT3038          INV46681</v>
      </c>
      <c r="O154">
        <v>1</v>
      </c>
    </row>
    <row r="155" spans="1:17" x14ac:dyDescent="0.25">
      <c r="A155">
        <v>8003879954</v>
      </c>
      <c r="B155">
        <v>10</v>
      </c>
      <c r="C155">
        <v>16032018</v>
      </c>
      <c r="D155">
        <v>341</v>
      </c>
      <c r="E155" t="str">
        <f>"TR IBG"</f>
        <v>TR IBG</v>
      </c>
      <c r="F155">
        <v>9938</v>
      </c>
      <c r="G155" t="str">
        <f>"27695086"</f>
        <v>27695086</v>
      </c>
      <c r="H155" s="2">
        <v>2960</v>
      </c>
      <c r="I155" t="s">
        <v>26</v>
      </c>
      <c r="J155" s="2">
        <v>407575.26</v>
      </c>
      <c r="K155" t="s">
        <v>27</v>
      </c>
      <c r="L155">
        <v>195640</v>
      </c>
      <c r="M155" t="str">
        <f>"DISCOVERY OVERLAND H"</f>
        <v>DISCOVERY OVERLAND H</v>
      </c>
      <c r="O155">
        <v>1</v>
      </c>
      <c r="P155" t="str">
        <f>"PGTEFT3042"</f>
        <v>PGTEFT3042</v>
      </c>
      <c r="Q155" t="str">
        <f>"74095"</f>
        <v>74095</v>
      </c>
    </row>
    <row r="156" spans="1:17" x14ac:dyDescent="0.25">
      <c r="A156">
        <v>8003879954</v>
      </c>
      <c r="B156">
        <v>9</v>
      </c>
      <c r="C156">
        <v>16032018</v>
      </c>
      <c r="D156">
        <v>299</v>
      </c>
      <c r="E156" t="str">
        <f>"GST"</f>
        <v>GST</v>
      </c>
      <c r="F156">
        <v>9938</v>
      </c>
      <c r="G156" t="str">
        <f>"27695086"</f>
        <v>27695086</v>
      </c>
      <c r="H156" s="2">
        <v>0.01</v>
      </c>
      <c r="I156" t="s">
        <v>26</v>
      </c>
      <c r="J156" s="2">
        <v>410535.26</v>
      </c>
      <c r="K156" t="s">
        <v>27</v>
      </c>
      <c r="L156">
        <v>195640</v>
      </c>
      <c r="M156" t="str">
        <f>"PGTEFT3042          74095"</f>
        <v>PGTEFT3042          74095</v>
      </c>
      <c r="O156">
        <v>1</v>
      </c>
    </row>
    <row r="157" spans="1:17" x14ac:dyDescent="0.25">
      <c r="A157">
        <v>8003879954</v>
      </c>
      <c r="B157">
        <v>8</v>
      </c>
      <c r="C157">
        <v>16032018</v>
      </c>
      <c r="D157">
        <v>489</v>
      </c>
      <c r="E157" t="str">
        <f>"OTHER TRANSFER FEE"</f>
        <v>OTHER TRANSFER FEE</v>
      </c>
      <c r="F157">
        <v>9938</v>
      </c>
      <c r="G157" t="str">
        <f>"27695086"</f>
        <v>27695086</v>
      </c>
      <c r="H157" s="2">
        <v>0.1</v>
      </c>
      <c r="I157" t="s">
        <v>26</v>
      </c>
      <c r="J157" s="2">
        <v>410535.27</v>
      </c>
      <c r="K157" t="s">
        <v>27</v>
      </c>
      <c r="L157">
        <v>195640</v>
      </c>
      <c r="M157" t="str">
        <f>"PGTEFT3042          74095"</f>
        <v>PGTEFT3042          74095</v>
      </c>
      <c r="O157">
        <v>1</v>
      </c>
    </row>
    <row r="158" spans="1:17" x14ac:dyDescent="0.25">
      <c r="A158">
        <v>8003879954</v>
      </c>
      <c r="B158">
        <v>7</v>
      </c>
      <c r="C158">
        <v>16032018</v>
      </c>
      <c r="D158">
        <v>341</v>
      </c>
      <c r="E158" t="str">
        <f>"TR IBG"</f>
        <v>TR IBG</v>
      </c>
      <c r="F158">
        <v>9938</v>
      </c>
      <c r="G158" t="str">
        <f>"27694811"</f>
        <v>27694811</v>
      </c>
      <c r="H158" s="2">
        <v>2000</v>
      </c>
      <c r="I158" t="s">
        <v>26</v>
      </c>
      <c r="J158" s="2">
        <v>410535.37</v>
      </c>
      <c r="K158" t="s">
        <v>27</v>
      </c>
      <c r="L158">
        <v>195639</v>
      </c>
      <c r="M158" t="str">
        <f>"HONG GUAN SPORTS GYM"</f>
        <v>HONG GUAN SPORTS GYM</v>
      </c>
      <c r="O158">
        <v>1</v>
      </c>
      <c r="P158" t="str">
        <f>"PGTEFT3045"</f>
        <v>PGTEFT3045</v>
      </c>
      <c r="Q158" t="str">
        <f>"INV51860"</f>
        <v>INV51860</v>
      </c>
    </row>
    <row r="159" spans="1:17" x14ac:dyDescent="0.25">
      <c r="A159">
        <v>8003879954</v>
      </c>
      <c r="B159">
        <v>6</v>
      </c>
      <c r="C159">
        <v>16032018</v>
      </c>
      <c r="D159">
        <v>299</v>
      </c>
      <c r="E159" t="str">
        <f>"GST"</f>
        <v>GST</v>
      </c>
      <c r="F159">
        <v>9938</v>
      </c>
      <c r="G159" t="str">
        <f>"27694811"</f>
        <v>27694811</v>
      </c>
      <c r="H159" s="2">
        <v>0.01</v>
      </c>
      <c r="I159" t="s">
        <v>26</v>
      </c>
      <c r="J159" s="2">
        <v>412535.37</v>
      </c>
      <c r="K159" t="s">
        <v>27</v>
      </c>
      <c r="L159">
        <v>195639</v>
      </c>
      <c r="M159" t="str">
        <f>"PGTEFT3045          INV51860"</f>
        <v>PGTEFT3045          INV51860</v>
      </c>
      <c r="O159">
        <v>1</v>
      </c>
    </row>
    <row r="160" spans="1:17" x14ac:dyDescent="0.25">
      <c r="A160">
        <v>8003879954</v>
      </c>
      <c r="B160">
        <v>5</v>
      </c>
      <c r="C160">
        <v>16032018</v>
      </c>
      <c r="D160">
        <v>489</v>
      </c>
      <c r="E160" t="str">
        <f>"OTHER TRANSFER FEE"</f>
        <v>OTHER TRANSFER FEE</v>
      </c>
      <c r="F160">
        <v>9938</v>
      </c>
      <c r="G160" t="str">
        <f>"27694811"</f>
        <v>27694811</v>
      </c>
      <c r="H160" s="2">
        <v>0.1</v>
      </c>
      <c r="I160" t="s">
        <v>26</v>
      </c>
      <c r="J160" s="2">
        <v>412535.38</v>
      </c>
      <c r="K160" t="s">
        <v>27</v>
      </c>
      <c r="L160">
        <v>195639</v>
      </c>
      <c r="M160" t="str">
        <f>"PGTEFT3045          INV51860"</f>
        <v>PGTEFT3045          INV51860</v>
      </c>
      <c r="O160">
        <v>1</v>
      </c>
    </row>
    <row r="161" spans="1:18" x14ac:dyDescent="0.25">
      <c r="A161">
        <v>8003879954</v>
      </c>
      <c r="B161">
        <v>4</v>
      </c>
      <c r="C161">
        <v>16032018</v>
      </c>
      <c r="D161">
        <v>345</v>
      </c>
      <c r="E161" t="str">
        <f>"TR TO SAVINGS"</f>
        <v>TR TO SAVINGS</v>
      </c>
      <c r="F161">
        <v>9938</v>
      </c>
      <c r="G161" t="str">
        <f>"27695597"</f>
        <v>27695597</v>
      </c>
      <c r="H161" s="2">
        <v>100</v>
      </c>
      <c r="I161" t="s">
        <v>26</v>
      </c>
      <c r="J161" s="2">
        <v>412535.48</v>
      </c>
      <c r="K161" t="s">
        <v>27</v>
      </c>
      <c r="L161">
        <v>195639</v>
      </c>
      <c r="M161" t="str">
        <f>"RELA ALLOWANCE-4/3/1 AZFALYZA BINTI ABDU"</f>
        <v>RELA ALLOWANCE-4/3/1 AZFALYZA BINTI ABDU</v>
      </c>
      <c r="O161">
        <v>1</v>
      </c>
      <c r="P161" t="str">
        <f>"PGTEFT3037"</f>
        <v>PGTEFT3037</v>
      </c>
      <c r="Q161" t="str">
        <f>"CLAIMS"</f>
        <v>CLAIMS</v>
      </c>
    </row>
    <row r="162" spans="1:18" x14ac:dyDescent="0.25">
      <c r="A162">
        <v>8003879954</v>
      </c>
      <c r="B162">
        <v>3</v>
      </c>
      <c r="C162">
        <v>16032018</v>
      </c>
      <c r="D162">
        <v>60</v>
      </c>
      <c r="E162" t="str">
        <f>"TR TO C/A"</f>
        <v>TR TO C/A</v>
      </c>
      <c r="F162">
        <v>9938</v>
      </c>
      <c r="G162" t="str">
        <f>"27695302"</f>
        <v>27695302</v>
      </c>
      <c r="H162" s="2">
        <v>1356.6</v>
      </c>
      <c r="I162" t="s">
        <v>26</v>
      </c>
      <c r="J162" s="2">
        <v>412635.48</v>
      </c>
      <c r="K162" t="s">
        <v>27</v>
      </c>
      <c r="L162">
        <v>195639</v>
      </c>
      <c r="M162" t="str">
        <f>"TW TACTICAL CAMPAIGN BUTTERFLY HOUSE (PG"</f>
        <v>TW TACTICAL CAMPAIGN BUTTERFLY HOUSE (PG</v>
      </c>
      <c r="O162">
        <v>1</v>
      </c>
      <c r="P162" t="str">
        <f>"PGTEFT3039"</f>
        <v>PGTEFT3039</v>
      </c>
      <c r="Q162" t="str">
        <f>"A072490"</f>
        <v>A072490</v>
      </c>
    </row>
    <row r="163" spans="1:18" x14ac:dyDescent="0.25">
      <c r="A163">
        <v>8003879954</v>
      </c>
      <c r="B163">
        <v>2</v>
      </c>
      <c r="C163">
        <v>16032018</v>
      </c>
      <c r="D163">
        <v>141</v>
      </c>
      <c r="E163" t="str">
        <f>"I-FUNDS TR FROM SA"</f>
        <v>I-FUNDS TR FROM SA</v>
      </c>
      <c r="F163">
        <v>4142</v>
      </c>
      <c r="G163" t="str">
        <f>"21577"</f>
        <v>21577</v>
      </c>
      <c r="H163" s="2">
        <v>49.4</v>
      </c>
      <c r="I163" t="s">
        <v>27</v>
      </c>
      <c r="J163" s="2">
        <v>413992.08</v>
      </c>
      <c r="K163" t="s">
        <v>27</v>
      </c>
      <c r="L163">
        <v>112419</v>
      </c>
      <c r="M163" t="str">
        <f>""</f>
        <v/>
      </c>
      <c r="O163">
        <v>1</v>
      </c>
      <c r="P163" t="str">
        <f>"New Delhi Celebrity"</f>
        <v>New Delhi Celebrity</v>
      </c>
      <c r="R163" t="str">
        <f>"LIM YEE HARNG"</f>
        <v>LIM YEE HARNG</v>
      </c>
    </row>
    <row r="164" spans="1:18" x14ac:dyDescent="0.25">
      <c r="A164">
        <v>8003879954</v>
      </c>
      <c r="B164">
        <v>1</v>
      </c>
      <c r="C164">
        <v>16032018</v>
      </c>
      <c r="D164">
        <v>141</v>
      </c>
      <c r="E164" t="str">
        <f>"I-FUNDS TR FROM SA"</f>
        <v>I-FUNDS TR FROM SA</v>
      </c>
      <c r="F164">
        <v>4142</v>
      </c>
      <c r="G164" t="str">
        <f>"20878"</f>
        <v>20878</v>
      </c>
      <c r="H164" s="2">
        <v>164.76</v>
      </c>
      <c r="I164" t="s">
        <v>27</v>
      </c>
      <c r="J164" s="2">
        <v>413942.68</v>
      </c>
      <c r="K164" t="s">
        <v>27</v>
      </c>
      <c r="L164">
        <v>112059</v>
      </c>
      <c r="M164" t="str">
        <f>""</f>
        <v/>
      </c>
      <c r="O164">
        <v>1</v>
      </c>
      <c r="P164" t="str">
        <f>"Qatar Ireland Agents"</f>
        <v>Qatar Ireland Agents</v>
      </c>
      <c r="R164" t="str">
        <f>"LIM YEE HARNG"</f>
        <v>LIM YEE HARNG</v>
      </c>
    </row>
    <row r="165" spans="1:18" x14ac:dyDescent="0.25">
      <c r="A165">
        <v>8003879954</v>
      </c>
      <c r="B165">
        <v>3</v>
      </c>
      <c r="C165">
        <v>15032018</v>
      </c>
      <c r="D165">
        <v>299</v>
      </c>
      <c r="E165" t="s">
        <v>508</v>
      </c>
      <c r="F165">
        <v>982</v>
      </c>
      <c r="G165" t="str">
        <f>"583143951"</f>
        <v>583143951</v>
      </c>
      <c r="H165" s="2">
        <v>1.2</v>
      </c>
      <c r="I165" t="s">
        <v>26</v>
      </c>
      <c r="J165" s="2">
        <v>413777.91999999998</v>
      </c>
      <c r="K165" t="s">
        <v>27</v>
      </c>
      <c r="L165">
        <v>134736</v>
      </c>
      <c r="M165" t="str">
        <f>"09825150318T5240                       D"</f>
        <v>09825150318T5240                       D</v>
      </c>
      <c r="O165">
        <v>1</v>
      </c>
    </row>
    <row r="166" spans="1:18" x14ac:dyDescent="0.25">
      <c r="A166">
        <v>8003879954</v>
      </c>
      <c r="B166">
        <v>2</v>
      </c>
      <c r="C166">
        <v>15032018</v>
      </c>
      <c r="D166">
        <v>415</v>
      </c>
      <c r="E166" s="14" t="str">
        <f>"TELEX/FAX"</f>
        <v>TELEX/FAX</v>
      </c>
      <c r="F166">
        <v>982</v>
      </c>
      <c r="G166" t="str">
        <f>"583143951"</f>
        <v>583143951</v>
      </c>
      <c r="H166" s="2">
        <v>20</v>
      </c>
      <c r="I166" t="s">
        <v>26</v>
      </c>
      <c r="J166" s="2">
        <v>413779.12</v>
      </c>
      <c r="K166" t="s">
        <v>27</v>
      </c>
      <c r="L166">
        <v>134736</v>
      </c>
      <c r="M166" t="str">
        <f>"09825150318T5240                       D"</f>
        <v>09825150318T5240                       D</v>
      </c>
      <c r="O166">
        <v>1</v>
      </c>
    </row>
    <row r="167" spans="1:18" x14ac:dyDescent="0.25">
      <c r="A167">
        <v>8003879954</v>
      </c>
      <c r="B167">
        <v>1</v>
      </c>
      <c r="C167">
        <v>15032018</v>
      </c>
      <c r="D167">
        <v>349</v>
      </c>
      <c r="E167" t="str">
        <f>"TR TO REMITT"</f>
        <v>TR TO REMITT</v>
      </c>
      <c r="F167">
        <v>982</v>
      </c>
      <c r="G167" t="str">
        <f>"583143951"</f>
        <v>583143951</v>
      </c>
      <c r="H167" s="2">
        <v>6791.01</v>
      </c>
      <c r="I167" t="s">
        <v>26</v>
      </c>
      <c r="J167" s="2">
        <v>413799.12</v>
      </c>
      <c r="K167" t="s">
        <v>27</v>
      </c>
      <c r="L167">
        <v>134736</v>
      </c>
      <c r="M167" t="str">
        <f>"09825150318T5240                       D"</f>
        <v>09825150318T5240                       D</v>
      </c>
      <c r="O167">
        <v>1</v>
      </c>
    </row>
    <row r="168" spans="1:18" x14ac:dyDescent="0.25">
      <c r="A168">
        <v>8003879954</v>
      </c>
      <c r="B168">
        <v>5</v>
      </c>
      <c r="C168">
        <v>14032018</v>
      </c>
      <c r="D168">
        <v>214</v>
      </c>
      <c r="E168" t="str">
        <f>"CLRG CHQ RTN"</f>
        <v>CLRG CHQ RTN</v>
      </c>
      <c r="F168">
        <v>9840</v>
      </c>
      <c r="G168" t="str">
        <f>"00688159"</f>
        <v>00688159</v>
      </c>
      <c r="H168" s="2">
        <v>899.49</v>
      </c>
      <c r="I168" t="s">
        <v>27</v>
      </c>
      <c r="J168" s="2">
        <v>420590.13</v>
      </c>
      <c r="K168" t="s">
        <v>27</v>
      </c>
      <c r="L168">
        <v>172511</v>
      </c>
      <c r="M168" t="str">
        <f>"Amount in Words/Figures Differ"</f>
        <v>Amount in Words/Figures Differ</v>
      </c>
      <c r="O168">
        <v>1</v>
      </c>
    </row>
    <row r="169" spans="1:18" x14ac:dyDescent="0.25">
      <c r="A169">
        <v>8003879954</v>
      </c>
      <c r="B169">
        <v>4</v>
      </c>
      <c r="C169">
        <v>14032018</v>
      </c>
      <c r="D169">
        <v>345</v>
      </c>
      <c r="E169" t="str">
        <f>"TR TO SAVINGS"</f>
        <v>TR TO SAVINGS</v>
      </c>
      <c r="F169">
        <v>9938</v>
      </c>
      <c r="G169" t="str">
        <f>"27587833"</f>
        <v>27587833</v>
      </c>
      <c r="H169" s="2">
        <v>3700</v>
      </c>
      <c r="I169" t="s">
        <v>26</v>
      </c>
      <c r="J169" s="2">
        <v>419690.64</v>
      </c>
      <c r="K169" t="s">
        <v>27</v>
      </c>
      <c r="L169">
        <v>165914</v>
      </c>
      <c r="M169" t="str">
        <f>"QATAR OMAN JOANNE KHOO ROU YAN"</f>
        <v>QATAR OMAN JOANNE KHOO ROU YAN</v>
      </c>
      <c r="O169">
        <v>1</v>
      </c>
      <c r="P169" t="str">
        <f>"PGTEFT3035"</f>
        <v>PGTEFT3035</v>
      </c>
      <c r="Q169" t="str">
        <f>"ADVANCE TAKEN"</f>
        <v>ADVANCE TAKEN</v>
      </c>
    </row>
    <row r="170" spans="1:18" x14ac:dyDescent="0.25">
      <c r="A170">
        <v>8003879954</v>
      </c>
      <c r="B170">
        <v>3</v>
      </c>
      <c r="C170">
        <v>14032018</v>
      </c>
      <c r="D170">
        <v>341</v>
      </c>
      <c r="E170" t="str">
        <f>"TR IBG"</f>
        <v>TR IBG</v>
      </c>
      <c r="F170">
        <v>9938</v>
      </c>
      <c r="G170" t="str">
        <f>"27587888"</f>
        <v>27587888</v>
      </c>
      <c r="H170" s="2">
        <v>3000</v>
      </c>
      <c r="I170" t="s">
        <v>26</v>
      </c>
      <c r="J170" s="2">
        <v>423390.64</v>
      </c>
      <c r="K170" t="s">
        <v>27</v>
      </c>
      <c r="L170">
        <v>165914</v>
      </c>
      <c r="M170" t="str">
        <f>"NORIZEIGHT VENTURES"</f>
        <v>NORIZEIGHT VENTURES</v>
      </c>
      <c r="O170">
        <v>1</v>
      </c>
      <c r="P170" t="str">
        <f>"PGTEFT3034"</f>
        <v>PGTEFT3034</v>
      </c>
      <c r="Q170" t="str">
        <f>"NV2292"</f>
        <v>NV2292</v>
      </c>
    </row>
    <row r="171" spans="1:18" x14ac:dyDescent="0.25">
      <c r="A171">
        <v>8003879954</v>
      </c>
      <c r="B171">
        <v>2</v>
      </c>
      <c r="C171">
        <v>14032018</v>
      </c>
      <c r="D171">
        <v>299</v>
      </c>
      <c r="E171" t="str">
        <f>"GST"</f>
        <v>GST</v>
      </c>
      <c r="F171">
        <v>9938</v>
      </c>
      <c r="G171" t="str">
        <f>"27587888"</f>
        <v>27587888</v>
      </c>
      <c r="H171" s="2">
        <v>0.01</v>
      </c>
      <c r="I171" t="s">
        <v>26</v>
      </c>
      <c r="J171" s="2">
        <v>426390.64</v>
      </c>
      <c r="K171" t="s">
        <v>27</v>
      </c>
      <c r="L171">
        <v>165914</v>
      </c>
      <c r="M171" t="str">
        <f>"PGTEFT3034          NV2292"</f>
        <v>PGTEFT3034          NV2292</v>
      </c>
      <c r="O171">
        <v>1</v>
      </c>
    </row>
    <row r="172" spans="1:18" x14ac:dyDescent="0.25">
      <c r="A172">
        <v>8003879954</v>
      </c>
      <c r="B172">
        <v>1</v>
      </c>
      <c r="C172">
        <v>14032018</v>
      </c>
      <c r="D172">
        <v>489</v>
      </c>
      <c r="E172" t="str">
        <f>"OTHER TRANSFER FEE"</f>
        <v>OTHER TRANSFER FEE</v>
      </c>
      <c r="F172">
        <v>9938</v>
      </c>
      <c r="G172" t="str">
        <f>"27587888"</f>
        <v>27587888</v>
      </c>
      <c r="H172" s="2">
        <v>0.1</v>
      </c>
      <c r="I172" t="s">
        <v>26</v>
      </c>
      <c r="J172" s="2">
        <v>426390.65</v>
      </c>
      <c r="K172" t="s">
        <v>27</v>
      </c>
      <c r="L172">
        <v>165914</v>
      </c>
      <c r="M172" t="str">
        <f>"PGTEFT3034          NV2292"</f>
        <v>PGTEFT3034          NV2292</v>
      </c>
      <c r="O172">
        <v>1</v>
      </c>
    </row>
    <row r="173" spans="1:18" x14ac:dyDescent="0.25">
      <c r="A173">
        <v>8003879954</v>
      </c>
      <c r="B173">
        <v>3</v>
      </c>
      <c r="C173">
        <v>13032018</v>
      </c>
      <c r="D173">
        <v>299</v>
      </c>
      <c r="E173" t="str">
        <f>"GST"</f>
        <v>GST</v>
      </c>
      <c r="H173" s="2">
        <v>0.03</v>
      </c>
      <c r="I173" t="s">
        <v>26</v>
      </c>
      <c r="J173" s="2">
        <v>426390.75</v>
      </c>
      <c r="K173" t="s">
        <v>27</v>
      </c>
      <c r="L173">
        <v>5356</v>
      </c>
      <c r="M173" t="str">
        <f>""</f>
        <v/>
      </c>
      <c r="O173">
        <v>1</v>
      </c>
    </row>
    <row r="174" spans="1:18" x14ac:dyDescent="0.25">
      <c r="A174">
        <v>8003879954</v>
      </c>
      <c r="B174">
        <v>2</v>
      </c>
      <c r="C174">
        <v>13032018</v>
      </c>
      <c r="D174">
        <v>819</v>
      </c>
      <c r="E174" t="str">
        <f>"CHQ PROCESSING FEE"</f>
        <v>CHQ PROCESSING FEE</v>
      </c>
      <c r="H174" s="2">
        <v>0.5</v>
      </c>
      <c r="I174" t="s">
        <v>26</v>
      </c>
      <c r="J174" s="2">
        <v>426390.78</v>
      </c>
      <c r="K174" t="s">
        <v>27</v>
      </c>
      <c r="L174">
        <v>5356</v>
      </c>
      <c r="M174" t="str">
        <f>""</f>
        <v/>
      </c>
      <c r="O174">
        <v>1</v>
      </c>
    </row>
    <row r="175" spans="1:18" x14ac:dyDescent="0.25">
      <c r="A175">
        <v>8003879954</v>
      </c>
      <c r="B175">
        <v>1</v>
      </c>
      <c r="C175">
        <v>13032018</v>
      </c>
      <c r="D175">
        <v>323</v>
      </c>
      <c r="E175" t="str">
        <f>"CLRG CHQ DR"</f>
        <v>CLRG CHQ DR</v>
      </c>
      <c r="F175">
        <v>0</v>
      </c>
      <c r="G175" t="str">
        <f>"00688158"</f>
        <v>00688158</v>
      </c>
      <c r="H175" s="2">
        <v>15197.22</v>
      </c>
      <c r="I175" t="s">
        <v>26</v>
      </c>
      <c r="J175" s="2">
        <v>426391.28</v>
      </c>
      <c r="K175" t="s">
        <v>27</v>
      </c>
      <c r="L175">
        <v>5246</v>
      </c>
      <c r="M175" t="str">
        <f>""</f>
        <v/>
      </c>
      <c r="O175">
        <v>1</v>
      </c>
    </row>
    <row r="176" spans="1:18" x14ac:dyDescent="0.25">
      <c r="A176">
        <v>8003879954</v>
      </c>
      <c r="B176">
        <v>4</v>
      </c>
      <c r="C176">
        <v>12032018</v>
      </c>
      <c r="D176">
        <v>299</v>
      </c>
      <c r="E176" t="str">
        <f>"GST"</f>
        <v>GST</v>
      </c>
      <c r="H176" s="2">
        <v>0.06</v>
      </c>
      <c r="I176" t="s">
        <v>26</v>
      </c>
      <c r="J176" s="2">
        <v>441588.5</v>
      </c>
      <c r="K176" t="s">
        <v>27</v>
      </c>
      <c r="L176">
        <v>5348</v>
      </c>
      <c r="M176" t="str">
        <f>""</f>
        <v/>
      </c>
      <c r="O176">
        <v>1</v>
      </c>
    </row>
    <row r="177" spans="1:18" x14ac:dyDescent="0.25">
      <c r="A177">
        <v>8003879954</v>
      </c>
      <c r="B177">
        <v>3</v>
      </c>
      <c r="C177">
        <v>12032018</v>
      </c>
      <c r="D177">
        <v>819</v>
      </c>
      <c r="E177" t="str">
        <f>"CHQ PROCESSING FEE"</f>
        <v>CHQ PROCESSING FEE</v>
      </c>
      <c r="H177" s="2">
        <v>1</v>
      </c>
      <c r="I177" t="s">
        <v>26</v>
      </c>
      <c r="J177" s="2">
        <v>441588.56</v>
      </c>
      <c r="K177" t="s">
        <v>27</v>
      </c>
      <c r="L177">
        <v>5348</v>
      </c>
      <c r="M177" t="str">
        <f>""</f>
        <v/>
      </c>
      <c r="O177">
        <v>1</v>
      </c>
    </row>
    <row r="178" spans="1:18" x14ac:dyDescent="0.25">
      <c r="A178">
        <v>8003879954</v>
      </c>
      <c r="B178">
        <v>2</v>
      </c>
      <c r="C178">
        <v>12032018</v>
      </c>
      <c r="D178">
        <v>321</v>
      </c>
      <c r="E178" t="str">
        <f>"HOUSE CHQ DR"</f>
        <v>HOUSE CHQ DR</v>
      </c>
      <c r="F178">
        <v>0</v>
      </c>
      <c r="G178" t="str">
        <f>"00688159"</f>
        <v>00688159</v>
      </c>
      <c r="H178" s="2">
        <v>899.49</v>
      </c>
      <c r="I178" t="s">
        <v>26</v>
      </c>
      <c r="J178" s="2">
        <v>441589.56</v>
      </c>
      <c r="K178" t="s">
        <v>27</v>
      </c>
      <c r="L178">
        <v>5147</v>
      </c>
      <c r="M178" t="str">
        <f>""</f>
        <v/>
      </c>
      <c r="O178">
        <v>1</v>
      </c>
    </row>
    <row r="179" spans="1:18" x14ac:dyDescent="0.25">
      <c r="A179">
        <v>8003879954</v>
      </c>
      <c r="B179">
        <v>1</v>
      </c>
      <c r="C179">
        <v>12032018</v>
      </c>
      <c r="D179">
        <v>321</v>
      </c>
      <c r="E179" t="str">
        <f>"HOUSE CHQ DR"</f>
        <v>HOUSE CHQ DR</v>
      </c>
      <c r="F179">
        <v>0</v>
      </c>
      <c r="G179" t="str">
        <f>"00688157"</f>
        <v>00688157</v>
      </c>
      <c r="H179" s="2">
        <v>11850</v>
      </c>
      <c r="I179" t="s">
        <v>26</v>
      </c>
      <c r="J179" s="2">
        <v>442489.05</v>
      </c>
      <c r="K179" t="s">
        <v>27</v>
      </c>
      <c r="L179">
        <v>5147</v>
      </c>
      <c r="M179" t="str">
        <f>""</f>
        <v/>
      </c>
      <c r="O179">
        <v>1</v>
      </c>
    </row>
    <row r="180" spans="1:18" x14ac:dyDescent="0.25">
      <c r="A180">
        <v>8003879954</v>
      </c>
      <c r="B180">
        <v>5</v>
      </c>
      <c r="C180">
        <v>9032018</v>
      </c>
      <c r="D180">
        <v>299</v>
      </c>
      <c r="E180" t="str">
        <f>"GST"</f>
        <v>GST</v>
      </c>
      <c r="H180" s="2">
        <v>0.03</v>
      </c>
      <c r="I180" t="s">
        <v>26</v>
      </c>
      <c r="J180" s="2">
        <v>454339.05</v>
      </c>
      <c r="K180" t="s">
        <v>27</v>
      </c>
      <c r="L180">
        <v>5419</v>
      </c>
      <c r="M180" t="str">
        <f>""</f>
        <v/>
      </c>
      <c r="O180">
        <v>1</v>
      </c>
    </row>
    <row r="181" spans="1:18" x14ac:dyDescent="0.25">
      <c r="A181">
        <v>8003879954</v>
      </c>
      <c r="B181">
        <v>4</v>
      </c>
      <c r="C181">
        <v>9032018</v>
      </c>
      <c r="D181">
        <v>819</v>
      </c>
      <c r="E181" t="str">
        <f>"CHQ PROCESSING FEE"</f>
        <v>CHQ PROCESSING FEE</v>
      </c>
      <c r="H181" s="2">
        <v>0.5</v>
      </c>
      <c r="I181" t="s">
        <v>26</v>
      </c>
      <c r="J181" s="2">
        <v>454339.08</v>
      </c>
      <c r="K181" t="s">
        <v>27</v>
      </c>
      <c r="L181">
        <v>5419</v>
      </c>
      <c r="M181" t="str">
        <f>""</f>
        <v/>
      </c>
      <c r="O181">
        <v>1</v>
      </c>
    </row>
    <row r="182" spans="1:18" x14ac:dyDescent="0.25">
      <c r="A182">
        <v>8003879954</v>
      </c>
      <c r="B182">
        <v>3</v>
      </c>
      <c r="C182">
        <v>9032018</v>
      </c>
      <c r="D182">
        <v>323</v>
      </c>
      <c r="E182" t="str">
        <f>"CLRG CHQ DR"</f>
        <v>CLRG CHQ DR</v>
      </c>
      <c r="F182">
        <v>0</v>
      </c>
      <c r="G182" t="str">
        <f>"00688152"</f>
        <v>00688152</v>
      </c>
      <c r="H182" s="2">
        <v>10667.84</v>
      </c>
      <c r="I182" t="s">
        <v>26</v>
      </c>
      <c r="J182" s="2">
        <v>454339.58</v>
      </c>
      <c r="K182" t="s">
        <v>27</v>
      </c>
      <c r="L182">
        <v>5245</v>
      </c>
      <c r="M182" t="str">
        <f>""</f>
        <v/>
      </c>
      <c r="O182">
        <v>1</v>
      </c>
    </row>
    <row r="183" spans="1:18" x14ac:dyDescent="0.25">
      <c r="A183">
        <v>8003879954</v>
      </c>
      <c r="B183">
        <v>2</v>
      </c>
      <c r="C183">
        <v>9032018</v>
      </c>
      <c r="D183">
        <v>5</v>
      </c>
      <c r="E183" t="str">
        <f>"REMITTANCE CR"</f>
        <v>REMITTANCE CR</v>
      </c>
      <c r="H183" s="2">
        <v>150000</v>
      </c>
      <c r="I183" t="s">
        <v>27</v>
      </c>
      <c r="J183" s="2">
        <v>465007.42</v>
      </c>
      <c r="K183" t="s">
        <v>27</v>
      </c>
      <c r="L183">
        <v>161507</v>
      </c>
      <c r="M183" t="str">
        <f>"/ROC/KLMP0002932RES RHB ASSET MANAGEMENT"</f>
        <v>/ROC/KLMP0002932RES RHB ASSET MANAGEMENT</v>
      </c>
      <c r="O183">
        <v>1</v>
      </c>
      <c r="P183" t="str">
        <f>"KLMP0002932"</f>
        <v>KLMP0002932</v>
      </c>
      <c r="Q183" t="str">
        <f>"RESIDENT"</f>
        <v>RESIDENT</v>
      </c>
      <c r="R183" t="str">
        <f>"RHB ASSET MANAGEMENT"</f>
        <v>RHB ASSET MANAGEMENT</v>
      </c>
    </row>
    <row r="184" spans="1:18" x14ac:dyDescent="0.25">
      <c r="A184">
        <v>8003879954</v>
      </c>
      <c r="B184">
        <v>1</v>
      </c>
      <c r="C184">
        <v>9032018</v>
      </c>
      <c r="D184">
        <v>141</v>
      </c>
      <c r="E184" t="str">
        <f>"I-FUNDS TR FROM SA"</f>
        <v>I-FUNDS TR FROM SA</v>
      </c>
      <c r="F184">
        <v>4129</v>
      </c>
      <c r="G184" t="str">
        <f>"44406"</f>
        <v>44406</v>
      </c>
      <c r="H184" s="2">
        <v>710</v>
      </c>
      <c r="I184" t="s">
        <v>27</v>
      </c>
      <c r="J184" s="2">
        <v>315007.42</v>
      </c>
      <c r="K184" t="s">
        <v>27</v>
      </c>
      <c r="L184">
        <v>112410</v>
      </c>
      <c r="M184" t="str">
        <f>""</f>
        <v/>
      </c>
      <c r="O184">
        <v>1</v>
      </c>
      <c r="P184" t="str">
        <f>"Balance from RELA"</f>
        <v>Balance from RELA</v>
      </c>
      <c r="R184" t="str">
        <f>"AZFALYZA BINTI ABDUL"</f>
        <v>AZFALYZA BINTI ABDUL</v>
      </c>
    </row>
    <row r="185" spans="1:18" x14ac:dyDescent="0.25">
      <c r="A185">
        <v>8003879954</v>
      </c>
      <c r="B185">
        <v>11</v>
      </c>
      <c r="C185">
        <v>8032018</v>
      </c>
      <c r="D185">
        <v>299</v>
      </c>
      <c r="E185" t="s">
        <v>30</v>
      </c>
      <c r="H185" s="2">
        <v>0.03</v>
      </c>
      <c r="I185" t="s">
        <v>26</v>
      </c>
      <c r="J185" s="2">
        <v>314297.42</v>
      </c>
      <c r="K185" t="s">
        <v>27</v>
      </c>
      <c r="L185">
        <v>5508</v>
      </c>
      <c r="M185" t="s">
        <v>32</v>
      </c>
      <c r="O185">
        <v>1</v>
      </c>
    </row>
    <row r="186" spans="1:18" x14ac:dyDescent="0.25">
      <c r="A186">
        <v>8003879954</v>
      </c>
      <c r="B186">
        <v>10</v>
      </c>
      <c r="C186">
        <v>8032018</v>
      </c>
      <c r="D186">
        <v>819</v>
      </c>
      <c r="E186" t="s">
        <v>35</v>
      </c>
      <c r="H186" s="2">
        <v>0.5</v>
      </c>
      <c r="I186" t="s">
        <v>26</v>
      </c>
      <c r="J186" s="2">
        <v>314297.45</v>
      </c>
      <c r="K186" t="s">
        <v>27</v>
      </c>
      <c r="L186">
        <v>5508</v>
      </c>
      <c r="M186" t="s">
        <v>32</v>
      </c>
      <c r="O186">
        <v>1</v>
      </c>
    </row>
    <row r="187" spans="1:18" x14ac:dyDescent="0.25">
      <c r="A187">
        <v>8003879954</v>
      </c>
      <c r="B187">
        <v>9</v>
      </c>
      <c r="C187">
        <v>8032018</v>
      </c>
      <c r="D187">
        <v>299</v>
      </c>
      <c r="E187" t="s">
        <v>30</v>
      </c>
      <c r="H187" s="2">
        <v>0.15</v>
      </c>
      <c r="I187" t="s">
        <v>26</v>
      </c>
      <c r="J187" s="2">
        <v>314297.95</v>
      </c>
      <c r="K187" t="s">
        <v>27</v>
      </c>
      <c r="L187">
        <v>5507</v>
      </c>
      <c r="M187" t="s">
        <v>32</v>
      </c>
      <c r="O187">
        <v>1</v>
      </c>
    </row>
    <row r="188" spans="1:18" x14ac:dyDescent="0.25">
      <c r="A188">
        <v>8003879954</v>
      </c>
      <c r="B188">
        <v>8</v>
      </c>
      <c r="C188">
        <v>8032018</v>
      </c>
      <c r="D188">
        <v>819</v>
      </c>
      <c r="E188" t="s">
        <v>35</v>
      </c>
      <c r="H188" s="2">
        <v>2.5</v>
      </c>
      <c r="I188" t="s">
        <v>26</v>
      </c>
      <c r="J188" s="2">
        <v>314298.09999999998</v>
      </c>
      <c r="K188" t="s">
        <v>27</v>
      </c>
      <c r="L188">
        <v>5507</v>
      </c>
      <c r="M188" t="s">
        <v>32</v>
      </c>
      <c r="O188">
        <v>1</v>
      </c>
    </row>
    <row r="189" spans="1:18" x14ac:dyDescent="0.25">
      <c r="A189">
        <v>8003879954</v>
      </c>
      <c r="B189">
        <v>7</v>
      </c>
      <c r="C189">
        <v>8032018</v>
      </c>
      <c r="D189">
        <v>323</v>
      </c>
      <c r="E189" t="s">
        <v>50</v>
      </c>
      <c r="F189">
        <v>0</v>
      </c>
      <c r="G189" t="s">
        <v>384</v>
      </c>
      <c r="H189" s="2">
        <v>30560</v>
      </c>
      <c r="I189" t="s">
        <v>26</v>
      </c>
      <c r="J189" s="2">
        <v>314300.59999999998</v>
      </c>
      <c r="K189" t="s">
        <v>27</v>
      </c>
      <c r="L189">
        <v>5353</v>
      </c>
      <c r="M189" t="s">
        <v>32</v>
      </c>
      <c r="O189">
        <v>1</v>
      </c>
    </row>
    <row r="190" spans="1:18" x14ac:dyDescent="0.25">
      <c r="A190">
        <v>8003879954</v>
      </c>
      <c r="B190">
        <v>6</v>
      </c>
      <c r="C190">
        <v>8032018</v>
      </c>
      <c r="D190">
        <v>321</v>
      </c>
      <c r="E190" t="s">
        <v>36</v>
      </c>
      <c r="F190">
        <v>0</v>
      </c>
      <c r="G190" t="s">
        <v>385</v>
      </c>
      <c r="H190" s="2">
        <v>501.5</v>
      </c>
      <c r="I190" t="s">
        <v>26</v>
      </c>
      <c r="J190" s="2">
        <v>344860.6</v>
      </c>
      <c r="K190" t="s">
        <v>27</v>
      </c>
      <c r="L190">
        <v>5353</v>
      </c>
      <c r="M190" t="s">
        <v>32</v>
      </c>
      <c r="O190">
        <v>1</v>
      </c>
    </row>
    <row r="191" spans="1:18" x14ac:dyDescent="0.25">
      <c r="A191">
        <v>8003879954</v>
      </c>
      <c r="B191">
        <v>5</v>
      </c>
      <c r="C191">
        <v>8032018</v>
      </c>
      <c r="D191">
        <v>323</v>
      </c>
      <c r="E191" t="s">
        <v>50</v>
      </c>
      <c r="F191">
        <v>0</v>
      </c>
      <c r="G191" t="s">
        <v>386</v>
      </c>
      <c r="H191" s="2">
        <v>170</v>
      </c>
      <c r="I191" t="s">
        <v>26</v>
      </c>
      <c r="J191" s="2">
        <v>345362.1</v>
      </c>
      <c r="K191" t="s">
        <v>27</v>
      </c>
      <c r="L191">
        <v>5353</v>
      </c>
      <c r="M191" t="s">
        <v>32</v>
      </c>
      <c r="O191">
        <v>1</v>
      </c>
    </row>
    <row r="192" spans="1:18" x14ac:dyDescent="0.25">
      <c r="A192">
        <v>8003879954</v>
      </c>
      <c r="B192">
        <v>4</v>
      </c>
      <c r="C192">
        <v>8032018</v>
      </c>
      <c r="D192">
        <v>323</v>
      </c>
      <c r="E192" t="s">
        <v>50</v>
      </c>
      <c r="F192">
        <v>0</v>
      </c>
      <c r="G192" t="s">
        <v>387</v>
      </c>
      <c r="H192" s="2">
        <v>255.4</v>
      </c>
      <c r="I192" t="s">
        <v>26</v>
      </c>
      <c r="J192" s="2">
        <v>345532.1</v>
      </c>
      <c r="K192" t="s">
        <v>27</v>
      </c>
      <c r="L192">
        <v>5353</v>
      </c>
      <c r="M192" t="s">
        <v>32</v>
      </c>
      <c r="O192">
        <v>1</v>
      </c>
    </row>
    <row r="193" spans="1:18" x14ac:dyDescent="0.25">
      <c r="A193">
        <v>8003879954</v>
      </c>
      <c r="B193">
        <v>3</v>
      </c>
      <c r="C193">
        <v>8032018</v>
      </c>
      <c r="D193">
        <v>323</v>
      </c>
      <c r="E193" t="s">
        <v>50</v>
      </c>
      <c r="F193">
        <v>0</v>
      </c>
      <c r="G193" t="s">
        <v>388</v>
      </c>
      <c r="H193" s="2">
        <v>1503.6</v>
      </c>
      <c r="I193" t="s">
        <v>26</v>
      </c>
      <c r="J193" s="2">
        <v>345787.5</v>
      </c>
      <c r="K193" t="s">
        <v>27</v>
      </c>
      <c r="L193">
        <v>5353</v>
      </c>
      <c r="M193" t="s">
        <v>32</v>
      </c>
      <c r="O193">
        <v>1</v>
      </c>
    </row>
    <row r="194" spans="1:18" x14ac:dyDescent="0.25">
      <c r="A194">
        <v>8003879954</v>
      </c>
      <c r="B194">
        <v>2</v>
      </c>
      <c r="C194">
        <v>8032018</v>
      </c>
      <c r="D194">
        <v>323</v>
      </c>
      <c r="E194" t="s">
        <v>50</v>
      </c>
      <c r="F194">
        <v>0</v>
      </c>
      <c r="G194" t="s">
        <v>389</v>
      </c>
      <c r="H194" s="2">
        <v>21731</v>
      </c>
      <c r="I194" t="s">
        <v>26</v>
      </c>
      <c r="J194" s="2">
        <v>347291.1</v>
      </c>
      <c r="K194" t="s">
        <v>27</v>
      </c>
      <c r="L194">
        <v>5353</v>
      </c>
      <c r="M194" t="s">
        <v>32</v>
      </c>
      <c r="O194">
        <v>1</v>
      </c>
    </row>
    <row r="195" spans="1:18" x14ac:dyDescent="0.25">
      <c r="A195">
        <v>8003879954</v>
      </c>
      <c r="B195">
        <v>1</v>
      </c>
      <c r="C195">
        <v>8032018</v>
      </c>
      <c r="D195">
        <v>5</v>
      </c>
      <c r="E195" t="s">
        <v>54</v>
      </c>
      <c r="H195" s="2">
        <v>250000</v>
      </c>
      <c r="I195" t="s">
        <v>27</v>
      </c>
      <c r="J195" s="2">
        <v>369022.1</v>
      </c>
      <c r="K195" t="s">
        <v>27</v>
      </c>
      <c r="L195">
        <v>91129</v>
      </c>
      <c r="M195" t="s">
        <v>390</v>
      </c>
      <c r="O195">
        <v>1</v>
      </c>
      <c r="P195" t="s">
        <v>391</v>
      </c>
      <c r="Q195" t="s">
        <v>381</v>
      </c>
      <c r="R195" t="s">
        <v>382</v>
      </c>
    </row>
    <row r="196" spans="1:18" x14ac:dyDescent="0.25">
      <c r="A196">
        <v>8003879954</v>
      </c>
      <c r="B196">
        <v>3</v>
      </c>
      <c r="C196">
        <v>7032018</v>
      </c>
      <c r="D196">
        <v>299</v>
      </c>
      <c r="E196" t="s">
        <v>30</v>
      </c>
      <c r="H196" s="2">
        <v>0.03</v>
      </c>
      <c r="I196" t="s">
        <v>26</v>
      </c>
      <c r="J196" s="2">
        <v>119022.1</v>
      </c>
      <c r="K196" t="s">
        <v>27</v>
      </c>
      <c r="L196">
        <v>5517</v>
      </c>
      <c r="M196" t="s">
        <v>32</v>
      </c>
      <c r="O196">
        <v>1</v>
      </c>
    </row>
    <row r="197" spans="1:18" x14ac:dyDescent="0.25">
      <c r="A197">
        <v>8003879954</v>
      </c>
      <c r="B197">
        <v>2</v>
      </c>
      <c r="C197">
        <v>7032018</v>
      </c>
      <c r="D197">
        <v>819</v>
      </c>
      <c r="E197" t="s">
        <v>35</v>
      </c>
      <c r="H197" s="2">
        <v>0.5</v>
      </c>
      <c r="I197" t="s">
        <v>26</v>
      </c>
      <c r="J197" s="2">
        <v>119022.13</v>
      </c>
      <c r="K197" t="s">
        <v>27</v>
      </c>
      <c r="L197">
        <v>5517</v>
      </c>
      <c r="M197" t="s">
        <v>32</v>
      </c>
      <c r="O197">
        <v>1</v>
      </c>
    </row>
    <row r="198" spans="1:18" x14ac:dyDescent="0.25">
      <c r="A198">
        <v>8003879954</v>
      </c>
      <c r="B198">
        <v>1</v>
      </c>
      <c r="C198">
        <v>7032018</v>
      </c>
      <c r="D198">
        <v>323</v>
      </c>
      <c r="E198" t="s">
        <v>50</v>
      </c>
      <c r="F198">
        <v>0</v>
      </c>
      <c r="G198" t="s">
        <v>392</v>
      </c>
      <c r="H198" s="2">
        <v>11251.8</v>
      </c>
      <c r="I198" t="s">
        <v>26</v>
      </c>
      <c r="J198" s="2">
        <v>119022.63</v>
      </c>
      <c r="K198" t="s">
        <v>27</v>
      </c>
      <c r="L198">
        <v>5407</v>
      </c>
      <c r="M198" t="s">
        <v>32</v>
      </c>
      <c r="O198">
        <v>1</v>
      </c>
    </row>
    <row r="199" spans="1:18" x14ac:dyDescent="0.25">
      <c r="A199">
        <v>8003879954</v>
      </c>
      <c r="B199">
        <v>59</v>
      </c>
      <c r="C199">
        <v>6032018</v>
      </c>
      <c r="D199">
        <v>299</v>
      </c>
      <c r="E199" t="s">
        <v>30</v>
      </c>
      <c r="H199" s="2">
        <v>0.06</v>
      </c>
      <c r="I199" t="s">
        <v>26</v>
      </c>
      <c r="J199" s="2">
        <v>130274.43</v>
      </c>
      <c r="K199" t="s">
        <v>27</v>
      </c>
      <c r="L199">
        <v>11516</v>
      </c>
      <c r="M199" t="s">
        <v>32</v>
      </c>
      <c r="O199">
        <v>1</v>
      </c>
    </row>
    <row r="200" spans="1:18" x14ac:dyDescent="0.25">
      <c r="A200">
        <v>8003879954</v>
      </c>
      <c r="B200">
        <v>58</v>
      </c>
      <c r="C200">
        <v>6032018</v>
      </c>
      <c r="D200">
        <v>819</v>
      </c>
      <c r="E200" t="s">
        <v>35</v>
      </c>
      <c r="H200" s="2">
        <v>1</v>
      </c>
      <c r="I200" t="s">
        <v>26</v>
      </c>
      <c r="J200" s="2">
        <v>130274.49</v>
      </c>
      <c r="K200" t="s">
        <v>27</v>
      </c>
      <c r="L200">
        <v>11516</v>
      </c>
      <c r="M200" t="s">
        <v>32</v>
      </c>
      <c r="O200">
        <v>1</v>
      </c>
    </row>
    <row r="201" spans="1:18" x14ac:dyDescent="0.25">
      <c r="A201">
        <v>8003879954</v>
      </c>
      <c r="B201">
        <v>57</v>
      </c>
      <c r="C201">
        <v>6032018</v>
      </c>
      <c r="D201">
        <v>299</v>
      </c>
      <c r="E201" t="s">
        <v>30</v>
      </c>
      <c r="H201" s="2">
        <v>0.03</v>
      </c>
      <c r="I201" t="s">
        <v>26</v>
      </c>
      <c r="J201" s="2">
        <v>130275.49</v>
      </c>
      <c r="K201" t="s">
        <v>27</v>
      </c>
      <c r="L201">
        <v>11516</v>
      </c>
      <c r="M201" t="s">
        <v>32</v>
      </c>
      <c r="O201">
        <v>1</v>
      </c>
    </row>
    <row r="202" spans="1:18" x14ac:dyDescent="0.25">
      <c r="A202">
        <v>8003879954</v>
      </c>
      <c r="B202">
        <v>56</v>
      </c>
      <c r="C202">
        <v>6032018</v>
      </c>
      <c r="D202">
        <v>819</v>
      </c>
      <c r="E202" t="s">
        <v>35</v>
      </c>
      <c r="H202" s="2">
        <v>0.5</v>
      </c>
      <c r="I202" t="s">
        <v>26</v>
      </c>
      <c r="J202" s="2">
        <v>130275.52</v>
      </c>
      <c r="K202" t="s">
        <v>27</v>
      </c>
      <c r="L202">
        <v>11516</v>
      </c>
      <c r="M202" t="s">
        <v>32</v>
      </c>
      <c r="O202">
        <v>1</v>
      </c>
    </row>
    <row r="203" spans="1:18" x14ac:dyDescent="0.25">
      <c r="A203">
        <v>8003879954</v>
      </c>
      <c r="B203">
        <v>55</v>
      </c>
      <c r="C203">
        <v>6032018</v>
      </c>
      <c r="D203">
        <v>321</v>
      </c>
      <c r="E203" t="s">
        <v>36</v>
      </c>
      <c r="F203">
        <v>0</v>
      </c>
      <c r="G203" t="s">
        <v>393</v>
      </c>
      <c r="H203" s="2">
        <v>39856</v>
      </c>
      <c r="I203" t="s">
        <v>26</v>
      </c>
      <c r="J203" s="2">
        <v>130276.02</v>
      </c>
      <c r="K203" t="s">
        <v>27</v>
      </c>
      <c r="L203">
        <v>11407</v>
      </c>
      <c r="M203" t="s">
        <v>32</v>
      </c>
      <c r="O203">
        <v>1</v>
      </c>
    </row>
    <row r="204" spans="1:18" x14ac:dyDescent="0.25">
      <c r="A204">
        <v>8003879954</v>
      </c>
      <c r="B204">
        <v>54</v>
      </c>
      <c r="C204">
        <v>6032018</v>
      </c>
      <c r="D204">
        <v>323</v>
      </c>
      <c r="E204" t="s">
        <v>50</v>
      </c>
      <c r="F204">
        <v>0</v>
      </c>
      <c r="G204" t="s">
        <v>394</v>
      </c>
      <c r="H204" s="2">
        <v>22523.94</v>
      </c>
      <c r="I204" t="s">
        <v>26</v>
      </c>
      <c r="J204" s="2">
        <v>170132.02</v>
      </c>
      <c r="K204" t="s">
        <v>27</v>
      </c>
      <c r="L204">
        <v>11407</v>
      </c>
      <c r="M204" t="s">
        <v>32</v>
      </c>
      <c r="O204">
        <v>1</v>
      </c>
    </row>
    <row r="205" spans="1:18" x14ac:dyDescent="0.25">
      <c r="A205">
        <v>8003879954</v>
      </c>
      <c r="B205">
        <v>53</v>
      </c>
      <c r="C205">
        <v>6032018</v>
      </c>
      <c r="D205">
        <v>321</v>
      </c>
      <c r="E205" t="s">
        <v>36</v>
      </c>
      <c r="F205">
        <v>0</v>
      </c>
      <c r="G205" t="s">
        <v>395</v>
      </c>
      <c r="H205" s="2">
        <v>4609</v>
      </c>
      <c r="I205" t="s">
        <v>26</v>
      </c>
      <c r="J205" s="2">
        <v>192655.96</v>
      </c>
      <c r="K205" t="s">
        <v>27</v>
      </c>
      <c r="L205">
        <v>11407</v>
      </c>
      <c r="M205" t="s">
        <v>32</v>
      </c>
      <c r="O205">
        <v>1</v>
      </c>
    </row>
    <row r="206" spans="1:18" x14ac:dyDescent="0.25">
      <c r="A206">
        <v>8003879954</v>
      </c>
      <c r="B206">
        <v>52</v>
      </c>
      <c r="C206">
        <v>6032018</v>
      </c>
      <c r="D206">
        <v>60</v>
      </c>
      <c r="E206" t="s">
        <v>37</v>
      </c>
      <c r="F206">
        <v>9938</v>
      </c>
      <c r="G206" t="s">
        <v>396</v>
      </c>
      <c r="H206" s="2">
        <v>711.55</v>
      </c>
      <c r="I206" t="s">
        <v>26</v>
      </c>
      <c r="J206" s="2">
        <v>197264.96</v>
      </c>
      <c r="K206" t="s">
        <v>27</v>
      </c>
      <c r="L206">
        <v>175658</v>
      </c>
      <c r="M206" t="s">
        <v>397</v>
      </c>
      <c r="O206">
        <v>1</v>
      </c>
      <c r="P206" t="s">
        <v>398</v>
      </c>
      <c r="Q206" t="s">
        <v>52</v>
      </c>
    </row>
    <row r="207" spans="1:18" x14ac:dyDescent="0.25">
      <c r="A207">
        <v>8003879954</v>
      </c>
      <c r="B207">
        <v>51</v>
      </c>
      <c r="C207">
        <v>6032018</v>
      </c>
      <c r="D207">
        <v>341</v>
      </c>
      <c r="E207" t="s">
        <v>25</v>
      </c>
      <c r="F207">
        <v>9938</v>
      </c>
      <c r="G207" t="s">
        <v>399</v>
      </c>
      <c r="H207" s="2">
        <v>902</v>
      </c>
      <c r="I207" t="s">
        <v>26</v>
      </c>
      <c r="J207" s="2">
        <v>197976.51</v>
      </c>
      <c r="K207" t="s">
        <v>27</v>
      </c>
      <c r="L207">
        <v>175559</v>
      </c>
      <c r="M207" t="s">
        <v>400</v>
      </c>
      <c r="O207">
        <v>1</v>
      </c>
      <c r="P207" t="s">
        <v>401</v>
      </c>
      <c r="Q207" t="s">
        <v>402</v>
      </c>
    </row>
    <row r="208" spans="1:18" x14ac:dyDescent="0.25">
      <c r="A208">
        <v>8003879954</v>
      </c>
      <c r="B208">
        <v>50</v>
      </c>
      <c r="C208">
        <v>6032018</v>
      </c>
      <c r="D208">
        <v>299</v>
      </c>
      <c r="E208" t="s">
        <v>30</v>
      </c>
      <c r="F208">
        <v>9938</v>
      </c>
      <c r="G208" t="s">
        <v>399</v>
      </c>
      <c r="H208" s="2">
        <v>0.01</v>
      </c>
      <c r="I208" t="s">
        <v>26</v>
      </c>
      <c r="J208" s="2">
        <v>198878.51</v>
      </c>
      <c r="K208" t="s">
        <v>27</v>
      </c>
      <c r="L208">
        <v>175559</v>
      </c>
      <c r="M208" t="s">
        <v>403</v>
      </c>
      <c r="O208">
        <v>1</v>
      </c>
    </row>
    <row r="209" spans="1:17" x14ac:dyDescent="0.25">
      <c r="A209">
        <v>8003879954</v>
      </c>
      <c r="B209">
        <v>49</v>
      </c>
      <c r="C209">
        <v>6032018</v>
      </c>
      <c r="D209">
        <v>489</v>
      </c>
      <c r="E209" t="s">
        <v>31</v>
      </c>
      <c r="F209">
        <v>9938</v>
      </c>
      <c r="G209" t="s">
        <v>399</v>
      </c>
      <c r="H209" s="2">
        <v>0.1</v>
      </c>
      <c r="I209" t="s">
        <v>26</v>
      </c>
      <c r="J209" s="2">
        <v>198878.52</v>
      </c>
      <c r="K209" t="s">
        <v>27</v>
      </c>
      <c r="L209">
        <v>175559</v>
      </c>
      <c r="M209" t="s">
        <v>403</v>
      </c>
      <c r="O209">
        <v>1</v>
      </c>
    </row>
    <row r="210" spans="1:17" x14ac:dyDescent="0.25">
      <c r="A210">
        <v>8003879954</v>
      </c>
      <c r="B210">
        <v>48</v>
      </c>
      <c r="C210">
        <v>6032018</v>
      </c>
      <c r="D210">
        <v>341</v>
      </c>
      <c r="E210" t="s">
        <v>25</v>
      </c>
      <c r="F210">
        <v>9938</v>
      </c>
      <c r="G210" t="s">
        <v>404</v>
      </c>
      <c r="H210" s="2">
        <v>360</v>
      </c>
      <c r="I210" t="s">
        <v>26</v>
      </c>
      <c r="J210" s="2">
        <v>198878.62</v>
      </c>
      <c r="K210" t="s">
        <v>27</v>
      </c>
      <c r="L210">
        <v>175600</v>
      </c>
      <c r="M210" t="s">
        <v>245</v>
      </c>
      <c r="O210">
        <v>1</v>
      </c>
      <c r="P210" t="s">
        <v>405</v>
      </c>
      <c r="Q210" t="s">
        <v>44</v>
      </c>
    </row>
    <row r="211" spans="1:17" x14ac:dyDescent="0.25">
      <c r="A211">
        <v>8003879954</v>
      </c>
      <c r="B211">
        <v>47</v>
      </c>
      <c r="C211">
        <v>6032018</v>
      </c>
      <c r="D211">
        <v>299</v>
      </c>
      <c r="E211" t="s">
        <v>30</v>
      </c>
      <c r="F211">
        <v>9938</v>
      </c>
      <c r="G211" t="s">
        <v>404</v>
      </c>
      <c r="H211" s="2">
        <v>0.01</v>
      </c>
      <c r="I211" t="s">
        <v>26</v>
      </c>
      <c r="J211" s="2">
        <v>199238.62</v>
      </c>
      <c r="K211" t="s">
        <v>27</v>
      </c>
      <c r="L211">
        <v>175600</v>
      </c>
      <c r="M211" t="s">
        <v>406</v>
      </c>
      <c r="O211">
        <v>1</v>
      </c>
    </row>
    <row r="212" spans="1:17" x14ac:dyDescent="0.25">
      <c r="A212">
        <v>8003879954</v>
      </c>
      <c r="B212">
        <v>46</v>
      </c>
      <c r="C212">
        <v>6032018</v>
      </c>
      <c r="D212">
        <v>489</v>
      </c>
      <c r="E212" t="s">
        <v>31</v>
      </c>
      <c r="F212">
        <v>9938</v>
      </c>
      <c r="G212" t="s">
        <v>404</v>
      </c>
      <c r="H212" s="2">
        <v>0.1</v>
      </c>
      <c r="I212" t="s">
        <v>26</v>
      </c>
      <c r="J212" s="2">
        <v>199238.63</v>
      </c>
      <c r="K212" t="s">
        <v>27</v>
      </c>
      <c r="L212">
        <v>175600</v>
      </c>
      <c r="M212" t="s">
        <v>406</v>
      </c>
      <c r="O212">
        <v>1</v>
      </c>
    </row>
    <row r="213" spans="1:17" x14ac:dyDescent="0.25">
      <c r="A213">
        <v>8003879954</v>
      </c>
      <c r="B213">
        <v>45</v>
      </c>
      <c r="C213">
        <v>6032018</v>
      </c>
      <c r="D213">
        <v>341</v>
      </c>
      <c r="E213" t="s">
        <v>25</v>
      </c>
      <c r="F213">
        <v>9938</v>
      </c>
      <c r="G213" t="s">
        <v>407</v>
      </c>
      <c r="H213" s="2">
        <v>1365.02</v>
      </c>
      <c r="I213" t="s">
        <v>26</v>
      </c>
      <c r="J213" s="2">
        <v>199238.73</v>
      </c>
      <c r="K213" t="s">
        <v>27</v>
      </c>
      <c r="L213">
        <v>175558</v>
      </c>
      <c r="M213" t="s">
        <v>408</v>
      </c>
      <c r="O213">
        <v>1</v>
      </c>
      <c r="P213" t="s">
        <v>409</v>
      </c>
      <c r="Q213" t="s">
        <v>410</v>
      </c>
    </row>
    <row r="214" spans="1:17" x14ac:dyDescent="0.25">
      <c r="A214">
        <v>8003879954</v>
      </c>
      <c r="B214">
        <v>44</v>
      </c>
      <c r="C214">
        <v>6032018</v>
      </c>
      <c r="D214">
        <v>299</v>
      </c>
      <c r="E214" t="s">
        <v>30</v>
      </c>
      <c r="F214">
        <v>9938</v>
      </c>
      <c r="G214" t="s">
        <v>407</v>
      </c>
      <c r="H214" s="2">
        <v>0.01</v>
      </c>
      <c r="I214" t="s">
        <v>26</v>
      </c>
      <c r="J214" s="2">
        <v>200603.75</v>
      </c>
      <c r="K214" t="s">
        <v>27</v>
      </c>
      <c r="L214">
        <v>175558</v>
      </c>
      <c r="M214" t="s">
        <v>411</v>
      </c>
      <c r="O214">
        <v>1</v>
      </c>
    </row>
    <row r="215" spans="1:17" x14ac:dyDescent="0.25">
      <c r="A215">
        <v>8003879954</v>
      </c>
      <c r="B215">
        <v>43</v>
      </c>
      <c r="C215">
        <v>6032018</v>
      </c>
      <c r="D215">
        <v>489</v>
      </c>
      <c r="E215" t="s">
        <v>31</v>
      </c>
      <c r="F215">
        <v>9938</v>
      </c>
      <c r="G215" t="s">
        <v>407</v>
      </c>
      <c r="H215" s="2">
        <v>0.1</v>
      </c>
      <c r="I215" t="s">
        <v>26</v>
      </c>
      <c r="J215" s="2">
        <v>200603.76</v>
      </c>
      <c r="K215" t="s">
        <v>27</v>
      </c>
      <c r="L215">
        <v>175558</v>
      </c>
      <c r="M215" t="s">
        <v>411</v>
      </c>
      <c r="O215">
        <v>1</v>
      </c>
    </row>
    <row r="216" spans="1:17" x14ac:dyDescent="0.25">
      <c r="A216">
        <v>8003879954</v>
      </c>
      <c r="B216">
        <v>42</v>
      </c>
      <c r="C216">
        <v>6032018</v>
      </c>
      <c r="D216">
        <v>341</v>
      </c>
      <c r="E216" t="s">
        <v>25</v>
      </c>
      <c r="F216">
        <v>9938</v>
      </c>
      <c r="G216" t="s">
        <v>412</v>
      </c>
      <c r="H216" s="2">
        <v>614.79999999999995</v>
      </c>
      <c r="I216" t="s">
        <v>26</v>
      </c>
      <c r="J216" s="2">
        <v>200603.86</v>
      </c>
      <c r="K216" t="s">
        <v>27</v>
      </c>
      <c r="L216">
        <v>175559</v>
      </c>
      <c r="M216" t="s">
        <v>235</v>
      </c>
      <c r="O216">
        <v>1</v>
      </c>
      <c r="P216" t="s">
        <v>413</v>
      </c>
      <c r="Q216" t="s">
        <v>414</v>
      </c>
    </row>
    <row r="217" spans="1:17" x14ac:dyDescent="0.25">
      <c r="A217">
        <v>8003879954</v>
      </c>
      <c r="B217">
        <v>41</v>
      </c>
      <c r="C217">
        <v>6032018</v>
      </c>
      <c r="D217">
        <v>299</v>
      </c>
      <c r="E217" t="s">
        <v>30</v>
      </c>
      <c r="F217">
        <v>9938</v>
      </c>
      <c r="G217" t="s">
        <v>412</v>
      </c>
      <c r="H217" s="2">
        <v>0.01</v>
      </c>
      <c r="I217" t="s">
        <v>26</v>
      </c>
      <c r="J217" s="2">
        <v>201218.66</v>
      </c>
      <c r="K217" t="s">
        <v>27</v>
      </c>
      <c r="L217">
        <v>175559</v>
      </c>
      <c r="M217" t="s">
        <v>415</v>
      </c>
      <c r="O217">
        <v>1</v>
      </c>
    </row>
    <row r="218" spans="1:17" x14ac:dyDescent="0.25">
      <c r="A218">
        <v>8003879954</v>
      </c>
      <c r="B218">
        <v>40</v>
      </c>
      <c r="C218">
        <v>6032018</v>
      </c>
      <c r="D218">
        <v>489</v>
      </c>
      <c r="E218" t="s">
        <v>31</v>
      </c>
      <c r="F218">
        <v>9938</v>
      </c>
      <c r="G218" t="s">
        <v>412</v>
      </c>
      <c r="H218" s="2">
        <v>0.1</v>
      </c>
      <c r="I218" t="s">
        <v>26</v>
      </c>
      <c r="J218" s="2">
        <v>201218.67</v>
      </c>
      <c r="K218" t="s">
        <v>27</v>
      </c>
      <c r="L218">
        <v>175559</v>
      </c>
      <c r="M218" t="s">
        <v>415</v>
      </c>
      <c r="O218">
        <v>1</v>
      </c>
    </row>
    <row r="219" spans="1:17" x14ac:dyDescent="0.25">
      <c r="A219">
        <v>8003879954</v>
      </c>
      <c r="B219">
        <v>39</v>
      </c>
      <c r="C219">
        <v>6032018</v>
      </c>
      <c r="D219">
        <v>341</v>
      </c>
      <c r="E219" t="s">
        <v>25</v>
      </c>
      <c r="F219">
        <v>9938</v>
      </c>
      <c r="G219" t="s">
        <v>416</v>
      </c>
      <c r="H219" s="2">
        <v>9540</v>
      </c>
      <c r="I219" t="s">
        <v>26</v>
      </c>
      <c r="J219" s="2">
        <v>201218.77</v>
      </c>
      <c r="K219" t="s">
        <v>27</v>
      </c>
      <c r="L219">
        <v>175559</v>
      </c>
      <c r="M219" t="s">
        <v>417</v>
      </c>
      <c r="O219">
        <v>1</v>
      </c>
      <c r="P219" t="s">
        <v>418</v>
      </c>
      <c r="Q219" t="s">
        <v>419</v>
      </c>
    </row>
    <row r="220" spans="1:17" x14ac:dyDescent="0.25">
      <c r="A220">
        <v>8003879954</v>
      </c>
      <c r="B220">
        <v>38</v>
      </c>
      <c r="C220">
        <v>6032018</v>
      </c>
      <c r="D220">
        <v>299</v>
      </c>
      <c r="E220" t="s">
        <v>30</v>
      </c>
      <c r="F220">
        <v>9938</v>
      </c>
      <c r="G220" t="s">
        <v>416</v>
      </c>
      <c r="H220" s="2">
        <v>0.01</v>
      </c>
      <c r="I220" t="s">
        <v>26</v>
      </c>
      <c r="J220" s="2">
        <v>210758.77</v>
      </c>
      <c r="K220" t="s">
        <v>27</v>
      </c>
      <c r="L220">
        <v>175559</v>
      </c>
      <c r="M220" t="s">
        <v>420</v>
      </c>
      <c r="O220">
        <v>1</v>
      </c>
    </row>
    <row r="221" spans="1:17" x14ac:dyDescent="0.25">
      <c r="A221">
        <v>8003879954</v>
      </c>
      <c r="B221">
        <v>37</v>
      </c>
      <c r="C221">
        <v>6032018</v>
      </c>
      <c r="D221">
        <v>489</v>
      </c>
      <c r="E221" t="s">
        <v>31</v>
      </c>
      <c r="F221">
        <v>9938</v>
      </c>
      <c r="G221" t="s">
        <v>416</v>
      </c>
      <c r="H221" s="2">
        <v>0.1</v>
      </c>
      <c r="I221" t="s">
        <v>26</v>
      </c>
      <c r="J221" s="2">
        <v>210758.78</v>
      </c>
      <c r="K221" t="s">
        <v>27</v>
      </c>
      <c r="L221">
        <v>175559</v>
      </c>
      <c r="M221" t="s">
        <v>420</v>
      </c>
      <c r="O221">
        <v>1</v>
      </c>
    </row>
    <row r="222" spans="1:17" x14ac:dyDescent="0.25">
      <c r="A222">
        <v>8003879954</v>
      </c>
      <c r="B222">
        <v>36</v>
      </c>
      <c r="C222">
        <v>6032018</v>
      </c>
      <c r="D222">
        <v>341</v>
      </c>
      <c r="E222" t="s">
        <v>25</v>
      </c>
      <c r="F222">
        <v>9938</v>
      </c>
      <c r="G222" t="s">
        <v>421</v>
      </c>
      <c r="H222" s="2">
        <v>5618</v>
      </c>
      <c r="I222" t="s">
        <v>26</v>
      </c>
      <c r="J222" s="2">
        <v>210758.88</v>
      </c>
      <c r="K222" t="s">
        <v>27</v>
      </c>
      <c r="L222">
        <v>175559</v>
      </c>
      <c r="M222" t="s">
        <v>41</v>
      </c>
      <c r="O222">
        <v>1</v>
      </c>
      <c r="P222" t="s">
        <v>422</v>
      </c>
      <c r="Q222" t="s">
        <v>423</v>
      </c>
    </row>
    <row r="223" spans="1:17" x14ac:dyDescent="0.25">
      <c r="A223">
        <v>8003879954</v>
      </c>
      <c r="B223">
        <v>35</v>
      </c>
      <c r="C223">
        <v>6032018</v>
      </c>
      <c r="D223">
        <v>299</v>
      </c>
      <c r="E223" t="s">
        <v>30</v>
      </c>
      <c r="F223">
        <v>9938</v>
      </c>
      <c r="G223" t="s">
        <v>421</v>
      </c>
      <c r="H223" s="2">
        <v>0.01</v>
      </c>
      <c r="I223" t="s">
        <v>26</v>
      </c>
      <c r="J223" s="2">
        <v>216376.88</v>
      </c>
      <c r="K223" t="s">
        <v>27</v>
      </c>
      <c r="L223">
        <v>175559</v>
      </c>
      <c r="M223" t="s">
        <v>424</v>
      </c>
      <c r="O223">
        <v>1</v>
      </c>
    </row>
    <row r="224" spans="1:17" x14ac:dyDescent="0.25">
      <c r="A224">
        <v>8003879954</v>
      </c>
      <c r="B224">
        <v>34</v>
      </c>
      <c r="C224">
        <v>6032018</v>
      </c>
      <c r="D224">
        <v>489</v>
      </c>
      <c r="E224" t="s">
        <v>31</v>
      </c>
      <c r="F224">
        <v>9938</v>
      </c>
      <c r="G224" t="s">
        <v>421</v>
      </c>
      <c r="H224" s="2">
        <v>0.1</v>
      </c>
      <c r="I224" t="s">
        <v>26</v>
      </c>
      <c r="J224" s="2">
        <v>216376.89</v>
      </c>
      <c r="K224" t="s">
        <v>27</v>
      </c>
      <c r="L224">
        <v>175559</v>
      </c>
      <c r="M224" t="s">
        <v>424</v>
      </c>
      <c r="O224">
        <v>1</v>
      </c>
    </row>
    <row r="225" spans="1:17" x14ac:dyDescent="0.25">
      <c r="A225">
        <v>8003879954</v>
      </c>
      <c r="B225">
        <v>33</v>
      </c>
      <c r="C225">
        <v>6032018</v>
      </c>
      <c r="D225">
        <v>341</v>
      </c>
      <c r="E225" t="s">
        <v>25</v>
      </c>
      <c r="F225">
        <v>9938</v>
      </c>
      <c r="G225" t="s">
        <v>425</v>
      </c>
      <c r="H225" s="2">
        <v>65</v>
      </c>
      <c r="I225" t="s">
        <v>26</v>
      </c>
      <c r="J225" s="2">
        <v>216376.99</v>
      </c>
      <c r="K225" t="s">
        <v>27</v>
      </c>
      <c r="L225">
        <v>175558</v>
      </c>
      <c r="M225" t="s">
        <v>99</v>
      </c>
      <c r="O225">
        <v>1</v>
      </c>
      <c r="P225" t="s">
        <v>426</v>
      </c>
      <c r="Q225" t="s">
        <v>427</v>
      </c>
    </row>
    <row r="226" spans="1:17" x14ac:dyDescent="0.25">
      <c r="A226">
        <v>8003879954</v>
      </c>
      <c r="B226">
        <v>32</v>
      </c>
      <c r="C226">
        <v>6032018</v>
      </c>
      <c r="D226">
        <v>299</v>
      </c>
      <c r="E226" t="s">
        <v>30</v>
      </c>
      <c r="F226">
        <v>9938</v>
      </c>
      <c r="G226" t="s">
        <v>425</v>
      </c>
      <c r="H226" s="2">
        <v>0.01</v>
      </c>
      <c r="I226" t="s">
        <v>26</v>
      </c>
      <c r="J226" s="2">
        <v>216441.99</v>
      </c>
      <c r="K226" t="s">
        <v>27</v>
      </c>
      <c r="L226">
        <v>175558</v>
      </c>
      <c r="M226" t="s">
        <v>428</v>
      </c>
      <c r="O226">
        <v>1</v>
      </c>
    </row>
    <row r="227" spans="1:17" x14ac:dyDescent="0.25">
      <c r="A227">
        <v>8003879954</v>
      </c>
      <c r="B227">
        <v>31</v>
      </c>
      <c r="C227">
        <v>6032018</v>
      </c>
      <c r="D227">
        <v>489</v>
      </c>
      <c r="E227" t="s">
        <v>31</v>
      </c>
      <c r="F227">
        <v>9938</v>
      </c>
      <c r="G227" t="s">
        <v>425</v>
      </c>
      <c r="H227" s="2">
        <v>0.1</v>
      </c>
      <c r="I227" t="s">
        <v>26</v>
      </c>
      <c r="J227" s="2">
        <v>216442</v>
      </c>
      <c r="K227" t="s">
        <v>27</v>
      </c>
      <c r="L227">
        <v>175558</v>
      </c>
      <c r="M227" t="s">
        <v>428</v>
      </c>
      <c r="O227">
        <v>1</v>
      </c>
    </row>
    <row r="228" spans="1:17" x14ac:dyDescent="0.25">
      <c r="A228">
        <v>8003879954</v>
      </c>
      <c r="B228">
        <v>30</v>
      </c>
      <c r="C228">
        <v>6032018</v>
      </c>
      <c r="D228">
        <v>341</v>
      </c>
      <c r="E228" t="s">
        <v>25</v>
      </c>
      <c r="F228">
        <v>9938</v>
      </c>
      <c r="G228" t="s">
        <v>429</v>
      </c>
      <c r="H228" s="2">
        <v>4520</v>
      </c>
      <c r="I228" t="s">
        <v>26</v>
      </c>
      <c r="J228" s="2">
        <v>216442.1</v>
      </c>
      <c r="K228" t="s">
        <v>27</v>
      </c>
      <c r="L228">
        <v>175558</v>
      </c>
      <c r="M228" t="s">
        <v>430</v>
      </c>
      <c r="O228">
        <v>1</v>
      </c>
      <c r="P228" t="s">
        <v>431</v>
      </c>
      <c r="Q228" t="s">
        <v>432</v>
      </c>
    </row>
    <row r="229" spans="1:17" x14ac:dyDescent="0.25">
      <c r="A229">
        <v>8003879954</v>
      </c>
      <c r="B229">
        <v>29</v>
      </c>
      <c r="C229">
        <v>6032018</v>
      </c>
      <c r="D229">
        <v>299</v>
      </c>
      <c r="E229" t="s">
        <v>30</v>
      </c>
      <c r="F229">
        <v>9938</v>
      </c>
      <c r="G229" t="s">
        <v>429</v>
      </c>
      <c r="H229" s="2">
        <v>0.01</v>
      </c>
      <c r="I229" t="s">
        <v>26</v>
      </c>
      <c r="J229" s="2">
        <v>220962.1</v>
      </c>
      <c r="K229" t="s">
        <v>27</v>
      </c>
      <c r="L229">
        <v>175558</v>
      </c>
      <c r="M229" t="s">
        <v>433</v>
      </c>
      <c r="O229">
        <v>1</v>
      </c>
    </row>
    <row r="230" spans="1:17" x14ac:dyDescent="0.25">
      <c r="A230">
        <v>8003879954</v>
      </c>
      <c r="B230">
        <v>28</v>
      </c>
      <c r="C230">
        <v>6032018</v>
      </c>
      <c r="D230">
        <v>489</v>
      </c>
      <c r="E230" t="s">
        <v>31</v>
      </c>
      <c r="F230">
        <v>9938</v>
      </c>
      <c r="G230" t="s">
        <v>429</v>
      </c>
      <c r="H230" s="2">
        <v>0.1</v>
      </c>
      <c r="I230" t="s">
        <v>26</v>
      </c>
      <c r="J230" s="2">
        <v>220962.11</v>
      </c>
      <c r="K230" t="s">
        <v>27</v>
      </c>
      <c r="L230">
        <v>175558</v>
      </c>
      <c r="M230" t="s">
        <v>433</v>
      </c>
      <c r="O230">
        <v>1</v>
      </c>
    </row>
    <row r="231" spans="1:17" x14ac:dyDescent="0.25">
      <c r="A231">
        <v>8003879954</v>
      </c>
      <c r="B231">
        <v>27</v>
      </c>
      <c r="C231">
        <v>6032018</v>
      </c>
      <c r="D231">
        <v>341</v>
      </c>
      <c r="E231" t="s">
        <v>25</v>
      </c>
      <c r="F231">
        <v>9938</v>
      </c>
      <c r="G231" t="s">
        <v>434</v>
      </c>
      <c r="H231" s="2">
        <v>480</v>
      </c>
      <c r="I231" t="s">
        <v>26</v>
      </c>
      <c r="J231" s="2">
        <v>220962.21</v>
      </c>
      <c r="K231" t="s">
        <v>27</v>
      </c>
      <c r="L231">
        <v>175558</v>
      </c>
      <c r="M231" t="s">
        <v>40</v>
      </c>
      <c r="O231">
        <v>1</v>
      </c>
      <c r="P231" t="s">
        <v>435</v>
      </c>
      <c r="Q231" t="s">
        <v>44</v>
      </c>
    </row>
    <row r="232" spans="1:17" x14ac:dyDescent="0.25">
      <c r="A232">
        <v>8003879954</v>
      </c>
      <c r="B232">
        <v>26</v>
      </c>
      <c r="C232">
        <v>6032018</v>
      </c>
      <c r="D232">
        <v>299</v>
      </c>
      <c r="E232" t="s">
        <v>30</v>
      </c>
      <c r="F232">
        <v>9938</v>
      </c>
      <c r="G232" t="s">
        <v>434</v>
      </c>
      <c r="H232" s="2">
        <v>0.01</v>
      </c>
      <c r="I232" t="s">
        <v>26</v>
      </c>
      <c r="J232" s="2">
        <v>221442.21</v>
      </c>
      <c r="K232" t="s">
        <v>27</v>
      </c>
      <c r="L232">
        <v>175558</v>
      </c>
      <c r="M232" t="s">
        <v>436</v>
      </c>
      <c r="O232">
        <v>1</v>
      </c>
    </row>
    <row r="233" spans="1:17" x14ac:dyDescent="0.25">
      <c r="A233">
        <v>8003879954</v>
      </c>
      <c r="B233">
        <v>25</v>
      </c>
      <c r="C233">
        <v>6032018</v>
      </c>
      <c r="D233">
        <v>489</v>
      </c>
      <c r="E233" t="s">
        <v>31</v>
      </c>
      <c r="F233">
        <v>9938</v>
      </c>
      <c r="G233" t="s">
        <v>434</v>
      </c>
      <c r="H233" s="2">
        <v>0.1</v>
      </c>
      <c r="I233" t="s">
        <v>26</v>
      </c>
      <c r="J233" s="2">
        <v>221442.22</v>
      </c>
      <c r="K233" t="s">
        <v>27</v>
      </c>
      <c r="L233">
        <v>175558</v>
      </c>
      <c r="M233" t="s">
        <v>436</v>
      </c>
      <c r="O233">
        <v>1</v>
      </c>
    </row>
    <row r="234" spans="1:17" x14ac:dyDescent="0.25">
      <c r="A234">
        <v>8003879954</v>
      </c>
      <c r="B234">
        <v>24</v>
      </c>
      <c r="C234">
        <v>6032018</v>
      </c>
      <c r="D234">
        <v>341</v>
      </c>
      <c r="E234" t="s">
        <v>25</v>
      </c>
      <c r="F234">
        <v>9938</v>
      </c>
      <c r="G234" t="s">
        <v>437</v>
      </c>
      <c r="H234" s="2">
        <v>645.54999999999995</v>
      </c>
      <c r="I234" t="s">
        <v>26</v>
      </c>
      <c r="J234" s="2">
        <v>221442.32</v>
      </c>
      <c r="K234" t="s">
        <v>27</v>
      </c>
      <c r="L234">
        <v>175558</v>
      </c>
      <c r="M234" t="s">
        <v>438</v>
      </c>
      <c r="O234">
        <v>1</v>
      </c>
      <c r="P234" t="s">
        <v>439</v>
      </c>
      <c r="Q234" t="s">
        <v>440</v>
      </c>
    </row>
    <row r="235" spans="1:17" x14ac:dyDescent="0.25">
      <c r="A235">
        <v>8003879954</v>
      </c>
      <c r="B235">
        <v>23</v>
      </c>
      <c r="C235">
        <v>6032018</v>
      </c>
      <c r="D235">
        <v>299</v>
      </c>
      <c r="E235" t="s">
        <v>30</v>
      </c>
      <c r="F235">
        <v>9938</v>
      </c>
      <c r="G235" t="s">
        <v>437</v>
      </c>
      <c r="H235" s="2">
        <v>0.01</v>
      </c>
      <c r="I235" t="s">
        <v>26</v>
      </c>
      <c r="J235" s="2">
        <v>222087.87</v>
      </c>
      <c r="K235" t="s">
        <v>27</v>
      </c>
      <c r="L235">
        <v>175558</v>
      </c>
      <c r="M235" t="s">
        <v>441</v>
      </c>
      <c r="O235">
        <v>1</v>
      </c>
    </row>
    <row r="236" spans="1:17" x14ac:dyDescent="0.25">
      <c r="A236">
        <v>8003879954</v>
      </c>
      <c r="B236">
        <v>22</v>
      </c>
      <c r="C236">
        <v>6032018</v>
      </c>
      <c r="D236">
        <v>489</v>
      </c>
      <c r="E236" t="s">
        <v>31</v>
      </c>
      <c r="F236">
        <v>9938</v>
      </c>
      <c r="G236" t="s">
        <v>437</v>
      </c>
      <c r="H236" s="2">
        <v>0.1</v>
      </c>
      <c r="I236" t="s">
        <v>26</v>
      </c>
      <c r="J236" s="2">
        <v>222087.88</v>
      </c>
      <c r="K236" t="s">
        <v>27</v>
      </c>
      <c r="L236">
        <v>175558</v>
      </c>
      <c r="M236" t="s">
        <v>441</v>
      </c>
      <c r="O236">
        <v>1</v>
      </c>
    </row>
    <row r="237" spans="1:17" x14ac:dyDescent="0.25">
      <c r="A237">
        <v>8003879954</v>
      </c>
      <c r="B237">
        <v>21</v>
      </c>
      <c r="C237">
        <v>6032018</v>
      </c>
      <c r="D237">
        <v>341</v>
      </c>
      <c r="E237" t="s">
        <v>25</v>
      </c>
      <c r="F237">
        <v>9938</v>
      </c>
      <c r="G237" t="s">
        <v>442</v>
      </c>
      <c r="H237" s="2">
        <v>6500</v>
      </c>
      <c r="I237" t="s">
        <v>26</v>
      </c>
      <c r="J237" s="2">
        <v>222087.98</v>
      </c>
      <c r="K237" t="s">
        <v>27</v>
      </c>
      <c r="L237">
        <v>175335</v>
      </c>
      <c r="M237" t="s">
        <v>319</v>
      </c>
      <c r="O237">
        <v>1</v>
      </c>
      <c r="P237" t="s">
        <v>443</v>
      </c>
      <c r="Q237" t="s">
        <v>44</v>
      </c>
    </row>
    <row r="238" spans="1:17" x14ac:dyDescent="0.25">
      <c r="A238">
        <v>8003879954</v>
      </c>
      <c r="B238">
        <v>20</v>
      </c>
      <c r="C238">
        <v>6032018</v>
      </c>
      <c r="D238">
        <v>299</v>
      </c>
      <c r="E238" t="s">
        <v>30</v>
      </c>
      <c r="F238">
        <v>9938</v>
      </c>
      <c r="G238" t="s">
        <v>442</v>
      </c>
      <c r="H238" s="2">
        <v>0.01</v>
      </c>
      <c r="I238" t="s">
        <v>26</v>
      </c>
      <c r="J238" s="2">
        <v>228587.98</v>
      </c>
      <c r="K238" t="s">
        <v>27</v>
      </c>
      <c r="L238">
        <v>175335</v>
      </c>
      <c r="M238" t="s">
        <v>444</v>
      </c>
      <c r="O238">
        <v>1</v>
      </c>
    </row>
    <row r="239" spans="1:17" x14ac:dyDescent="0.25">
      <c r="A239">
        <v>8003879954</v>
      </c>
      <c r="B239">
        <v>19</v>
      </c>
      <c r="C239">
        <v>6032018</v>
      </c>
      <c r="D239">
        <v>489</v>
      </c>
      <c r="E239" t="s">
        <v>31</v>
      </c>
      <c r="F239">
        <v>9938</v>
      </c>
      <c r="G239" t="s">
        <v>442</v>
      </c>
      <c r="H239" s="2">
        <v>0.1</v>
      </c>
      <c r="I239" t="s">
        <v>26</v>
      </c>
      <c r="J239" s="2">
        <v>228587.99</v>
      </c>
      <c r="K239" t="s">
        <v>27</v>
      </c>
      <c r="L239">
        <v>175335</v>
      </c>
      <c r="M239" t="s">
        <v>444</v>
      </c>
      <c r="O239">
        <v>1</v>
      </c>
    </row>
    <row r="240" spans="1:17" x14ac:dyDescent="0.25">
      <c r="A240">
        <v>8003879954</v>
      </c>
      <c r="B240">
        <v>18</v>
      </c>
      <c r="C240">
        <v>6032018</v>
      </c>
      <c r="D240">
        <v>341</v>
      </c>
      <c r="E240" t="s">
        <v>25</v>
      </c>
      <c r="F240">
        <v>9938</v>
      </c>
      <c r="G240" t="s">
        <v>445</v>
      </c>
      <c r="H240" s="2">
        <v>6968.12</v>
      </c>
      <c r="I240" t="s">
        <v>26</v>
      </c>
      <c r="J240" s="2">
        <v>228588.09</v>
      </c>
      <c r="K240" t="s">
        <v>27</v>
      </c>
      <c r="L240">
        <v>175335</v>
      </c>
      <c r="M240" t="s">
        <v>240</v>
      </c>
      <c r="O240">
        <v>1</v>
      </c>
      <c r="P240" t="s">
        <v>446</v>
      </c>
      <c r="Q240" t="s">
        <v>447</v>
      </c>
    </row>
    <row r="241" spans="1:17" x14ac:dyDescent="0.25">
      <c r="A241">
        <v>8003879954</v>
      </c>
      <c r="B241">
        <v>17</v>
      </c>
      <c r="C241">
        <v>6032018</v>
      </c>
      <c r="D241">
        <v>299</v>
      </c>
      <c r="E241" t="s">
        <v>30</v>
      </c>
      <c r="F241">
        <v>9938</v>
      </c>
      <c r="G241" t="s">
        <v>445</v>
      </c>
      <c r="H241" s="2">
        <v>0.01</v>
      </c>
      <c r="I241" t="s">
        <v>26</v>
      </c>
      <c r="J241" s="2">
        <v>235556.21</v>
      </c>
      <c r="K241" t="s">
        <v>27</v>
      </c>
      <c r="L241">
        <v>175335</v>
      </c>
      <c r="M241" t="s">
        <v>448</v>
      </c>
      <c r="O241">
        <v>1</v>
      </c>
    </row>
    <row r="242" spans="1:17" x14ac:dyDescent="0.25">
      <c r="A242">
        <v>8003879954</v>
      </c>
      <c r="B242">
        <v>16</v>
      </c>
      <c r="C242">
        <v>6032018</v>
      </c>
      <c r="D242">
        <v>489</v>
      </c>
      <c r="E242" t="s">
        <v>31</v>
      </c>
      <c r="F242">
        <v>9938</v>
      </c>
      <c r="G242" t="s">
        <v>445</v>
      </c>
      <c r="H242" s="2">
        <v>0.1</v>
      </c>
      <c r="I242" t="s">
        <v>26</v>
      </c>
      <c r="J242" s="2">
        <v>235556.22</v>
      </c>
      <c r="K242" t="s">
        <v>27</v>
      </c>
      <c r="L242">
        <v>175335</v>
      </c>
      <c r="M242" t="s">
        <v>448</v>
      </c>
      <c r="O242">
        <v>1</v>
      </c>
    </row>
    <row r="243" spans="1:17" x14ac:dyDescent="0.25">
      <c r="A243">
        <v>8003879954</v>
      </c>
      <c r="B243">
        <v>15</v>
      </c>
      <c r="C243">
        <v>6032018</v>
      </c>
      <c r="D243">
        <v>341</v>
      </c>
      <c r="E243" t="s">
        <v>25</v>
      </c>
      <c r="F243">
        <v>9938</v>
      </c>
      <c r="G243" t="s">
        <v>449</v>
      </c>
      <c r="H243" s="2">
        <v>1000</v>
      </c>
      <c r="I243" t="s">
        <v>26</v>
      </c>
      <c r="J243" s="2">
        <v>235556.32</v>
      </c>
      <c r="K243" t="s">
        <v>27</v>
      </c>
      <c r="L243">
        <v>175334</v>
      </c>
      <c r="M243" t="s">
        <v>43</v>
      </c>
      <c r="O243">
        <v>1</v>
      </c>
      <c r="P243" t="s">
        <v>450</v>
      </c>
      <c r="Q243" t="s">
        <v>44</v>
      </c>
    </row>
    <row r="244" spans="1:17" x14ac:dyDescent="0.25">
      <c r="A244">
        <v>8003879954</v>
      </c>
      <c r="B244">
        <v>14</v>
      </c>
      <c r="C244">
        <v>6032018</v>
      </c>
      <c r="D244">
        <v>299</v>
      </c>
      <c r="E244" t="s">
        <v>30</v>
      </c>
      <c r="F244">
        <v>9938</v>
      </c>
      <c r="G244" t="s">
        <v>449</v>
      </c>
      <c r="H244" s="2">
        <v>0.01</v>
      </c>
      <c r="I244" t="s">
        <v>26</v>
      </c>
      <c r="J244" s="2">
        <v>236556.32</v>
      </c>
      <c r="K244" t="s">
        <v>27</v>
      </c>
      <c r="L244">
        <v>175334</v>
      </c>
      <c r="M244" t="s">
        <v>451</v>
      </c>
      <c r="O244">
        <v>1</v>
      </c>
    </row>
    <row r="245" spans="1:17" x14ac:dyDescent="0.25">
      <c r="A245">
        <v>8003879954</v>
      </c>
      <c r="B245">
        <v>13</v>
      </c>
      <c r="C245">
        <v>6032018</v>
      </c>
      <c r="D245">
        <v>489</v>
      </c>
      <c r="E245" t="s">
        <v>31</v>
      </c>
      <c r="F245">
        <v>9938</v>
      </c>
      <c r="G245" t="s">
        <v>449</v>
      </c>
      <c r="H245" s="2">
        <v>0.1</v>
      </c>
      <c r="I245" t="s">
        <v>26</v>
      </c>
      <c r="J245" s="2">
        <v>236556.33</v>
      </c>
      <c r="K245" t="s">
        <v>27</v>
      </c>
      <c r="L245">
        <v>175334</v>
      </c>
      <c r="M245" t="s">
        <v>451</v>
      </c>
      <c r="O245">
        <v>1</v>
      </c>
    </row>
    <row r="246" spans="1:17" x14ac:dyDescent="0.25">
      <c r="A246">
        <v>8003879954</v>
      </c>
      <c r="B246">
        <v>12</v>
      </c>
      <c r="C246">
        <v>6032018</v>
      </c>
      <c r="D246">
        <v>60</v>
      </c>
      <c r="E246" t="s">
        <v>37</v>
      </c>
      <c r="F246">
        <v>9938</v>
      </c>
      <c r="G246" t="s">
        <v>452</v>
      </c>
      <c r="H246" s="2">
        <v>8904</v>
      </c>
      <c r="I246" t="s">
        <v>26</v>
      </c>
      <c r="J246" s="2">
        <v>236556.43</v>
      </c>
      <c r="K246" t="s">
        <v>27</v>
      </c>
      <c r="L246">
        <v>175334</v>
      </c>
      <c r="M246" t="s">
        <v>453</v>
      </c>
      <c r="O246">
        <v>1</v>
      </c>
      <c r="P246" t="s">
        <v>454</v>
      </c>
      <c r="Q246" t="s">
        <v>455</v>
      </c>
    </row>
    <row r="247" spans="1:17" x14ac:dyDescent="0.25">
      <c r="A247">
        <v>8003879954</v>
      </c>
      <c r="B247">
        <v>11</v>
      </c>
      <c r="C247">
        <v>6032018</v>
      </c>
      <c r="D247">
        <v>60</v>
      </c>
      <c r="E247" t="s">
        <v>37</v>
      </c>
      <c r="F247">
        <v>9938</v>
      </c>
      <c r="G247" t="s">
        <v>456</v>
      </c>
      <c r="H247" s="2">
        <v>360.4</v>
      </c>
      <c r="I247" t="s">
        <v>26</v>
      </c>
      <c r="J247" s="2">
        <v>245460.43</v>
      </c>
      <c r="K247" t="s">
        <v>27</v>
      </c>
      <c r="L247">
        <v>175334</v>
      </c>
      <c r="M247" t="s">
        <v>457</v>
      </c>
      <c r="O247">
        <v>1</v>
      </c>
      <c r="P247" t="s">
        <v>458</v>
      </c>
      <c r="Q247" t="s">
        <v>459</v>
      </c>
    </row>
    <row r="248" spans="1:17" x14ac:dyDescent="0.25">
      <c r="A248">
        <v>8003879954</v>
      </c>
      <c r="B248">
        <v>10</v>
      </c>
      <c r="C248">
        <v>6032018</v>
      </c>
      <c r="D248">
        <v>341</v>
      </c>
      <c r="E248" t="s">
        <v>25</v>
      </c>
      <c r="F248">
        <v>9938</v>
      </c>
      <c r="G248" t="s">
        <v>460</v>
      </c>
      <c r="H248" s="2">
        <v>3487.4</v>
      </c>
      <c r="I248" t="s">
        <v>26</v>
      </c>
      <c r="J248" s="2">
        <v>245820.83</v>
      </c>
      <c r="K248" t="s">
        <v>27</v>
      </c>
      <c r="L248">
        <v>175334</v>
      </c>
      <c r="M248" t="s">
        <v>461</v>
      </c>
      <c r="O248">
        <v>1</v>
      </c>
      <c r="P248" t="s">
        <v>462</v>
      </c>
      <c r="Q248" t="s">
        <v>463</v>
      </c>
    </row>
    <row r="249" spans="1:17" x14ac:dyDescent="0.25">
      <c r="A249">
        <v>8003879954</v>
      </c>
      <c r="B249">
        <v>9</v>
      </c>
      <c r="C249">
        <v>6032018</v>
      </c>
      <c r="D249">
        <v>299</v>
      </c>
      <c r="E249" t="s">
        <v>30</v>
      </c>
      <c r="F249">
        <v>9938</v>
      </c>
      <c r="G249" t="s">
        <v>460</v>
      </c>
      <c r="H249" s="2">
        <v>0.01</v>
      </c>
      <c r="I249" t="s">
        <v>26</v>
      </c>
      <c r="J249" s="2">
        <v>249308.23</v>
      </c>
      <c r="K249" t="s">
        <v>27</v>
      </c>
      <c r="L249">
        <v>175334</v>
      </c>
      <c r="M249" t="s">
        <v>464</v>
      </c>
      <c r="O249">
        <v>1</v>
      </c>
    </row>
    <row r="250" spans="1:17" x14ac:dyDescent="0.25">
      <c r="A250">
        <v>8003879954</v>
      </c>
      <c r="B250">
        <v>8</v>
      </c>
      <c r="C250">
        <v>6032018</v>
      </c>
      <c r="D250">
        <v>489</v>
      </c>
      <c r="E250" t="s">
        <v>31</v>
      </c>
      <c r="F250">
        <v>9938</v>
      </c>
      <c r="G250" t="s">
        <v>460</v>
      </c>
      <c r="H250" s="2">
        <v>0.1</v>
      </c>
      <c r="I250" t="s">
        <v>26</v>
      </c>
      <c r="J250" s="2">
        <v>249308.24</v>
      </c>
      <c r="K250" t="s">
        <v>27</v>
      </c>
      <c r="L250">
        <v>175334</v>
      </c>
      <c r="M250" t="s">
        <v>464</v>
      </c>
      <c r="O250">
        <v>1</v>
      </c>
    </row>
    <row r="251" spans="1:17" x14ac:dyDescent="0.25">
      <c r="A251">
        <v>8003879954</v>
      </c>
      <c r="B251">
        <v>7</v>
      </c>
      <c r="C251">
        <v>6032018</v>
      </c>
      <c r="D251">
        <v>341</v>
      </c>
      <c r="E251" t="s">
        <v>25</v>
      </c>
      <c r="F251">
        <v>9938</v>
      </c>
      <c r="G251" t="s">
        <v>465</v>
      </c>
      <c r="H251" s="2">
        <v>6308.8</v>
      </c>
      <c r="I251" t="s">
        <v>26</v>
      </c>
      <c r="J251" s="2">
        <v>249308.34</v>
      </c>
      <c r="K251" t="s">
        <v>27</v>
      </c>
      <c r="L251">
        <v>175334</v>
      </c>
      <c r="M251" t="s">
        <v>263</v>
      </c>
      <c r="O251">
        <v>1</v>
      </c>
      <c r="P251" t="s">
        <v>466</v>
      </c>
      <c r="Q251" t="s">
        <v>467</v>
      </c>
    </row>
    <row r="252" spans="1:17" x14ac:dyDescent="0.25">
      <c r="A252">
        <v>8003879954</v>
      </c>
      <c r="B252">
        <v>6</v>
      </c>
      <c r="C252">
        <v>6032018</v>
      </c>
      <c r="D252">
        <v>299</v>
      </c>
      <c r="E252" t="s">
        <v>30</v>
      </c>
      <c r="F252">
        <v>9938</v>
      </c>
      <c r="G252" t="s">
        <v>465</v>
      </c>
      <c r="H252" s="2">
        <v>0.01</v>
      </c>
      <c r="I252" t="s">
        <v>26</v>
      </c>
      <c r="J252" s="2">
        <v>255617.14</v>
      </c>
      <c r="K252" t="s">
        <v>27</v>
      </c>
      <c r="L252">
        <v>175334</v>
      </c>
      <c r="M252" t="s">
        <v>468</v>
      </c>
      <c r="O252">
        <v>1</v>
      </c>
    </row>
    <row r="253" spans="1:17" x14ac:dyDescent="0.25">
      <c r="A253">
        <v>8003879954</v>
      </c>
      <c r="B253">
        <v>5</v>
      </c>
      <c r="C253">
        <v>6032018</v>
      </c>
      <c r="D253">
        <v>489</v>
      </c>
      <c r="E253" t="s">
        <v>31</v>
      </c>
      <c r="F253">
        <v>9938</v>
      </c>
      <c r="G253" t="s">
        <v>465</v>
      </c>
      <c r="H253" s="2">
        <v>0.1</v>
      </c>
      <c r="I253" t="s">
        <v>26</v>
      </c>
      <c r="J253" s="2">
        <v>255617.15</v>
      </c>
      <c r="K253" t="s">
        <v>27</v>
      </c>
      <c r="L253">
        <v>175334</v>
      </c>
      <c r="M253" t="s">
        <v>468</v>
      </c>
      <c r="O253">
        <v>1</v>
      </c>
    </row>
    <row r="254" spans="1:17" x14ac:dyDescent="0.25">
      <c r="A254">
        <v>8003879954</v>
      </c>
      <c r="B254">
        <v>4</v>
      </c>
      <c r="C254">
        <v>6032018</v>
      </c>
      <c r="D254">
        <v>345</v>
      </c>
      <c r="E254" t="s">
        <v>51</v>
      </c>
      <c r="F254">
        <v>9938</v>
      </c>
      <c r="G254" t="s">
        <v>469</v>
      </c>
      <c r="H254" s="2">
        <v>800</v>
      </c>
      <c r="I254" t="s">
        <v>26</v>
      </c>
      <c r="J254" s="2">
        <v>255617.25</v>
      </c>
      <c r="K254" t="s">
        <v>27</v>
      </c>
      <c r="L254">
        <v>175334</v>
      </c>
      <c r="M254" t="s">
        <v>470</v>
      </c>
      <c r="O254">
        <v>1</v>
      </c>
      <c r="P254" t="s">
        <v>471</v>
      </c>
      <c r="Q254" t="s">
        <v>472</v>
      </c>
    </row>
    <row r="255" spans="1:17" x14ac:dyDescent="0.25">
      <c r="A255">
        <v>8003879954</v>
      </c>
      <c r="B255">
        <v>3</v>
      </c>
      <c r="C255">
        <v>6032018</v>
      </c>
      <c r="D255">
        <v>60</v>
      </c>
      <c r="E255" t="s">
        <v>37</v>
      </c>
      <c r="F255">
        <v>9938</v>
      </c>
      <c r="G255" t="s">
        <v>473</v>
      </c>
      <c r="H255" s="2">
        <v>390</v>
      </c>
      <c r="I255" t="s">
        <v>26</v>
      </c>
      <c r="J255" s="2">
        <v>256417.25</v>
      </c>
      <c r="K255" t="s">
        <v>27</v>
      </c>
      <c r="L255">
        <v>175334</v>
      </c>
      <c r="M255" t="s">
        <v>474</v>
      </c>
      <c r="O255">
        <v>1</v>
      </c>
      <c r="P255" t="s">
        <v>475</v>
      </c>
      <c r="Q255" t="s">
        <v>476</v>
      </c>
    </row>
    <row r="256" spans="1:17" x14ac:dyDescent="0.25">
      <c r="A256">
        <v>8003879954</v>
      </c>
      <c r="B256">
        <v>2</v>
      </c>
      <c r="C256">
        <v>6032018</v>
      </c>
      <c r="D256">
        <v>60</v>
      </c>
      <c r="E256" t="s">
        <v>37</v>
      </c>
      <c r="F256">
        <v>9938</v>
      </c>
      <c r="G256" t="s">
        <v>477</v>
      </c>
      <c r="H256" s="2">
        <v>5830</v>
      </c>
      <c r="I256" t="s">
        <v>26</v>
      </c>
      <c r="J256" s="2">
        <v>256807.25</v>
      </c>
      <c r="K256" t="s">
        <v>27</v>
      </c>
      <c r="L256">
        <v>175334</v>
      </c>
      <c r="M256" t="s">
        <v>478</v>
      </c>
      <c r="O256">
        <v>1</v>
      </c>
      <c r="P256" t="s">
        <v>479</v>
      </c>
      <c r="Q256" t="s">
        <v>480</v>
      </c>
    </row>
    <row r="257" spans="1:18" x14ac:dyDescent="0.25">
      <c r="A257">
        <v>8003879954</v>
      </c>
      <c r="B257">
        <v>1</v>
      </c>
      <c r="C257">
        <v>6032018</v>
      </c>
      <c r="D257">
        <v>174</v>
      </c>
      <c r="E257" t="s">
        <v>159</v>
      </c>
      <c r="F257">
        <v>2001</v>
      </c>
      <c r="G257" t="s">
        <v>481</v>
      </c>
      <c r="H257" s="2">
        <v>750</v>
      </c>
      <c r="I257" t="s">
        <v>27</v>
      </c>
      <c r="J257" s="2">
        <v>262637.25</v>
      </c>
      <c r="K257" t="s">
        <v>27</v>
      </c>
      <c r="L257">
        <v>91416</v>
      </c>
      <c r="M257" t="s">
        <v>482</v>
      </c>
      <c r="O257">
        <v>1</v>
      </c>
      <c r="P257" t="s">
        <v>482</v>
      </c>
      <c r="Q257" t="s">
        <v>483</v>
      </c>
      <c r="R257" t="s">
        <v>484</v>
      </c>
    </row>
    <row r="258" spans="1:18" x14ac:dyDescent="0.25">
      <c r="A258">
        <v>8003879954</v>
      </c>
      <c r="B258">
        <v>7</v>
      </c>
      <c r="C258">
        <v>5032018</v>
      </c>
      <c r="D258">
        <v>299</v>
      </c>
      <c r="E258" t="s">
        <v>30</v>
      </c>
      <c r="H258" s="2">
        <v>0.03</v>
      </c>
      <c r="I258" t="s">
        <v>26</v>
      </c>
      <c r="J258" s="2">
        <v>261887.25</v>
      </c>
      <c r="K258" t="s">
        <v>27</v>
      </c>
      <c r="L258">
        <v>5525</v>
      </c>
      <c r="M258" t="s">
        <v>32</v>
      </c>
      <c r="O258">
        <v>1</v>
      </c>
    </row>
    <row r="259" spans="1:18" x14ac:dyDescent="0.25">
      <c r="A259">
        <v>8003879954</v>
      </c>
      <c r="B259">
        <v>6</v>
      </c>
      <c r="C259">
        <v>5032018</v>
      </c>
      <c r="D259">
        <v>819</v>
      </c>
      <c r="E259" t="s">
        <v>35</v>
      </c>
      <c r="H259" s="2">
        <v>0.5</v>
      </c>
      <c r="I259" t="s">
        <v>26</v>
      </c>
      <c r="J259" s="2">
        <v>261887.28</v>
      </c>
      <c r="K259" t="s">
        <v>27</v>
      </c>
      <c r="L259">
        <v>5525</v>
      </c>
      <c r="M259" t="s">
        <v>32</v>
      </c>
      <c r="O259">
        <v>1</v>
      </c>
    </row>
    <row r="260" spans="1:18" x14ac:dyDescent="0.25">
      <c r="A260">
        <v>8003879954</v>
      </c>
      <c r="B260">
        <v>5</v>
      </c>
      <c r="C260">
        <v>5032018</v>
      </c>
      <c r="D260">
        <v>323</v>
      </c>
      <c r="E260" t="s">
        <v>50</v>
      </c>
      <c r="F260">
        <v>0</v>
      </c>
      <c r="G260" t="s">
        <v>485</v>
      </c>
      <c r="H260" s="2">
        <v>600000</v>
      </c>
      <c r="I260" t="s">
        <v>26</v>
      </c>
      <c r="J260" s="2">
        <v>261887.78</v>
      </c>
      <c r="K260" t="s">
        <v>27</v>
      </c>
      <c r="L260">
        <v>5337</v>
      </c>
      <c r="M260" t="s">
        <v>32</v>
      </c>
      <c r="O260">
        <v>1</v>
      </c>
    </row>
    <row r="261" spans="1:18" x14ac:dyDescent="0.25">
      <c r="A261">
        <v>8003879954</v>
      </c>
      <c r="B261">
        <v>4</v>
      </c>
      <c r="C261">
        <v>5032018</v>
      </c>
      <c r="D261">
        <v>341</v>
      </c>
      <c r="E261" t="s">
        <v>25</v>
      </c>
      <c r="F261">
        <v>9938</v>
      </c>
      <c r="G261" t="s">
        <v>486</v>
      </c>
      <c r="H261" s="2">
        <v>2500</v>
      </c>
      <c r="I261" t="s">
        <v>26</v>
      </c>
      <c r="J261" s="2">
        <v>861887.78</v>
      </c>
      <c r="K261" t="s">
        <v>27</v>
      </c>
      <c r="L261">
        <v>230837</v>
      </c>
      <c r="M261" t="s">
        <v>354</v>
      </c>
      <c r="O261">
        <v>1</v>
      </c>
      <c r="P261" t="s">
        <v>487</v>
      </c>
      <c r="Q261" t="s">
        <v>488</v>
      </c>
    </row>
    <row r="262" spans="1:18" x14ac:dyDescent="0.25">
      <c r="A262">
        <v>8003879954</v>
      </c>
      <c r="B262">
        <v>3</v>
      </c>
      <c r="C262">
        <v>5032018</v>
      </c>
      <c r="D262">
        <v>299</v>
      </c>
      <c r="E262" t="s">
        <v>30</v>
      </c>
      <c r="F262">
        <v>9938</v>
      </c>
      <c r="G262" t="s">
        <v>486</v>
      </c>
      <c r="H262" s="2">
        <v>0.01</v>
      </c>
      <c r="I262" t="s">
        <v>26</v>
      </c>
      <c r="J262" s="2">
        <v>864387.78</v>
      </c>
      <c r="K262" t="s">
        <v>27</v>
      </c>
      <c r="L262">
        <v>230837</v>
      </c>
      <c r="M262" t="s">
        <v>489</v>
      </c>
      <c r="O262">
        <v>1</v>
      </c>
    </row>
    <row r="263" spans="1:18" x14ac:dyDescent="0.25">
      <c r="A263">
        <v>8003879954</v>
      </c>
      <c r="B263">
        <v>2</v>
      </c>
      <c r="C263">
        <v>5032018</v>
      </c>
      <c r="D263">
        <v>489</v>
      </c>
      <c r="E263" t="s">
        <v>31</v>
      </c>
      <c r="F263">
        <v>9938</v>
      </c>
      <c r="G263" t="s">
        <v>486</v>
      </c>
      <c r="H263" s="2">
        <v>0.1</v>
      </c>
      <c r="I263" t="s">
        <v>26</v>
      </c>
      <c r="J263" s="2">
        <v>864387.79</v>
      </c>
      <c r="K263" t="s">
        <v>27</v>
      </c>
      <c r="L263">
        <v>230837</v>
      </c>
      <c r="M263" t="s">
        <v>489</v>
      </c>
      <c r="O263">
        <v>1</v>
      </c>
    </row>
    <row r="264" spans="1:18" x14ac:dyDescent="0.25">
      <c r="A264">
        <v>8003879954</v>
      </c>
      <c r="B264">
        <v>1</v>
      </c>
      <c r="C264">
        <v>5032018</v>
      </c>
      <c r="D264">
        <v>5</v>
      </c>
      <c r="E264" t="s">
        <v>54</v>
      </c>
      <c r="H264" s="2">
        <v>700000</v>
      </c>
      <c r="I264" t="s">
        <v>27</v>
      </c>
      <c r="J264" s="2">
        <v>864387.89</v>
      </c>
      <c r="K264" t="s">
        <v>27</v>
      </c>
      <c r="L264">
        <v>102721</v>
      </c>
      <c r="M264" t="s">
        <v>490</v>
      </c>
      <c r="O264">
        <v>1</v>
      </c>
      <c r="P264" t="s">
        <v>491</v>
      </c>
      <c r="Q264" t="s">
        <v>176</v>
      </c>
      <c r="R264" t="s">
        <v>55</v>
      </c>
    </row>
    <row r="265" spans="1:18" x14ac:dyDescent="0.25">
      <c r="A265">
        <v>8003879954</v>
      </c>
      <c r="B265">
        <v>8</v>
      </c>
      <c r="C265">
        <v>2032018</v>
      </c>
      <c r="D265">
        <v>345</v>
      </c>
      <c r="E265" t="s">
        <v>51</v>
      </c>
      <c r="F265">
        <v>9938</v>
      </c>
      <c r="G265" t="s">
        <v>492</v>
      </c>
      <c r="H265" s="2">
        <v>4940.12</v>
      </c>
      <c r="I265" t="s">
        <v>26</v>
      </c>
      <c r="J265" s="2">
        <v>164387.89000000001</v>
      </c>
      <c r="K265" t="s">
        <v>27</v>
      </c>
      <c r="L265">
        <v>185255</v>
      </c>
      <c r="M265" t="s">
        <v>493</v>
      </c>
      <c r="O265">
        <v>1</v>
      </c>
      <c r="P265" t="s">
        <v>494</v>
      </c>
      <c r="Q265" t="s">
        <v>52</v>
      </c>
    </row>
    <row r="266" spans="1:18" x14ac:dyDescent="0.25">
      <c r="A266">
        <v>8003879954</v>
      </c>
      <c r="B266">
        <v>7</v>
      </c>
      <c r="C266">
        <v>2032018</v>
      </c>
      <c r="D266">
        <v>341</v>
      </c>
      <c r="E266" t="s">
        <v>25</v>
      </c>
      <c r="F266">
        <v>9938</v>
      </c>
      <c r="G266" t="s">
        <v>495</v>
      </c>
      <c r="H266" s="2">
        <v>362.09</v>
      </c>
      <c r="I266" t="s">
        <v>26</v>
      </c>
      <c r="J266" s="2">
        <v>169328.01</v>
      </c>
      <c r="K266" t="s">
        <v>27</v>
      </c>
      <c r="L266">
        <v>185255</v>
      </c>
      <c r="M266" t="s">
        <v>28</v>
      </c>
      <c r="O266">
        <v>1</v>
      </c>
      <c r="P266" t="s">
        <v>496</v>
      </c>
      <c r="Q266" t="s">
        <v>29</v>
      </c>
    </row>
    <row r="267" spans="1:18" x14ac:dyDescent="0.25">
      <c r="A267">
        <v>8003879954</v>
      </c>
      <c r="B267">
        <v>6</v>
      </c>
      <c r="C267">
        <v>2032018</v>
      </c>
      <c r="D267">
        <v>299</v>
      </c>
      <c r="E267" t="s">
        <v>30</v>
      </c>
      <c r="F267">
        <v>9938</v>
      </c>
      <c r="G267" t="s">
        <v>495</v>
      </c>
      <c r="H267" s="2">
        <v>0.01</v>
      </c>
      <c r="I267" t="s">
        <v>26</v>
      </c>
      <c r="J267" s="2">
        <v>169690.1</v>
      </c>
      <c r="K267" t="s">
        <v>27</v>
      </c>
      <c r="L267">
        <v>185255</v>
      </c>
      <c r="M267" t="s">
        <v>497</v>
      </c>
      <c r="O267">
        <v>1</v>
      </c>
    </row>
    <row r="268" spans="1:18" x14ac:dyDescent="0.25">
      <c r="A268">
        <v>8003879954</v>
      </c>
      <c r="B268">
        <v>5</v>
      </c>
      <c r="C268">
        <v>2032018</v>
      </c>
      <c r="D268">
        <v>489</v>
      </c>
      <c r="E268" t="s">
        <v>31</v>
      </c>
      <c r="F268">
        <v>9938</v>
      </c>
      <c r="G268" t="s">
        <v>495</v>
      </c>
      <c r="H268" s="2">
        <v>0.1</v>
      </c>
      <c r="I268" t="s">
        <v>26</v>
      </c>
      <c r="J268" s="2">
        <v>169690.11</v>
      </c>
      <c r="K268" t="s">
        <v>27</v>
      </c>
      <c r="L268">
        <v>185255</v>
      </c>
      <c r="M268" t="s">
        <v>497</v>
      </c>
      <c r="O268">
        <v>1</v>
      </c>
    </row>
    <row r="269" spans="1:18" x14ac:dyDescent="0.25">
      <c r="A269">
        <v>8003879954</v>
      </c>
      <c r="B269">
        <v>4</v>
      </c>
      <c r="C269">
        <v>2032018</v>
      </c>
      <c r="D269">
        <v>341</v>
      </c>
      <c r="E269" t="s">
        <v>25</v>
      </c>
      <c r="F269">
        <v>9938</v>
      </c>
      <c r="G269" t="s">
        <v>498</v>
      </c>
      <c r="H269" s="2">
        <v>7000</v>
      </c>
      <c r="I269" t="s">
        <v>26</v>
      </c>
      <c r="J269" s="2">
        <v>169690.21</v>
      </c>
      <c r="K269" t="s">
        <v>27</v>
      </c>
      <c r="L269">
        <v>185254</v>
      </c>
      <c r="M269" t="s">
        <v>499</v>
      </c>
      <c r="O269">
        <v>1</v>
      </c>
      <c r="P269" t="s">
        <v>500</v>
      </c>
      <c r="Q269" t="s">
        <v>501</v>
      </c>
    </row>
    <row r="270" spans="1:18" x14ac:dyDescent="0.25">
      <c r="A270">
        <v>8003879954</v>
      </c>
      <c r="B270">
        <v>3</v>
      </c>
      <c r="C270">
        <v>2032018</v>
      </c>
      <c r="D270">
        <v>299</v>
      </c>
      <c r="E270" t="s">
        <v>30</v>
      </c>
      <c r="F270">
        <v>9938</v>
      </c>
      <c r="G270" t="s">
        <v>498</v>
      </c>
      <c r="H270" s="2">
        <v>0.01</v>
      </c>
      <c r="I270" t="s">
        <v>26</v>
      </c>
      <c r="J270" s="2">
        <v>176690.21</v>
      </c>
      <c r="K270" t="s">
        <v>27</v>
      </c>
      <c r="L270">
        <v>185254</v>
      </c>
      <c r="M270" t="s">
        <v>502</v>
      </c>
      <c r="O270">
        <v>1</v>
      </c>
    </row>
    <row r="271" spans="1:18" x14ac:dyDescent="0.25">
      <c r="A271">
        <v>8003879954</v>
      </c>
      <c r="B271">
        <v>2</v>
      </c>
      <c r="C271">
        <v>2032018</v>
      </c>
      <c r="D271">
        <v>489</v>
      </c>
      <c r="E271" t="s">
        <v>31</v>
      </c>
      <c r="F271">
        <v>9938</v>
      </c>
      <c r="G271" t="s">
        <v>498</v>
      </c>
      <c r="H271" s="2">
        <v>0.1</v>
      </c>
      <c r="I271" t="s">
        <v>26</v>
      </c>
      <c r="J271" s="2">
        <v>176690.22</v>
      </c>
      <c r="K271" t="s">
        <v>27</v>
      </c>
      <c r="L271">
        <v>185254</v>
      </c>
      <c r="M271" t="s">
        <v>502</v>
      </c>
      <c r="O271">
        <v>1</v>
      </c>
    </row>
    <row r="272" spans="1:18" x14ac:dyDescent="0.25">
      <c r="A272">
        <v>8003879954</v>
      </c>
      <c r="B272">
        <v>1</v>
      </c>
      <c r="C272">
        <v>2032018</v>
      </c>
      <c r="D272">
        <v>60</v>
      </c>
      <c r="E272" t="s">
        <v>37</v>
      </c>
      <c r="F272">
        <v>9938</v>
      </c>
      <c r="G272" t="s">
        <v>503</v>
      </c>
      <c r="H272" s="2">
        <v>155</v>
      </c>
      <c r="I272" t="s">
        <v>26</v>
      </c>
      <c r="J272" s="2">
        <v>176690.32</v>
      </c>
      <c r="K272" t="s">
        <v>27</v>
      </c>
      <c r="L272">
        <v>185254</v>
      </c>
      <c r="M272" t="s">
        <v>504</v>
      </c>
      <c r="O272">
        <v>1</v>
      </c>
      <c r="P272" t="s">
        <v>505</v>
      </c>
      <c r="Q272" t="s">
        <v>378</v>
      </c>
    </row>
    <row r="275" spans="8:8" x14ac:dyDescent="0.25">
      <c r="H275" s="2">
        <f>SUBTOTAL(9,H12:H272)</f>
        <v>3639567.4299999988</v>
      </c>
    </row>
  </sheetData>
  <autoFilter ref="A9:R272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428D-BD40-4BEF-A1F9-1626F580D337}">
  <dimension ref="A1:R268"/>
  <sheetViews>
    <sheetView topLeftCell="A103" workbookViewId="0">
      <selection activeCell="H268" sqref="H268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2" bestFit="1" customWidth="1"/>
    <col min="10" max="10" width="13.28515625" style="2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509</v>
      </c>
    </row>
    <row r="5" spans="1:18" x14ac:dyDescent="0.25">
      <c r="A5" t="s">
        <v>510</v>
      </c>
    </row>
    <row r="6" spans="1:18" x14ac:dyDescent="0.25">
      <c r="A6" t="s">
        <v>511</v>
      </c>
    </row>
    <row r="8" spans="1:18" s="5" customFormat="1" ht="41.25" customHeight="1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6" t="s">
        <v>14</v>
      </c>
      <c r="I8" s="5" t="s">
        <v>15</v>
      </c>
      <c r="J8" s="6" t="s">
        <v>16</v>
      </c>
      <c r="K8" s="5" t="s">
        <v>17</v>
      </c>
      <c r="L8" s="5" t="s">
        <v>18</v>
      </c>
      <c r="M8" s="5" t="s">
        <v>19</v>
      </c>
      <c r="N8" s="5" t="s">
        <v>20</v>
      </c>
      <c r="O8" s="5" t="s">
        <v>21</v>
      </c>
      <c r="P8" s="5" t="s">
        <v>22</v>
      </c>
      <c r="Q8" s="5" t="s">
        <v>23</v>
      </c>
      <c r="R8" s="5" t="s">
        <v>24</v>
      </c>
    </row>
    <row r="10" spans="1:18" x14ac:dyDescent="0.25">
      <c r="A10">
        <v>8003879954</v>
      </c>
      <c r="B10">
        <v>11</v>
      </c>
      <c r="C10">
        <v>30042018</v>
      </c>
      <c r="D10">
        <v>299</v>
      </c>
      <c r="E10" t="s">
        <v>30</v>
      </c>
      <c r="H10" s="2">
        <v>0.06</v>
      </c>
      <c r="I10" t="s">
        <v>26</v>
      </c>
      <c r="J10" s="2">
        <v>2430963.17</v>
      </c>
      <c r="K10" t="s">
        <v>27</v>
      </c>
      <c r="L10">
        <v>10328</v>
      </c>
      <c r="M10" t="s">
        <v>32</v>
      </c>
      <c r="O10">
        <v>1</v>
      </c>
    </row>
    <row r="11" spans="1:18" x14ac:dyDescent="0.25">
      <c r="A11">
        <v>8003879954</v>
      </c>
      <c r="B11">
        <v>10</v>
      </c>
      <c r="C11">
        <v>30042018</v>
      </c>
      <c r="D11">
        <v>819</v>
      </c>
      <c r="E11" t="s">
        <v>35</v>
      </c>
      <c r="H11" s="2">
        <v>1</v>
      </c>
      <c r="I11" t="s">
        <v>26</v>
      </c>
      <c r="J11" s="2">
        <v>2430963.23</v>
      </c>
      <c r="K11" t="s">
        <v>27</v>
      </c>
      <c r="L11">
        <v>10328</v>
      </c>
      <c r="M11" t="s">
        <v>32</v>
      </c>
      <c r="O11">
        <v>1</v>
      </c>
    </row>
    <row r="12" spans="1:18" x14ac:dyDescent="0.25">
      <c r="A12">
        <v>8003879954</v>
      </c>
      <c r="B12">
        <v>9</v>
      </c>
      <c r="C12">
        <v>30042018</v>
      </c>
      <c r="D12">
        <v>299</v>
      </c>
      <c r="E12" t="s">
        <v>30</v>
      </c>
      <c r="H12" s="2">
        <v>0.03</v>
      </c>
      <c r="I12" t="s">
        <v>26</v>
      </c>
      <c r="J12" s="2">
        <v>2430964.23</v>
      </c>
      <c r="K12" t="s">
        <v>27</v>
      </c>
      <c r="L12">
        <v>10328</v>
      </c>
      <c r="M12" t="s">
        <v>32</v>
      </c>
      <c r="O12">
        <v>1</v>
      </c>
    </row>
    <row r="13" spans="1:18" x14ac:dyDescent="0.25">
      <c r="A13">
        <v>8003879954</v>
      </c>
      <c r="B13">
        <v>8</v>
      </c>
      <c r="C13">
        <v>30042018</v>
      </c>
      <c r="D13">
        <v>819</v>
      </c>
      <c r="E13" t="s">
        <v>35</v>
      </c>
      <c r="H13" s="2">
        <v>0.5</v>
      </c>
      <c r="I13" t="s">
        <v>26</v>
      </c>
      <c r="J13" s="2">
        <v>2430964.2599999998</v>
      </c>
      <c r="K13" t="s">
        <v>27</v>
      </c>
      <c r="L13">
        <v>10328</v>
      </c>
      <c r="M13" t="s">
        <v>32</v>
      </c>
      <c r="O13">
        <v>1</v>
      </c>
    </row>
    <row r="14" spans="1:18" x14ac:dyDescent="0.25">
      <c r="A14">
        <v>8003879954</v>
      </c>
      <c r="B14">
        <v>7</v>
      </c>
      <c r="C14">
        <v>30042018</v>
      </c>
      <c r="D14">
        <v>321</v>
      </c>
      <c r="E14" t="s">
        <v>36</v>
      </c>
      <c r="F14">
        <v>0</v>
      </c>
      <c r="G14" t="s">
        <v>840</v>
      </c>
      <c r="H14" s="2">
        <v>39856</v>
      </c>
      <c r="I14" t="s">
        <v>26</v>
      </c>
      <c r="J14" s="2">
        <v>2430964.7599999998</v>
      </c>
      <c r="K14" t="s">
        <v>27</v>
      </c>
      <c r="L14">
        <v>10137</v>
      </c>
      <c r="M14" t="s">
        <v>32</v>
      </c>
      <c r="O14">
        <v>1</v>
      </c>
    </row>
    <row r="15" spans="1:18" x14ac:dyDescent="0.25">
      <c r="A15">
        <v>8003879954</v>
      </c>
      <c r="B15">
        <v>6</v>
      </c>
      <c r="C15">
        <v>30042018</v>
      </c>
      <c r="D15">
        <v>321</v>
      </c>
      <c r="E15" t="s">
        <v>36</v>
      </c>
      <c r="F15">
        <v>0</v>
      </c>
      <c r="G15" t="s">
        <v>841</v>
      </c>
      <c r="H15" s="2">
        <v>15900</v>
      </c>
      <c r="I15" t="s">
        <v>26</v>
      </c>
      <c r="J15" s="2">
        <v>2470820.7599999998</v>
      </c>
      <c r="K15" t="s">
        <v>27</v>
      </c>
      <c r="L15">
        <v>10137</v>
      </c>
      <c r="M15" t="s">
        <v>32</v>
      </c>
      <c r="O15">
        <v>1</v>
      </c>
    </row>
    <row r="16" spans="1:18" x14ac:dyDescent="0.25">
      <c r="A16">
        <v>8003879954</v>
      </c>
      <c r="B16">
        <v>5</v>
      </c>
      <c r="C16">
        <v>30042018</v>
      </c>
      <c r="D16">
        <v>323</v>
      </c>
      <c r="E16" t="s">
        <v>50</v>
      </c>
      <c r="F16">
        <v>0</v>
      </c>
      <c r="G16" t="s">
        <v>842</v>
      </c>
      <c r="H16" s="2">
        <v>11321.02</v>
      </c>
      <c r="I16" t="s">
        <v>26</v>
      </c>
      <c r="J16" s="2">
        <v>2486720.7599999998</v>
      </c>
      <c r="K16" t="s">
        <v>27</v>
      </c>
      <c r="L16">
        <v>10137</v>
      </c>
      <c r="M16" t="s">
        <v>32</v>
      </c>
      <c r="O16">
        <v>1</v>
      </c>
    </row>
    <row r="17" spans="1:18" x14ac:dyDescent="0.25">
      <c r="A17">
        <v>8003879954</v>
      </c>
      <c r="B17">
        <v>4</v>
      </c>
      <c r="C17">
        <v>30042018</v>
      </c>
      <c r="D17">
        <v>345</v>
      </c>
      <c r="E17" t="s">
        <v>51</v>
      </c>
      <c r="F17">
        <v>9938</v>
      </c>
      <c r="G17" t="s">
        <v>843</v>
      </c>
      <c r="H17" s="2">
        <v>3000</v>
      </c>
      <c r="I17" t="s">
        <v>26</v>
      </c>
      <c r="J17" s="2">
        <v>2498041.7799999998</v>
      </c>
      <c r="K17" t="s">
        <v>27</v>
      </c>
      <c r="L17">
        <v>81550</v>
      </c>
      <c r="M17" t="s">
        <v>844</v>
      </c>
      <c r="O17">
        <v>1</v>
      </c>
      <c r="P17" t="s">
        <v>845</v>
      </c>
      <c r="Q17" t="s">
        <v>846</v>
      </c>
    </row>
    <row r="18" spans="1:18" x14ac:dyDescent="0.25">
      <c r="A18">
        <v>8003879954</v>
      </c>
      <c r="B18">
        <v>3</v>
      </c>
      <c r="C18">
        <v>30042018</v>
      </c>
      <c r="D18">
        <v>299</v>
      </c>
      <c r="E18" t="s">
        <v>30</v>
      </c>
      <c r="F18">
        <v>3471</v>
      </c>
      <c r="G18" t="s">
        <v>847</v>
      </c>
      <c r="H18" s="2">
        <v>1.98</v>
      </c>
      <c r="I18" t="s">
        <v>26</v>
      </c>
      <c r="J18" s="2">
        <v>2501041.7799999998</v>
      </c>
      <c r="K18" t="s">
        <v>27</v>
      </c>
      <c r="L18">
        <v>64431</v>
      </c>
      <c r="M18" t="s">
        <v>32</v>
      </c>
      <c r="O18">
        <v>1</v>
      </c>
    </row>
    <row r="19" spans="1:18" x14ac:dyDescent="0.25">
      <c r="A19">
        <v>8003879954</v>
      </c>
      <c r="B19">
        <v>2</v>
      </c>
      <c r="C19">
        <v>30042018</v>
      </c>
      <c r="D19">
        <v>489</v>
      </c>
      <c r="E19" t="s">
        <v>905</v>
      </c>
      <c r="F19">
        <v>3471</v>
      </c>
      <c r="G19" t="s">
        <v>847</v>
      </c>
      <c r="H19" s="2">
        <v>33</v>
      </c>
      <c r="I19" t="s">
        <v>26</v>
      </c>
      <c r="J19" s="2">
        <v>2501043.7599999998</v>
      </c>
      <c r="K19" t="s">
        <v>27</v>
      </c>
      <c r="L19">
        <v>64431</v>
      </c>
      <c r="M19" t="s">
        <v>32</v>
      </c>
      <c r="O19">
        <v>1</v>
      </c>
    </row>
    <row r="20" spans="1:18" x14ac:dyDescent="0.25">
      <c r="A20">
        <v>8003879954</v>
      </c>
      <c r="B20">
        <v>1</v>
      </c>
      <c r="C20">
        <v>30042018</v>
      </c>
      <c r="D20">
        <v>669</v>
      </c>
      <c r="E20" t="s">
        <v>33</v>
      </c>
      <c r="F20">
        <v>3471</v>
      </c>
      <c r="G20" t="s">
        <v>848</v>
      </c>
      <c r="H20" s="2">
        <v>81584.77</v>
      </c>
      <c r="I20" t="s">
        <v>26</v>
      </c>
      <c r="J20" s="2">
        <v>2501076.7599999998</v>
      </c>
      <c r="K20" t="s">
        <v>27</v>
      </c>
      <c r="L20">
        <v>45751</v>
      </c>
      <c r="M20" t="s">
        <v>849</v>
      </c>
      <c r="O20">
        <v>1</v>
      </c>
      <c r="P20" t="s">
        <v>850</v>
      </c>
      <c r="R20" t="s">
        <v>34</v>
      </c>
    </row>
    <row r="21" spans="1:18" x14ac:dyDescent="0.25">
      <c r="A21">
        <v>8003879954</v>
      </c>
      <c r="B21">
        <v>31</v>
      </c>
      <c r="C21">
        <v>27042018</v>
      </c>
      <c r="D21">
        <v>341</v>
      </c>
      <c r="E21" t="s">
        <v>25</v>
      </c>
      <c r="F21">
        <v>9938</v>
      </c>
      <c r="G21" t="s">
        <v>851</v>
      </c>
      <c r="H21" s="2">
        <v>480</v>
      </c>
      <c r="I21" t="s">
        <v>26</v>
      </c>
      <c r="J21" s="2">
        <v>2582661.5299999998</v>
      </c>
      <c r="K21" t="s">
        <v>27</v>
      </c>
      <c r="L21">
        <v>184317</v>
      </c>
      <c r="M21" t="s">
        <v>722</v>
      </c>
      <c r="O21">
        <v>1</v>
      </c>
      <c r="P21" t="s">
        <v>852</v>
      </c>
      <c r="Q21" t="s">
        <v>44</v>
      </c>
    </row>
    <row r="22" spans="1:18" x14ac:dyDescent="0.25">
      <c r="A22">
        <v>8003879954</v>
      </c>
      <c r="B22">
        <v>30</v>
      </c>
      <c r="C22">
        <v>27042018</v>
      </c>
      <c r="D22">
        <v>299</v>
      </c>
      <c r="E22" t="s">
        <v>30</v>
      </c>
      <c r="F22">
        <v>9938</v>
      </c>
      <c r="G22" t="s">
        <v>851</v>
      </c>
      <c r="H22" s="2">
        <v>0.01</v>
      </c>
      <c r="I22" t="s">
        <v>26</v>
      </c>
      <c r="J22" s="2">
        <v>2583141.5299999998</v>
      </c>
      <c r="K22" t="s">
        <v>27</v>
      </c>
      <c r="L22">
        <v>184317</v>
      </c>
      <c r="M22" t="s">
        <v>853</v>
      </c>
      <c r="O22">
        <v>1</v>
      </c>
    </row>
    <row r="23" spans="1:18" x14ac:dyDescent="0.25">
      <c r="A23">
        <v>8003879954</v>
      </c>
      <c r="B23">
        <v>29</v>
      </c>
      <c r="C23">
        <v>27042018</v>
      </c>
      <c r="D23">
        <v>489</v>
      </c>
      <c r="E23" t="s">
        <v>31</v>
      </c>
      <c r="F23">
        <v>9938</v>
      </c>
      <c r="G23" t="s">
        <v>851</v>
      </c>
      <c r="H23" s="2">
        <v>0.1</v>
      </c>
      <c r="I23" t="s">
        <v>26</v>
      </c>
      <c r="J23" s="2">
        <v>2583141.54</v>
      </c>
      <c r="K23" t="s">
        <v>27</v>
      </c>
      <c r="L23">
        <v>184317</v>
      </c>
      <c r="M23" t="s">
        <v>853</v>
      </c>
      <c r="O23">
        <v>1</v>
      </c>
    </row>
    <row r="24" spans="1:18" x14ac:dyDescent="0.25">
      <c r="A24">
        <v>8003879954</v>
      </c>
      <c r="B24">
        <v>28</v>
      </c>
      <c r="C24">
        <v>27042018</v>
      </c>
      <c r="D24">
        <v>343</v>
      </c>
      <c r="E24" t="s">
        <v>115</v>
      </c>
      <c r="F24">
        <v>9938</v>
      </c>
      <c r="G24" t="s">
        <v>854</v>
      </c>
      <c r="H24" s="2">
        <v>175.85</v>
      </c>
      <c r="I24" t="s">
        <v>26</v>
      </c>
      <c r="J24" s="2">
        <v>2583141.64</v>
      </c>
      <c r="K24" t="s">
        <v>27</v>
      </c>
      <c r="L24">
        <v>184317</v>
      </c>
      <c r="M24" t="s">
        <v>340</v>
      </c>
      <c r="O24">
        <v>1</v>
      </c>
    </row>
    <row r="25" spans="1:18" x14ac:dyDescent="0.25">
      <c r="A25">
        <v>8003879954</v>
      </c>
      <c r="B25">
        <v>27</v>
      </c>
      <c r="C25">
        <v>27042018</v>
      </c>
      <c r="D25">
        <v>345</v>
      </c>
      <c r="E25" t="s">
        <v>51</v>
      </c>
      <c r="F25">
        <v>9938</v>
      </c>
      <c r="G25" t="s">
        <v>855</v>
      </c>
      <c r="H25" s="2">
        <v>5670.7</v>
      </c>
      <c r="I25" t="s">
        <v>26</v>
      </c>
      <c r="J25" s="2">
        <v>2583317.4900000002</v>
      </c>
      <c r="K25" t="s">
        <v>27</v>
      </c>
      <c r="L25">
        <v>184317</v>
      </c>
      <c r="M25" t="s">
        <v>856</v>
      </c>
      <c r="O25">
        <v>1</v>
      </c>
      <c r="P25" t="s">
        <v>857</v>
      </c>
      <c r="Q25" t="s">
        <v>52</v>
      </c>
    </row>
    <row r="26" spans="1:18" x14ac:dyDescent="0.25">
      <c r="A26">
        <v>8003879954</v>
      </c>
      <c r="B26">
        <v>26</v>
      </c>
      <c r="C26">
        <v>27042018</v>
      </c>
      <c r="D26">
        <v>341</v>
      </c>
      <c r="E26" t="s">
        <v>25</v>
      </c>
      <c r="F26">
        <v>9938</v>
      </c>
      <c r="G26" t="s">
        <v>858</v>
      </c>
      <c r="H26" s="2">
        <v>350</v>
      </c>
      <c r="I26" t="s">
        <v>26</v>
      </c>
      <c r="J26" s="2">
        <v>2588988.19</v>
      </c>
      <c r="K26" t="s">
        <v>27</v>
      </c>
      <c r="L26">
        <v>184316</v>
      </c>
      <c r="M26" t="s">
        <v>824</v>
      </c>
      <c r="O26">
        <v>1</v>
      </c>
      <c r="P26" t="s">
        <v>859</v>
      </c>
      <c r="Q26" t="s">
        <v>826</v>
      </c>
    </row>
    <row r="27" spans="1:18" x14ac:dyDescent="0.25">
      <c r="A27">
        <v>8003879954</v>
      </c>
      <c r="B27">
        <v>25</v>
      </c>
      <c r="C27">
        <v>27042018</v>
      </c>
      <c r="D27">
        <v>299</v>
      </c>
      <c r="E27" t="s">
        <v>30</v>
      </c>
      <c r="F27">
        <v>9938</v>
      </c>
      <c r="G27" t="s">
        <v>858</v>
      </c>
      <c r="H27" s="2">
        <v>0.01</v>
      </c>
      <c r="I27" t="s">
        <v>26</v>
      </c>
      <c r="J27" s="2">
        <v>2589338.19</v>
      </c>
      <c r="K27" t="s">
        <v>27</v>
      </c>
      <c r="L27">
        <v>184316</v>
      </c>
      <c r="M27" t="s">
        <v>860</v>
      </c>
      <c r="O27">
        <v>1</v>
      </c>
    </row>
    <row r="28" spans="1:18" x14ac:dyDescent="0.25">
      <c r="A28">
        <v>8003879954</v>
      </c>
      <c r="B28">
        <v>24</v>
      </c>
      <c r="C28">
        <v>27042018</v>
      </c>
      <c r="D28">
        <v>489</v>
      </c>
      <c r="E28" t="s">
        <v>31</v>
      </c>
      <c r="F28">
        <v>9938</v>
      </c>
      <c r="G28" t="s">
        <v>858</v>
      </c>
      <c r="H28" s="2">
        <v>0.1</v>
      </c>
      <c r="I28" t="s">
        <v>26</v>
      </c>
      <c r="J28" s="2">
        <v>2589338.2000000002</v>
      </c>
      <c r="K28" t="s">
        <v>27</v>
      </c>
      <c r="L28">
        <v>184316</v>
      </c>
      <c r="M28" t="s">
        <v>860</v>
      </c>
      <c r="O28">
        <v>1</v>
      </c>
    </row>
    <row r="29" spans="1:18" x14ac:dyDescent="0.25">
      <c r="A29">
        <v>8003879954</v>
      </c>
      <c r="B29">
        <v>23</v>
      </c>
      <c r="C29">
        <v>27042018</v>
      </c>
      <c r="D29">
        <v>343</v>
      </c>
      <c r="E29" t="s">
        <v>115</v>
      </c>
      <c r="F29">
        <v>9938</v>
      </c>
      <c r="G29" t="s">
        <v>861</v>
      </c>
      <c r="H29" s="2">
        <v>1398.1</v>
      </c>
      <c r="I29" t="s">
        <v>26</v>
      </c>
      <c r="J29" s="2">
        <v>2589338.2999999998</v>
      </c>
      <c r="K29" t="s">
        <v>27</v>
      </c>
      <c r="L29">
        <v>184316</v>
      </c>
      <c r="M29" t="s">
        <v>336</v>
      </c>
      <c r="O29">
        <v>1</v>
      </c>
    </row>
    <row r="30" spans="1:18" x14ac:dyDescent="0.25">
      <c r="A30">
        <v>8003879954</v>
      </c>
      <c r="B30">
        <v>22</v>
      </c>
      <c r="C30">
        <v>27042018</v>
      </c>
      <c r="D30">
        <v>343</v>
      </c>
      <c r="E30" t="s">
        <v>115</v>
      </c>
      <c r="F30">
        <v>9938</v>
      </c>
      <c r="G30" t="s">
        <v>862</v>
      </c>
      <c r="H30" s="2">
        <v>37.049999999999997</v>
      </c>
      <c r="I30" t="s">
        <v>26</v>
      </c>
      <c r="J30" s="2">
        <v>2590736.4</v>
      </c>
      <c r="K30" t="s">
        <v>27</v>
      </c>
      <c r="L30">
        <v>184316</v>
      </c>
      <c r="M30" t="s">
        <v>334</v>
      </c>
      <c r="O30">
        <v>1</v>
      </c>
    </row>
    <row r="31" spans="1:18" x14ac:dyDescent="0.25">
      <c r="A31">
        <v>8003879954</v>
      </c>
      <c r="B31">
        <v>21</v>
      </c>
      <c r="C31">
        <v>27042018</v>
      </c>
      <c r="D31">
        <v>345</v>
      </c>
      <c r="E31" t="s">
        <v>51</v>
      </c>
      <c r="F31">
        <v>9938</v>
      </c>
      <c r="G31" t="s">
        <v>863</v>
      </c>
      <c r="H31" s="2">
        <v>2083.2399999999998</v>
      </c>
      <c r="I31" t="s">
        <v>26</v>
      </c>
      <c r="J31" s="2">
        <v>2590773.4500000002</v>
      </c>
      <c r="K31" t="s">
        <v>27</v>
      </c>
      <c r="L31">
        <v>184316</v>
      </c>
      <c r="M31" t="s">
        <v>844</v>
      </c>
      <c r="O31">
        <v>1</v>
      </c>
      <c r="P31" t="s">
        <v>864</v>
      </c>
      <c r="Q31" t="s">
        <v>865</v>
      </c>
    </row>
    <row r="32" spans="1:18" x14ac:dyDescent="0.25">
      <c r="A32">
        <v>8003879954</v>
      </c>
      <c r="B32">
        <v>20</v>
      </c>
      <c r="C32">
        <v>27042018</v>
      </c>
      <c r="D32">
        <v>345</v>
      </c>
      <c r="E32" t="s">
        <v>51</v>
      </c>
      <c r="F32">
        <v>9938</v>
      </c>
      <c r="G32" t="s">
        <v>866</v>
      </c>
      <c r="H32" s="2">
        <v>1753.4</v>
      </c>
      <c r="I32" t="s">
        <v>26</v>
      </c>
      <c r="J32" s="2">
        <v>2592856.69</v>
      </c>
      <c r="K32" t="s">
        <v>27</v>
      </c>
      <c r="L32">
        <v>184316</v>
      </c>
      <c r="M32" t="s">
        <v>867</v>
      </c>
      <c r="O32">
        <v>1</v>
      </c>
      <c r="P32" t="s">
        <v>868</v>
      </c>
      <c r="Q32" t="s">
        <v>52</v>
      </c>
    </row>
    <row r="33" spans="1:17" x14ac:dyDescent="0.25">
      <c r="A33">
        <v>8003879954</v>
      </c>
      <c r="B33">
        <v>19</v>
      </c>
      <c r="C33">
        <v>27042018</v>
      </c>
      <c r="D33">
        <v>345</v>
      </c>
      <c r="E33" t="s">
        <v>51</v>
      </c>
      <c r="F33">
        <v>9938</v>
      </c>
      <c r="G33" t="s">
        <v>869</v>
      </c>
      <c r="H33" s="2">
        <v>2989.56</v>
      </c>
      <c r="I33" t="s">
        <v>26</v>
      </c>
      <c r="J33" s="2">
        <v>2594610.09</v>
      </c>
      <c r="K33" t="s">
        <v>27</v>
      </c>
      <c r="L33">
        <v>183611</v>
      </c>
      <c r="M33" t="s">
        <v>870</v>
      </c>
      <c r="O33">
        <v>1</v>
      </c>
      <c r="P33" t="s">
        <v>871</v>
      </c>
      <c r="Q33" t="s">
        <v>52</v>
      </c>
    </row>
    <row r="34" spans="1:17" x14ac:dyDescent="0.25">
      <c r="A34">
        <v>8003879954</v>
      </c>
      <c r="B34">
        <v>18</v>
      </c>
      <c r="C34">
        <v>27042018</v>
      </c>
      <c r="D34">
        <v>345</v>
      </c>
      <c r="E34" t="s">
        <v>51</v>
      </c>
      <c r="F34">
        <v>9938</v>
      </c>
      <c r="G34" t="s">
        <v>872</v>
      </c>
      <c r="H34" s="2">
        <v>740</v>
      </c>
      <c r="I34" t="s">
        <v>26</v>
      </c>
      <c r="J34" s="2">
        <v>2597599.65</v>
      </c>
      <c r="K34" t="s">
        <v>27</v>
      </c>
      <c r="L34">
        <v>183610</v>
      </c>
      <c r="M34" t="s">
        <v>873</v>
      </c>
      <c r="O34">
        <v>1</v>
      </c>
      <c r="P34" t="s">
        <v>874</v>
      </c>
      <c r="Q34" t="s">
        <v>653</v>
      </c>
    </row>
    <row r="35" spans="1:17" x14ac:dyDescent="0.25">
      <c r="A35">
        <v>8003879954</v>
      </c>
      <c r="B35">
        <v>17</v>
      </c>
      <c r="C35">
        <v>27042018</v>
      </c>
      <c r="D35">
        <v>60</v>
      </c>
      <c r="E35" t="s">
        <v>37</v>
      </c>
      <c r="F35">
        <v>9938</v>
      </c>
      <c r="G35" t="s">
        <v>875</v>
      </c>
      <c r="H35" s="2">
        <v>1835.4</v>
      </c>
      <c r="I35" t="s">
        <v>26</v>
      </c>
      <c r="J35" s="2">
        <v>2598339.65</v>
      </c>
      <c r="K35" t="s">
        <v>27</v>
      </c>
      <c r="L35">
        <v>183610</v>
      </c>
      <c r="M35" t="s">
        <v>876</v>
      </c>
      <c r="O35">
        <v>1</v>
      </c>
      <c r="P35" t="s">
        <v>877</v>
      </c>
      <c r="Q35" t="s">
        <v>878</v>
      </c>
    </row>
    <row r="36" spans="1:17" x14ac:dyDescent="0.25">
      <c r="A36">
        <v>8003879954</v>
      </c>
      <c r="B36">
        <v>16</v>
      </c>
      <c r="C36">
        <v>27042018</v>
      </c>
      <c r="D36">
        <v>341</v>
      </c>
      <c r="E36" t="s">
        <v>25</v>
      </c>
      <c r="F36">
        <v>9938</v>
      </c>
      <c r="G36" t="s">
        <v>879</v>
      </c>
      <c r="H36" s="2">
        <v>240</v>
      </c>
      <c r="I36" t="s">
        <v>26</v>
      </c>
      <c r="J36" s="2">
        <v>2600175.0499999998</v>
      </c>
      <c r="K36" t="s">
        <v>27</v>
      </c>
      <c r="L36">
        <v>183608</v>
      </c>
      <c r="M36" t="s">
        <v>217</v>
      </c>
      <c r="O36">
        <v>1</v>
      </c>
      <c r="P36" t="s">
        <v>880</v>
      </c>
      <c r="Q36" t="s">
        <v>44</v>
      </c>
    </row>
    <row r="37" spans="1:17" x14ac:dyDescent="0.25">
      <c r="A37">
        <v>8003879954</v>
      </c>
      <c r="B37">
        <v>15</v>
      </c>
      <c r="C37">
        <v>27042018</v>
      </c>
      <c r="D37">
        <v>299</v>
      </c>
      <c r="E37" t="s">
        <v>30</v>
      </c>
      <c r="F37">
        <v>9938</v>
      </c>
      <c r="G37" t="s">
        <v>879</v>
      </c>
      <c r="H37" s="2">
        <v>0.01</v>
      </c>
      <c r="I37" t="s">
        <v>26</v>
      </c>
      <c r="J37" s="2">
        <v>2600415.0499999998</v>
      </c>
      <c r="K37" t="s">
        <v>27</v>
      </c>
      <c r="L37">
        <v>183608</v>
      </c>
      <c r="M37" t="s">
        <v>881</v>
      </c>
      <c r="O37">
        <v>1</v>
      </c>
    </row>
    <row r="38" spans="1:17" x14ac:dyDescent="0.25">
      <c r="A38">
        <v>8003879954</v>
      </c>
      <c r="B38">
        <v>14</v>
      </c>
      <c r="C38">
        <v>27042018</v>
      </c>
      <c r="D38">
        <v>489</v>
      </c>
      <c r="E38" t="s">
        <v>31</v>
      </c>
      <c r="F38">
        <v>9938</v>
      </c>
      <c r="G38" t="s">
        <v>879</v>
      </c>
      <c r="H38" s="2">
        <v>0.1</v>
      </c>
      <c r="I38" t="s">
        <v>26</v>
      </c>
      <c r="J38" s="2">
        <v>2600415.06</v>
      </c>
      <c r="K38" t="s">
        <v>27</v>
      </c>
      <c r="L38">
        <v>183608</v>
      </c>
      <c r="M38" t="s">
        <v>881</v>
      </c>
      <c r="O38">
        <v>1</v>
      </c>
    </row>
    <row r="39" spans="1:17" x14ac:dyDescent="0.25">
      <c r="A39">
        <v>8003879954</v>
      </c>
      <c r="B39">
        <v>13</v>
      </c>
      <c r="C39">
        <v>27042018</v>
      </c>
      <c r="D39">
        <v>60</v>
      </c>
      <c r="E39" t="s">
        <v>37</v>
      </c>
      <c r="F39">
        <v>9938</v>
      </c>
      <c r="G39" t="s">
        <v>882</v>
      </c>
      <c r="H39" s="2">
        <v>242.75</v>
      </c>
      <c r="I39" t="s">
        <v>26</v>
      </c>
      <c r="J39" s="2">
        <v>2600415.16</v>
      </c>
      <c r="K39" t="s">
        <v>27</v>
      </c>
      <c r="L39">
        <v>183607</v>
      </c>
      <c r="M39" t="s">
        <v>883</v>
      </c>
      <c r="O39">
        <v>1</v>
      </c>
      <c r="P39" t="s">
        <v>884</v>
      </c>
      <c r="Q39" t="s">
        <v>52</v>
      </c>
    </row>
    <row r="40" spans="1:17" x14ac:dyDescent="0.25">
      <c r="A40">
        <v>8003879954</v>
      </c>
      <c r="B40">
        <v>12</v>
      </c>
      <c r="C40">
        <v>27042018</v>
      </c>
      <c r="D40">
        <v>345</v>
      </c>
      <c r="E40" t="s">
        <v>51</v>
      </c>
      <c r="F40">
        <v>9938</v>
      </c>
      <c r="G40" t="s">
        <v>885</v>
      </c>
      <c r="H40" s="2">
        <v>540</v>
      </c>
      <c r="I40" t="s">
        <v>26</v>
      </c>
      <c r="J40" s="2">
        <v>2600657.91</v>
      </c>
      <c r="K40" t="s">
        <v>27</v>
      </c>
      <c r="L40">
        <v>183607</v>
      </c>
      <c r="M40" t="s">
        <v>886</v>
      </c>
      <c r="O40">
        <v>1</v>
      </c>
      <c r="P40" t="s">
        <v>887</v>
      </c>
      <c r="Q40" t="s">
        <v>653</v>
      </c>
    </row>
    <row r="41" spans="1:17" x14ac:dyDescent="0.25">
      <c r="A41">
        <v>8003879954</v>
      </c>
      <c r="B41">
        <v>11</v>
      </c>
      <c r="C41">
        <v>27042018</v>
      </c>
      <c r="D41">
        <v>341</v>
      </c>
      <c r="E41" t="s">
        <v>25</v>
      </c>
      <c r="F41">
        <v>9938</v>
      </c>
      <c r="G41" t="s">
        <v>888</v>
      </c>
      <c r="H41" s="2">
        <v>4850</v>
      </c>
      <c r="I41" t="s">
        <v>26</v>
      </c>
      <c r="J41" s="2">
        <v>2601197.91</v>
      </c>
      <c r="K41" t="s">
        <v>27</v>
      </c>
      <c r="L41">
        <v>183609</v>
      </c>
      <c r="M41" t="s">
        <v>889</v>
      </c>
      <c r="O41">
        <v>1</v>
      </c>
      <c r="P41" t="s">
        <v>890</v>
      </c>
      <c r="Q41" t="s">
        <v>891</v>
      </c>
    </row>
    <row r="42" spans="1:17" x14ac:dyDescent="0.25">
      <c r="A42">
        <v>8003879954</v>
      </c>
      <c r="B42">
        <v>10</v>
      </c>
      <c r="C42">
        <v>27042018</v>
      </c>
      <c r="D42">
        <v>299</v>
      </c>
      <c r="E42" t="s">
        <v>30</v>
      </c>
      <c r="F42">
        <v>9938</v>
      </c>
      <c r="G42" t="s">
        <v>888</v>
      </c>
      <c r="H42" s="2">
        <v>0.01</v>
      </c>
      <c r="I42" t="s">
        <v>26</v>
      </c>
      <c r="J42" s="2">
        <v>2606047.91</v>
      </c>
      <c r="K42" t="s">
        <v>27</v>
      </c>
      <c r="L42">
        <v>183609</v>
      </c>
      <c r="M42" t="s">
        <v>892</v>
      </c>
      <c r="O42">
        <v>1</v>
      </c>
    </row>
    <row r="43" spans="1:17" x14ac:dyDescent="0.25">
      <c r="A43">
        <v>8003879954</v>
      </c>
      <c r="B43">
        <v>9</v>
      </c>
      <c r="C43">
        <v>27042018</v>
      </c>
      <c r="D43">
        <v>489</v>
      </c>
      <c r="E43" t="s">
        <v>31</v>
      </c>
      <c r="F43">
        <v>9938</v>
      </c>
      <c r="G43" t="s">
        <v>888</v>
      </c>
      <c r="H43" s="2">
        <v>0.1</v>
      </c>
      <c r="I43" t="s">
        <v>26</v>
      </c>
      <c r="J43" s="2">
        <v>2606047.92</v>
      </c>
      <c r="K43" t="s">
        <v>27</v>
      </c>
      <c r="L43">
        <v>183609</v>
      </c>
      <c r="M43" t="s">
        <v>892</v>
      </c>
      <c r="O43">
        <v>1</v>
      </c>
    </row>
    <row r="44" spans="1:17" x14ac:dyDescent="0.25">
      <c r="A44">
        <v>8003879954</v>
      </c>
      <c r="B44">
        <v>8</v>
      </c>
      <c r="C44">
        <v>27042018</v>
      </c>
      <c r="D44">
        <v>345</v>
      </c>
      <c r="E44" t="s">
        <v>51</v>
      </c>
      <c r="F44">
        <v>9938</v>
      </c>
      <c r="G44" t="s">
        <v>893</v>
      </c>
      <c r="H44" s="2">
        <v>1591.4</v>
      </c>
      <c r="I44" t="s">
        <v>26</v>
      </c>
      <c r="J44" s="2">
        <v>2606048.02</v>
      </c>
      <c r="K44" t="s">
        <v>27</v>
      </c>
      <c r="L44">
        <v>183609</v>
      </c>
      <c r="M44" t="s">
        <v>190</v>
      </c>
      <c r="O44">
        <v>1</v>
      </c>
      <c r="P44" t="s">
        <v>894</v>
      </c>
      <c r="Q44" t="s">
        <v>895</v>
      </c>
    </row>
    <row r="45" spans="1:17" x14ac:dyDescent="0.25">
      <c r="A45">
        <v>8003879954</v>
      </c>
      <c r="B45">
        <v>7</v>
      </c>
      <c r="C45">
        <v>27042018</v>
      </c>
      <c r="D45">
        <v>341</v>
      </c>
      <c r="E45" t="s">
        <v>25</v>
      </c>
      <c r="F45">
        <v>9938</v>
      </c>
      <c r="G45" t="s">
        <v>896</v>
      </c>
      <c r="H45" s="2">
        <v>8374</v>
      </c>
      <c r="I45" t="s">
        <v>26</v>
      </c>
      <c r="J45" s="2">
        <v>2607639.42</v>
      </c>
      <c r="K45" t="s">
        <v>27</v>
      </c>
      <c r="L45">
        <v>183608</v>
      </c>
      <c r="M45" t="s">
        <v>273</v>
      </c>
      <c r="O45">
        <v>1</v>
      </c>
      <c r="P45" t="s">
        <v>897</v>
      </c>
      <c r="Q45" t="s">
        <v>898</v>
      </c>
    </row>
    <row r="46" spans="1:17" x14ac:dyDescent="0.25">
      <c r="A46">
        <v>8003879954</v>
      </c>
      <c r="B46">
        <v>6</v>
      </c>
      <c r="C46">
        <v>27042018</v>
      </c>
      <c r="D46">
        <v>299</v>
      </c>
      <c r="E46" t="s">
        <v>30</v>
      </c>
      <c r="F46">
        <v>9938</v>
      </c>
      <c r="G46" t="s">
        <v>896</v>
      </c>
      <c r="H46" s="2">
        <v>0.01</v>
      </c>
      <c r="I46" t="s">
        <v>26</v>
      </c>
      <c r="J46" s="2">
        <v>2616013.42</v>
      </c>
      <c r="K46" t="s">
        <v>27</v>
      </c>
      <c r="L46">
        <v>183608</v>
      </c>
      <c r="M46" t="s">
        <v>899</v>
      </c>
      <c r="O46">
        <v>1</v>
      </c>
    </row>
    <row r="47" spans="1:17" x14ac:dyDescent="0.25">
      <c r="A47">
        <v>8003879954</v>
      </c>
      <c r="B47">
        <v>5</v>
      </c>
      <c r="C47">
        <v>27042018</v>
      </c>
      <c r="D47">
        <v>489</v>
      </c>
      <c r="E47" t="s">
        <v>31</v>
      </c>
      <c r="F47">
        <v>9938</v>
      </c>
      <c r="G47" t="s">
        <v>896</v>
      </c>
      <c r="H47" s="2">
        <v>0.1</v>
      </c>
      <c r="I47" t="s">
        <v>26</v>
      </c>
      <c r="J47" s="2">
        <v>2616013.4300000002</v>
      </c>
      <c r="K47" t="s">
        <v>27</v>
      </c>
      <c r="L47">
        <v>183608</v>
      </c>
      <c r="M47" t="s">
        <v>899</v>
      </c>
      <c r="O47">
        <v>1</v>
      </c>
    </row>
    <row r="48" spans="1:17" x14ac:dyDescent="0.25">
      <c r="A48">
        <v>8003879954</v>
      </c>
      <c r="B48">
        <v>4</v>
      </c>
      <c r="C48">
        <v>27042018</v>
      </c>
      <c r="D48">
        <v>345</v>
      </c>
      <c r="E48" t="s">
        <v>51</v>
      </c>
      <c r="F48">
        <v>9938</v>
      </c>
      <c r="G48" t="s">
        <v>900</v>
      </c>
      <c r="H48" s="2">
        <v>642.66</v>
      </c>
      <c r="I48" t="s">
        <v>26</v>
      </c>
      <c r="J48" s="2">
        <v>2616013.5299999998</v>
      </c>
      <c r="K48" t="s">
        <v>27</v>
      </c>
      <c r="L48">
        <v>183607</v>
      </c>
      <c r="M48" t="s">
        <v>901</v>
      </c>
      <c r="O48">
        <v>1</v>
      </c>
      <c r="P48" t="s">
        <v>902</v>
      </c>
      <c r="Q48" t="s">
        <v>52</v>
      </c>
    </row>
    <row r="49" spans="1:18" x14ac:dyDescent="0.25">
      <c r="A49">
        <v>8003879954</v>
      </c>
      <c r="B49">
        <v>3</v>
      </c>
      <c r="C49">
        <v>27042018</v>
      </c>
      <c r="D49">
        <v>299</v>
      </c>
      <c r="E49" t="s">
        <v>508</v>
      </c>
      <c r="F49">
        <v>72</v>
      </c>
      <c r="G49" t="s">
        <v>903</v>
      </c>
      <c r="H49" s="2">
        <v>1.8</v>
      </c>
      <c r="I49" t="s">
        <v>26</v>
      </c>
      <c r="J49" s="2">
        <v>2616656.19</v>
      </c>
      <c r="K49" t="s">
        <v>27</v>
      </c>
      <c r="L49">
        <v>163757</v>
      </c>
      <c r="M49" t="s">
        <v>904</v>
      </c>
      <c r="O49">
        <v>1</v>
      </c>
    </row>
    <row r="50" spans="1:18" x14ac:dyDescent="0.25">
      <c r="A50">
        <v>8003879954</v>
      </c>
      <c r="B50">
        <v>2</v>
      </c>
      <c r="C50">
        <v>27042018</v>
      </c>
      <c r="D50">
        <v>415</v>
      </c>
      <c r="E50" t="s">
        <v>48</v>
      </c>
      <c r="F50">
        <v>72</v>
      </c>
      <c r="G50" t="s">
        <v>903</v>
      </c>
      <c r="H50" s="2">
        <v>30</v>
      </c>
      <c r="I50" t="s">
        <v>26</v>
      </c>
      <c r="J50" s="2">
        <v>2616657.9900000002</v>
      </c>
      <c r="K50" t="s">
        <v>27</v>
      </c>
      <c r="L50">
        <v>163757</v>
      </c>
      <c r="M50" t="s">
        <v>904</v>
      </c>
      <c r="O50">
        <v>1</v>
      </c>
    </row>
    <row r="51" spans="1:18" x14ac:dyDescent="0.25">
      <c r="A51">
        <v>8003879954</v>
      </c>
      <c r="B51">
        <v>1</v>
      </c>
      <c r="C51">
        <v>27042018</v>
      </c>
      <c r="D51">
        <v>349</v>
      </c>
      <c r="E51" s="14" t="s">
        <v>49</v>
      </c>
      <c r="F51">
        <v>72</v>
      </c>
      <c r="G51" t="s">
        <v>903</v>
      </c>
      <c r="H51" s="2">
        <v>25166.84</v>
      </c>
      <c r="I51" t="s">
        <v>26</v>
      </c>
      <c r="J51" s="2">
        <v>2616687.9900000002</v>
      </c>
      <c r="K51" t="s">
        <v>27</v>
      </c>
      <c r="L51">
        <v>163757</v>
      </c>
      <c r="M51" t="s">
        <v>904</v>
      </c>
      <c r="O51">
        <v>1</v>
      </c>
    </row>
    <row r="52" spans="1:18" x14ac:dyDescent="0.25">
      <c r="A52">
        <v>8003879954</v>
      </c>
      <c r="B52">
        <v>9</v>
      </c>
      <c r="C52">
        <v>26042018</v>
      </c>
      <c r="D52">
        <v>299</v>
      </c>
      <c r="E52" t="s">
        <v>30</v>
      </c>
      <c r="H52" s="2">
        <v>0.03</v>
      </c>
      <c r="I52" t="s">
        <v>26</v>
      </c>
      <c r="J52" s="2">
        <v>2641854.83</v>
      </c>
      <c r="K52" t="s">
        <v>27</v>
      </c>
      <c r="L52">
        <v>10002</v>
      </c>
      <c r="M52" t="s">
        <v>32</v>
      </c>
      <c r="O52">
        <v>1</v>
      </c>
    </row>
    <row r="53" spans="1:18" x14ac:dyDescent="0.25">
      <c r="A53">
        <v>8003879954</v>
      </c>
      <c r="B53">
        <v>8</v>
      </c>
      <c r="C53">
        <v>26042018</v>
      </c>
      <c r="D53">
        <v>819</v>
      </c>
      <c r="E53" t="s">
        <v>35</v>
      </c>
      <c r="H53" s="2">
        <v>0.5</v>
      </c>
      <c r="I53" t="s">
        <v>26</v>
      </c>
      <c r="J53" s="2">
        <v>2641854.86</v>
      </c>
      <c r="K53" t="s">
        <v>27</v>
      </c>
      <c r="L53">
        <v>10002</v>
      </c>
      <c r="M53" t="s">
        <v>32</v>
      </c>
      <c r="O53">
        <v>1</v>
      </c>
    </row>
    <row r="54" spans="1:18" x14ac:dyDescent="0.25">
      <c r="A54">
        <v>8003879954</v>
      </c>
      <c r="B54">
        <v>7</v>
      </c>
      <c r="C54">
        <v>26042018</v>
      </c>
      <c r="D54">
        <v>299</v>
      </c>
      <c r="E54" t="s">
        <v>30</v>
      </c>
      <c r="H54" s="2">
        <v>0.03</v>
      </c>
      <c r="I54" t="s">
        <v>26</v>
      </c>
      <c r="J54" s="2">
        <v>2641855.36</v>
      </c>
      <c r="K54" t="s">
        <v>27</v>
      </c>
      <c r="L54">
        <v>10002</v>
      </c>
      <c r="M54" t="s">
        <v>32</v>
      </c>
      <c r="O54">
        <v>1</v>
      </c>
    </row>
    <row r="55" spans="1:18" x14ac:dyDescent="0.25">
      <c r="A55">
        <v>8003879954</v>
      </c>
      <c r="B55">
        <v>6</v>
      </c>
      <c r="C55">
        <v>26042018</v>
      </c>
      <c r="D55">
        <v>819</v>
      </c>
      <c r="E55" t="s">
        <v>35</v>
      </c>
      <c r="H55" s="2">
        <v>0.5</v>
      </c>
      <c r="I55" t="s">
        <v>26</v>
      </c>
      <c r="J55" s="2">
        <v>2641855.39</v>
      </c>
      <c r="K55" t="s">
        <v>27</v>
      </c>
      <c r="L55">
        <v>10002</v>
      </c>
      <c r="M55" t="s">
        <v>32</v>
      </c>
      <c r="O55">
        <v>1</v>
      </c>
    </row>
    <row r="56" spans="1:18" x14ac:dyDescent="0.25">
      <c r="A56">
        <v>8003879954</v>
      </c>
      <c r="B56">
        <v>5</v>
      </c>
      <c r="C56">
        <v>26042018</v>
      </c>
      <c r="D56">
        <v>321</v>
      </c>
      <c r="E56" t="s">
        <v>36</v>
      </c>
      <c r="F56">
        <v>0</v>
      </c>
      <c r="G56" t="s">
        <v>512</v>
      </c>
      <c r="H56" s="2">
        <v>34439.18</v>
      </c>
      <c r="I56" t="s">
        <v>26</v>
      </c>
      <c r="J56" s="2">
        <v>2641855.89</v>
      </c>
      <c r="K56" t="s">
        <v>27</v>
      </c>
      <c r="L56">
        <v>5912</v>
      </c>
      <c r="M56" t="s">
        <v>32</v>
      </c>
      <c r="O56">
        <v>1</v>
      </c>
    </row>
    <row r="57" spans="1:18" x14ac:dyDescent="0.25">
      <c r="A57">
        <v>8003879954</v>
      </c>
      <c r="B57">
        <v>4</v>
      </c>
      <c r="C57">
        <v>26042018</v>
      </c>
      <c r="D57">
        <v>323</v>
      </c>
      <c r="E57" t="s">
        <v>50</v>
      </c>
      <c r="F57">
        <v>0</v>
      </c>
      <c r="G57" t="s">
        <v>513</v>
      </c>
      <c r="H57" s="2">
        <v>28567</v>
      </c>
      <c r="I57" t="s">
        <v>26</v>
      </c>
      <c r="J57" s="2">
        <v>2676295.0699999998</v>
      </c>
      <c r="K57" t="s">
        <v>27</v>
      </c>
      <c r="L57">
        <v>5912</v>
      </c>
      <c r="M57" t="s">
        <v>32</v>
      </c>
      <c r="O57">
        <v>1</v>
      </c>
    </row>
    <row r="58" spans="1:18" x14ac:dyDescent="0.25">
      <c r="A58">
        <v>8003879954</v>
      </c>
      <c r="B58">
        <v>3</v>
      </c>
      <c r="C58">
        <v>26042018</v>
      </c>
      <c r="D58">
        <v>121</v>
      </c>
      <c r="E58" t="s">
        <v>150</v>
      </c>
      <c r="F58">
        <v>2007</v>
      </c>
      <c r="G58" t="s">
        <v>514</v>
      </c>
      <c r="H58" s="2">
        <v>650</v>
      </c>
      <c r="I58" t="s">
        <v>27</v>
      </c>
      <c r="J58" s="2">
        <v>2704862.07</v>
      </c>
      <c r="K58" t="s">
        <v>27</v>
      </c>
      <c r="L58">
        <v>192216</v>
      </c>
      <c r="M58" t="s">
        <v>32</v>
      </c>
      <c r="O58">
        <v>1</v>
      </c>
    </row>
    <row r="59" spans="1:18" x14ac:dyDescent="0.25">
      <c r="A59">
        <v>8003879954</v>
      </c>
      <c r="B59">
        <v>2</v>
      </c>
      <c r="C59">
        <v>26042018</v>
      </c>
      <c r="D59">
        <v>123</v>
      </c>
      <c r="E59" t="s">
        <v>64</v>
      </c>
      <c r="F59">
        <v>2007</v>
      </c>
      <c r="G59" t="s">
        <v>515</v>
      </c>
      <c r="H59" s="2">
        <v>2000</v>
      </c>
      <c r="I59" t="s">
        <v>27</v>
      </c>
      <c r="J59" s="2">
        <v>2704212.07</v>
      </c>
      <c r="K59" t="s">
        <v>27</v>
      </c>
      <c r="L59">
        <v>192216</v>
      </c>
      <c r="M59" t="s">
        <v>32</v>
      </c>
      <c r="O59">
        <v>1</v>
      </c>
    </row>
    <row r="60" spans="1:18" x14ac:dyDescent="0.25">
      <c r="A60">
        <v>8003879954</v>
      </c>
      <c r="B60">
        <v>1</v>
      </c>
      <c r="C60">
        <v>26042018</v>
      </c>
      <c r="D60">
        <v>174</v>
      </c>
      <c r="E60" t="s">
        <v>159</v>
      </c>
      <c r="F60">
        <v>2001</v>
      </c>
      <c r="G60" t="s">
        <v>516</v>
      </c>
      <c r="H60" s="2">
        <v>750</v>
      </c>
      <c r="I60" t="s">
        <v>27</v>
      </c>
      <c r="J60" s="2">
        <v>2702212.07</v>
      </c>
      <c r="K60" t="s">
        <v>27</v>
      </c>
      <c r="L60">
        <v>191439</v>
      </c>
      <c r="M60" t="s">
        <v>517</v>
      </c>
      <c r="O60">
        <v>1</v>
      </c>
      <c r="P60" t="s">
        <v>517</v>
      </c>
      <c r="Q60" t="s">
        <v>518</v>
      </c>
      <c r="R60" t="s">
        <v>519</v>
      </c>
    </row>
    <row r="61" spans="1:18" x14ac:dyDescent="0.25">
      <c r="A61">
        <v>8003879954</v>
      </c>
      <c r="B61">
        <v>7</v>
      </c>
      <c r="C61">
        <v>25042018</v>
      </c>
      <c r="D61">
        <v>121</v>
      </c>
      <c r="E61" t="s">
        <v>150</v>
      </c>
      <c r="F61">
        <v>2007</v>
      </c>
      <c r="G61" t="s">
        <v>520</v>
      </c>
      <c r="H61" s="2">
        <v>4200</v>
      </c>
      <c r="I61" t="s">
        <v>27</v>
      </c>
      <c r="J61" s="2">
        <v>2701462.07</v>
      </c>
      <c r="K61" t="s">
        <v>27</v>
      </c>
      <c r="L61">
        <v>192420</v>
      </c>
      <c r="M61" t="s">
        <v>32</v>
      </c>
      <c r="O61">
        <v>1</v>
      </c>
    </row>
    <row r="62" spans="1:18" x14ac:dyDescent="0.25">
      <c r="A62">
        <v>8003879954</v>
      </c>
      <c r="B62">
        <v>6</v>
      </c>
      <c r="C62">
        <v>25042018</v>
      </c>
      <c r="D62">
        <v>299</v>
      </c>
      <c r="E62" t="s">
        <v>508</v>
      </c>
      <c r="F62">
        <v>72</v>
      </c>
      <c r="G62" t="s">
        <v>521</v>
      </c>
      <c r="H62" s="2">
        <v>1.8</v>
      </c>
      <c r="I62" t="s">
        <v>26</v>
      </c>
      <c r="J62" s="2">
        <v>2697262.07</v>
      </c>
      <c r="K62" t="s">
        <v>27</v>
      </c>
      <c r="L62">
        <v>151647</v>
      </c>
      <c r="M62" t="s">
        <v>522</v>
      </c>
      <c r="O62">
        <v>1</v>
      </c>
    </row>
    <row r="63" spans="1:18" x14ac:dyDescent="0.25">
      <c r="A63">
        <v>8003879954</v>
      </c>
      <c r="B63">
        <v>5</v>
      </c>
      <c r="C63">
        <v>25042018</v>
      </c>
      <c r="D63">
        <v>415</v>
      </c>
      <c r="E63" t="s">
        <v>48</v>
      </c>
      <c r="F63">
        <v>72</v>
      </c>
      <c r="G63" t="s">
        <v>521</v>
      </c>
      <c r="H63" s="2">
        <v>30</v>
      </c>
      <c r="I63" t="s">
        <v>26</v>
      </c>
      <c r="J63" s="2">
        <v>2697263.87</v>
      </c>
      <c r="K63" t="s">
        <v>27</v>
      </c>
      <c r="L63">
        <v>151647</v>
      </c>
      <c r="M63" t="s">
        <v>522</v>
      </c>
      <c r="O63">
        <v>1</v>
      </c>
    </row>
    <row r="64" spans="1:18" x14ac:dyDescent="0.25">
      <c r="A64">
        <v>8003879954</v>
      </c>
      <c r="B64">
        <v>4</v>
      </c>
      <c r="C64">
        <v>25042018</v>
      </c>
      <c r="D64">
        <v>349</v>
      </c>
      <c r="E64" s="14" t="s">
        <v>49</v>
      </c>
      <c r="F64">
        <v>72</v>
      </c>
      <c r="G64" t="s">
        <v>521</v>
      </c>
      <c r="H64" s="2">
        <v>7289.25</v>
      </c>
      <c r="I64" t="s">
        <v>26</v>
      </c>
      <c r="J64" s="2">
        <v>2697293.87</v>
      </c>
      <c r="K64" t="s">
        <v>27</v>
      </c>
      <c r="L64">
        <v>151647</v>
      </c>
      <c r="M64" t="s">
        <v>522</v>
      </c>
      <c r="O64">
        <v>1</v>
      </c>
    </row>
    <row r="65" spans="1:18" x14ac:dyDescent="0.25">
      <c r="A65">
        <v>8003879954</v>
      </c>
      <c r="B65">
        <v>3</v>
      </c>
      <c r="C65">
        <v>25042018</v>
      </c>
      <c r="D65">
        <v>299</v>
      </c>
      <c r="E65" t="s">
        <v>508</v>
      </c>
      <c r="F65">
        <v>72</v>
      </c>
      <c r="G65" t="s">
        <v>523</v>
      </c>
      <c r="H65" s="2">
        <v>0.6</v>
      </c>
      <c r="I65" t="s">
        <v>26</v>
      </c>
      <c r="J65" s="2">
        <v>2704583.12</v>
      </c>
      <c r="K65" t="s">
        <v>27</v>
      </c>
      <c r="L65">
        <v>143524</v>
      </c>
      <c r="M65" t="s">
        <v>524</v>
      </c>
      <c r="O65">
        <v>1</v>
      </c>
    </row>
    <row r="66" spans="1:18" x14ac:dyDescent="0.25">
      <c r="A66">
        <v>8003879954</v>
      </c>
      <c r="B66">
        <v>2</v>
      </c>
      <c r="C66">
        <v>25042018</v>
      </c>
      <c r="D66">
        <v>415</v>
      </c>
      <c r="E66" t="s">
        <v>48</v>
      </c>
      <c r="F66">
        <v>72</v>
      </c>
      <c r="G66" t="s">
        <v>523</v>
      </c>
      <c r="H66" s="2">
        <v>10</v>
      </c>
      <c r="I66" t="s">
        <v>26</v>
      </c>
      <c r="J66" s="2">
        <v>2704583.72</v>
      </c>
      <c r="K66" t="s">
        <v>27</v>
      </c>
      <c r="L66">
        <v>143524</v>
      </c>
      <c r="M66" t="s">
        <v>524</v>
      </c>
      <c r="O66">
        <v>1</v>
      </c>
    </row>
    <row r="67" spans="1:18" x14ac:dyDescent="0.25">
      <c r="A67">
        <v>8003879954</v>
      </c>
      <c r="B67">
        <v>1</v>
      </c>
      <c r="C67">
        <v>25042018</v>
      </c>
      <c r="D67">
        <v>349</v>
      </c>
      <c r="E67" s="14" t="s">
        <v>49</v>
      </c>
      <c r="F67">
        <v>72</v>
      </c>
      <c r="G67" t="s">
        <v>523</v>
      </c>
      <c r="H67" s="2">
        <v>97866.36</v>
      </c>
      <c r="I67" t="s">
        <v>26</v>
      </c>
      <c r="J67" s="2">
        <v>2704593.72</v>
      </c>
      <c r="K67" t="s">
        <v>27</v>
      </c>
      <c r="L67">
        <v>143524</v>
      </c>
      <c r="M67" t="s">
        <v>524</v>
      </c>
      <c r="O67">
        <v>1</v>
      </c>
    </row>
    <row r="68" spans="1:18" x14ac:dyDescent="0.25">
      <c r="A68">
        <v>8003879954</v>
      </c>
      <c r="B68">
        <v>1</v>
      </c>
      <c r="C68">
        <v>23042018</v>
      </c>
      <c r="D68">
        <v>141</v>
      </c>
      <c r="E68" t="s">
        <v>53</v>
      </c>
      <c r="F68">
        <v>6310</v>
      </c>
      <c r="G68" t="s">
        <v>525</v>
      </c>
      <c r="H68" s="2">
        <v>667.75</v>
      </c>
      <c r="I68" t="s">
        <v>27</v>
      </c>
      <c r="J68" s="2">
        <v>2802460.08</v>
      </c>
      <c r="K68" t="s">
        <v>27</v>
      </c>
      <c r="L68">
        <v>101129</v>
      </c>
      <c r="M68" t="s">
        <v>32</v>
      </c>
      <c r="O68">
        <v>1</v>
      </c>
      <c r="P68" t="s">
        <v>526</v>
      </c>
      <c r="Q68" t="s">
        <v>527</v>
      </c>
      <c r="R68" t="s">
        <v>528</v>
      </c>
    </row>
    <row r="69" spans="1:18" x14ac:dyDescent="0.25">
      <c r="A69">
        <v>8003879954</v>
      </c>
      <c r="B69">
        <v>6</v>
      </c>
      <c r="C69">
        <v>20042018</v>
      </c>
      <c r="D69">
        <v>345</v>
      </c>
      <c r="E69" t="s">
        <v>51</v>
      </c>
      <c r="F69">
        <v>9938</v>
      </c>
      <c r="G69" t="s">
        <v>529</v>
      </c>
      <c r="H69" s="2">
        <v>1270.4000000000001</v>
      </c>
      <c r="I69" t="s">
        <v>26</v>
      </c>
      <c r="J69" s="2">
        <v>2801792.33</v>
      </c>
      <c r="K69" t="s">
        <v>27</v>
      </c>
      <c r="L69">
        <v>173930</v>
      </c>
      <c r="M69" t="s">
        <v>530</v>
      </c>
      <c r="O69">
        <v>1</v>
      </c>
      <c r="P69" t="s">
        <v>531</v>
      </c>
      <c r="Q69" t="s">
        <v>532</v>
      </c>
    </row>
    <row r="70" spans="1:18" x14ac:dyDescent="0.25">
      <c r="A70">
        <v>8003879954</v>
      </c>
      <c r="B70">
        <v>5</v>
      </c>
      <c r="C70">
        <v>20042018</v>
      </c>
      <c r="D70">
        <v>5</v>
      </c>
      <c r="E70" t="s">
        <v>54</v>
      </c>
      <c r="H70" s="2">
        <v>500000</v>
      </c>
      <c r="I70" t="s">
        <v>27</v>
      </c>
      <c r="J70" s="2">
        <v>2803062.73</v>
      </c>
      <c r="K70" t="s">
        <v>27</v>
      </c>
      <c r="L70">
        <v>120154</v>
      </c>
      <c r="M70" t="s">
        <v>533</v>
      </c>
      <c r="O70">
        <v>1</v>
      </c>
      <c r="P70" t="s">
        <v>534</v>
      </c>
      <c r="Q70" t="s">
        <v>381</v>
      </c>
      <c r="R70" t="s">
        <v>382</v>
      </c>
    </row>
    <row r="71" spans="1:18" x14ac:dyDescent="0.25">
      <c r="A71">
        <v>8003879954</v>
      </c>
      <c r="B71">
        <v>4</v>
      </c>
      <c r="C71">
        <v>20042018</v>
      </c>
      <c r="D71">
        <v>5</v>
      </c>
      <c r="E71" t="s">
        <v>54</v>
      </c>
      <c r="H71" s="2">
        <v>420000</v>
      </c>
      <c r="I71" t="s">
        <v>27</v>
      </c>
      <c r="J71" s="2">
        <v>2303062.73</v>
      </c>
      <c r="K71" t="s">
        <v>27</v>
      </c>
      <c r="L71">
        <v>120154</v>
      </c>
      <c r="M71" t="s">
        <v>533</v>
      </c>
      <c r="O71">
        <v>1</v>
      </c>
      <c r="P71" t="s">
        <v>535</v>
      </c>
      <c r="Q71" t="s">
        <v>381</v>
      </c>
      <c r="R71" t="s">
        <v>382</v>
      </c>
    </row>
    <row r="72" spans="1:18" x14ac:dyDescent="0.25">
      <c r="A72">
        <v>8003879954</v>
      </c>
      <c r="B72">
        <v>3</v>
      </c>
      <c r="C72">
        <v>20042018</v>
      </c>
      <c r="D72">
        <v>299</v>
      </c>
      <c r="E72" t="s">
        <v>508</v>
      </c>
      <c r="F72">
        <v>72</v>
      </c>
      <c r="G72" t="s">
        <v>536</v>
      </c>
      <c r="H72" s="2">
        <v>1.8</v>
      </c>
      <c r="I72" t="s">
        <v>26</v>
      </c>
      <c r="J72" s="2">
        <v>1883062.73</v>
      </c>
      <c r="K72" t="s">
        <v>27</v>
      </c>
      <c r="L72">
        <v>112243</v>
      </c>
      <c r="M72" t="s">
        <v>537</v>
      </c>
      <c r="O72">
        <v>1</v>
      </c>
    </row>
    <row r="73" spans="1:18" x14ac:dyDescent="0.25">
      <c r="A73">
        <v>8003879954</v>
      </c>
      <c r="B73">
        <v>2</v>
      </c>
      <c r="C73">
        <v>20042018</v>
      </c>
      <c r="D73">
        <v>415</v>
      </c>
      <c r="E73" t="s">
        <v>48</v>
      </c>
      <c r="F73">
        <v>72</v>
      </c>
      <c r="G73" t="s">
        <v>536</v>
      </c>
      <c r="H73" s="2">
        <v>30</v>
      </c>
      <c r="I73" t="s">
        <v>26</v>
      </c>
      <c r="J73" s="2">
        <v>1883064.53</v>
      </c>
      <c r="K73" t="s">
        <v>27</v>
      </c>
      <c r="L73">
        <v>112243</v>
      </c>
      <c r="M73" t="s">
        <v>537</v>
      </c>
      <c r="O73">
        <v>1</v>
      </c>
    </row>
    <row r="74" spans="1:18" x14ac:dyDescent="0.25">
      <c r="A74">
        <v>8003879954</v>
      </c>
      <c r="B74">
        <v>1</v>
      </c>
      <c r="C74">
        <v>20042018</v>
      </c>
      <c r="D74">
        <v>349</v>
      </c>
      <c r="E74" s="14" t="s">
        <v>49</v>
      </c>
      <c r="F74">
        <v>72</v>
      </c>
      <c r="G74" t="s">
        <v>536</v>
      </c>
      <c r="H74" s="2">
        <v>156704.54</v>
      </c>
      <c r="I74" t="s">
        <v>26</v>
      </c>
      <c r="J74" s="2">
        <v>1883094.53</v>
      </c>
      <c r="K74" t="s">
        <v>27</v>
      </c>
      <c r="L74">
        <v>112243</v>
      </c>
      <c r="M74" t="s">
        <v>537</v>
      </c>
      <c r="O74">
        <v>1</v>
      </c>
    </row>
    <row r="75" spans="1:18" x14ac:dyDescent="0.25">
      <c r="A75">
        <v>8003879954</v>
      </c>
      <c r="B75">
        <v>61</v>
      </c>
      <c r="C75">
        <v>19042018</v>
      </c>
      <c r="D75">
        <v>341</v>
      </c>
      <c r="E75" t="s">
        <v>25</v>
      </c>
      <c r="F75">
        <v>9938</v>
      </c>
      <c r="G75" t="s">
        <v>538</v>
      </c>
      <c r="H75" s="2">
        <v>1325</v>
      </c>
      <c r="I75" t="s">
        <v>26</v>
      </c>
      <c r="J75" s="2">
        <v>2039799.07</v>
      </c>
      <c r="K75" t="s">
        <v>27</v>
      </c>
      <c r="L75">
        <v>173919</v>
      </c>
      <c r="M75" t="s">
        <v>539</v>
      </c>
      <c r="O75">
        <v>1</v>
      </c>
      <c r="P75" t="s">
        <v>540</v>
      </c>
      <c r="Q75" t="s">
        <v>541</v>
      </c>
    </row>
    <row r="76" spans="1:18" x14ac:dyDescent="0.25">
      <c r="A76">
        <v>8003879954</v>
      </c>
      <c r="B76">
        <v>60</v>
      </c>
      <c r="C76">
        <v>19042018</v>
      </c>
      <c r="D76">
        <v>299</v>
      </c>
      <c r="E76" t="s">
        <v>30</v>
      </c>
      <c r="F76">
        <v>9938</v>
      </c>
      <c r="G76" t="s">
        <v>538</v>
      </c>
      <c r="H76" s="2">
        <v>0.01</v>
      </c>
      <c r="I76" t="s">
        <v>26</v>
      </c>
      <c r="J76" s="2">
        <v>2041124.07</v>
      </c>
      <c r="K76" t="s">
        <v>27</v>
      </c>
      <c r="L76">
        <v>173919</v>
      </c>
      <c r="M76" t="s">
        <v>542</v>
      </c>
      <c r="O76">
        <v>1</v>
      </c>
    </row>
    <row r="77" spans="1:18" x14ac:dyDescent="0.25">
      <c r="A77">
        <v>8003879954</v>
      </c>
      <c r="B77">
        <v>59</v>
      </c>
      <c r="C77">
        <v>19042018</v>
      </c>
      <c r="D77">
        <v>489</v>
      </c>
      <c r="E77" t="s">
        <v>31</v>
      </c>
      <c r="F77">
        <v>9938</v>
      </c>
      <c r="G77" t="s">
        <v>538</v>
      </c>
      <c r="H77" s="2">
        <v>0.1</v>
      </c>
      <c r="I77" t="s">
        <v>26</v>
      </c>
      <c r="J77" s="2">
        <v>2041124.08</v>
      </c>
      <c r="K77" t="s">
        <v>27</v>
      </c>
      <c r="L77">
        <v>173919</v>
      </c>
      <c r="M77" t="s">
        <v>542</v>
      </c>
      <c r="O77">
        <v>1</v>
      </c>
    </row>
    <row r="78" spans="1:18" x14ac:dyDescent="0.25">
      <c r="A78">
        <v>8003879954</v>
      </c>
      <c r="B78">
        <v>58</v>
      </c>
      <c r="C78">
        <v>19042018</v>
      </c>
      <c r="D78">
        <v>341</v>
      </c>
      <c r="E78" t="s">
        <v>25</v>
      </c>
      <c r="F78">
        <v>9938</v>
      </c>
      <c r="G78" t="s">
        <v>543</v>
      </c>
      <c r="H78" s="2">
        <v>1701.42</v>
      </c>
      <c r="I78" t="s">
        <v>26</v>
      </c>
      <c r="J78" s="2">
        <v>2041124.18</v>
      </c>
      <c r="K78" t="s">
        <v>27</v>
      </c>
      <c r="L78">
        <v>173919</v>
      </c>
      <c r="M78" t="s">
        <v>408</v>
      </c>
      <c r="O78">
        <v>1</v>
      </c>
      <c r="P78" t="s">
        <v>544</v>
      </c>
      <c r="Q78" t="s">
        <v>410</v>
      </c>
    </row>
    <row r="79" spans="1:18" x14ac:dyDescent="0.25">
      <c r="A79">
        <v>8003879954</v>
      </c>
      <c r="B79">
        <v>57</v>
      </c>
      <c r="C79">
        <v>19042018</v>
      </c>
      <c r="D79">
        <v>299</v>
      </c>
      <c r="E79" t="s">
        <v>30</v>
      </c>
      <c r="F79">
        <v>9938</v>
      </c>
      <c r="G79" t="s">
        <v>543</v>
      </c>
      <c r="H79" s="2">
        <v>0.01</v>
      </c>
      <c r="I79" t="s">
        <v>26</v>
      </c>
      <c r="J79" s="2">
        <v>2042825.6</v>
      </c>
      <c r="K79" t="s">
        <v>27</v>
      </c>
      <c r="L79">
        <v>173919</v>
      </c>
      <c r="M79" t="s">
        <v>545</v>
      </c>
      <c r="O79">
        <v>1</v>
      </c>
    </row>
    <row r="80" spans="1:18" x14ac:dyDescent="0.25">
      <c r="A80">
        <v>8003879954</v>
      </c>
      <c r="B80">
        <v>56</v>
      </c>
      <c r="C80">
        <v>19042018</v>
      </c>
      <c r="D80">
        <v>489</v>
      </c>
      <c r="E80" t="s">
        <v>31</v>
      </c>
      <c r="F80">
        <v>9938</v>
      </c>
      <c r="G80" t="s">
        <v>543</v>
      </c>
      <c r="H80" s="2">
        <v>0.1</v>
      </c>
      <c r="I80" t="s">
        <v>26</v>
      </c>
      <c r="J80" s="2">
        <v>2042825.61</v>
      </c>
      <c r="K80" t="s">
        <v>27</v>
      </c>
      <c r="L80">
        <v>173919</v>
      </c>
      <c r="M80" t="s">
        <v>545</v>
      </c>
      <c r="O80">
        <v>1</v>
      </c>
    </row>
    <row r="81" spans="1:17" x14ac:dyDescent="0.25">
      <c r="A81">
        <v>8003879954</v>
      </c>
      <c r="B81">
        <v>55</v>
      </c>
      <c r="C81">
        <v>19042018</v>
      </c>
      <c r="D81">
        <v>341</v>
      </c>
      <c r="E81" t="s">
        <v>25</v>
      </c>
      <c r="F81">
        <v>9938</v>
      </c>
      <c r="G81" t="s">
        <v>546</v>
      </c>
      <c r="H81" s="2">
        <v>270</v>
      </c>
      <c r="I81" t="s">
        <v>26</v>
      </c>
      <c r="J81" s="2">
        <v>2042825.71</v>
      </c>
      <c r="K81" t="s">
        <v>27</v>
      </c>
      <c r="L81">
        <v>173919</v>
      </c>
      <c r="M81" t="s">
        <v>40</v>
      </c>
      <c r="O81">
        <v>1</v>
      </c>
      <c r="P81" t="s">
        <v>547</v>
      </c>
      <c r="Q81" t="s">
        <v>548</v>
      </c>
    </row>
    <row r="82" spans="1:17" x14ac:dyDescent="0.25">
      <c r="A82">
        <v>8003879954</v>
      </c>
      <c r="B82">
        <v>54</v>
      </c>
      <c r="C82">
        <v>19042018</v>
      </c>
      <c r="D82">
        <v>299</v>
      </c>
      <c r="E82" t="s">
        <v>30</v>
      </c>
      <c r="F82">
        <v>9938</v>
      </c>
      <c r="G82" t="s">
        <v>546</v>
      </c>
      <c r="H82" s="2">
        <v>0.01</v>
      </c>
      <c r="I82" t="s">
        <v>26</v>
      </c>
      <c r="J82" s="2">
        <v>2043095.71</v>
      </c>
      <c r="K82" t="s">
        <v>27</v>
      </c>
      <c r="L82">
        <v>173919</v>
      </c>
      <c r="M82" t="s">
        <v>549</v>
      </c>
      <c r="O82">
        <v>1</v>
      </c>
    </row>
    <row r="83" spans="1:17" x14ac:dyDescent="0.25">
      <c r="A83">
        <v>8003879954</v>
      </c>
      <c r="B83">
        <v>53</v>
      </c>
      <c r="C83">
        <v>19042018</v>
      </c>
      <c r="D83">
        <v>489</v>
      </c>
      <c r="E83" t="s">
        <v>31</v>
      </c>
      <c r="F83">
        <v>9938</v>
      </c>
      <c r="G83" t="s">
        <v>546</v>
      </c>
      <c r="H83" s="2">
        <v>0.1</v>
      </c>
      <c r="I83" t="s">
        <v>26</v>
      </c>
      <c r="J83" s="2">
        <v>2043095.72</v>
      </c>
      <c r="K83" t="s">
        <v>27</v>
      </c>
      <c r="L83">
        <v>173919</v>
      </c>
      <c r="M83" t="s">
        <v>549</v>
      </c>
      <c r="O83">
        <v>1</v>
      </c>
    </row>
    <row r="84" spans="1:17" x14ac:dyDescent="0.25">
      <c r="A84">
        <v>8003879954</v>
      </c>
      <c r="B84">
        <v>52</v>
      </c>
      <c r="C84">
        <v>19042018</v>
      </c>
      <c r="D84">
        <v>341</v>
      </c>
      <c r="E84" t="s">
        <v>25</v>
      </c>
      <c r="F84">
        <v>9938</v>
      </c>
      <c r="G84" t="s">
        <v>550</v>
      </c>
      <c r="H84" s="2">
        <v>5618</v>
      </c>
      <c r="I84" t="s">
        <v>26</v>
      </c>
      <c r="J84" s="2">
        <v>2043095.82</v>
      </c>
      <c r="K84" t="s">
        <v>27</v>
      </c>
      <c r="L84">
        <v>173919</v>
      </c>
      <c r="M84" t="s">
        <v>41</v>
      </c>
      <c r="O84">
        <v>1</v>
      </c>
      <c r="P84" t="s">
        <v>551</v>
      </c>
      <c r="Q84" t="s">
        <v>552</v>
      </c>
    </row>
    <row r="85" spans="1:17" x14ac:dyDescent="0.25">
      <c r="A85">
        <v>8003879954</v>
      </c>
      <c r="B85">
        <v>51</v>
      </c>
      <c r="C85">
        <v>19042018</v>
      </c>
      <c r="D85">
        <v>299</v>
      </c>
      <c r="E85" t="s">
        <v>30</v>
      </c>
      <c r="F85">
        <v>9938</v>
      </c>
      <c r="G85" t="s">
        <v>550</v>
      </c>
      <c r="H85" s="2">
        <v>0.01</v>
      </c>
      <c r="I85" t="s">
        <v>26</v>
      </c>
      <c r="J85" s="2">
        <v>2048713.82</v>
      </c>
      <c r="K85" t="s">
        <v>27</v>
      </c>
      <c r="L85">
        <v>173919</v>
      </c>
      <c r="M85" t="s">
        <v>553</v>
      </c>
      <c r="O85">
        <v>1</v>
      </c>
    </row>
    <row r="86" spans="1:17" x14ac:dyDescent="0.25">
      <c r="A86">
        <v>8003879954</v>
      </c>
      <c r="B86">
        <v>50</v>
      </c>
      <c r="C86">
        <v>19042018</v>
      </c>
      <c r="D86">
        <v>489</v>
      </c>
      <c r="E86" t="s">
        <v>31</v>
      </c>
      <c r="F86">
        <v>9938</v>
      </c>
      <c r="G86" t="s">
        <v>550</v>
      </c>
      <c r="H86" s="2">
        <v>0.1</v>
      </c>
      <c r="I86" t="s">
        <v>26</v>
      </c>
      <c r="J86" s="2">
        <v>2048713.83</v>
      </c>
      <c r="K86" t="s">
        <v>27</v>
      </c>
      <c r="L86">
        <v>173919</v>
      </c>
      <c r="M86" t="s">
        <v>553</v>
      </c>
      <c r="O86">
        <v>1</v>
      </c>
    </row>
    <row r="87" spans="1:17" x14ac:dyDescent="0.25">
      <c r="A87">
        <v>8003879954</v>
      </c>
      <c r="B87">
        <v>49</v>
      </c>
      <c r="C87">
        <v>19042018</v>
      </c>
      <c r="D87">
        <v>345</v>
      </c>
      <c r="E87" t="s">
        <v>51</v>
      </c>
      <c r="F87">
        <v>9938</v>
      </c>
      <c r="G87" t="s">
        <v>554</v>
      </c>
      <c r="H87" s="2">
        <v>2280</v>
      </c>
      <c r="I87" t="s">
        <v>26</v>
      </c>
      <c r="J87" s="2">
        <v>2048713.93</v>
      </c>
      <c r="K87" t="s">
        <v>27</v>
      </c>
      <c r="L87">
        <v>173918</v>
      </c>
      <c r="M87" t="s">
        <v>555</v>
      </c>
      <c r="O87">
        <v>1</v>
      </c>
      <c r="P87" t="s">
        <v>556</v>
      </c>
      <c r="Q87" t="s">
        <v>557</v>
      </c>
    </row>
    <row r="88" spans="1:17" x14ac:dyDescent="0.25">
      <c r="A88">
        <v>8003879954</v>
      </c>
      <c r="B88">
        <v>48</v>
      </c>
      <c r="C88">
        <v>19042018</v>
      </c>
      <c r="D88">
        <v>341</v>
      </c>
      <c r="E88" t="s">
        <v>25</v>
      </c>
      <c r="F88">
        <v>9938</v>
      </c>
      <c r="G88" t="s">
        <v>558</v>
      </c>
      <c r="H88" s="2">
        <v>3710</v>
      </c>
      <c r="I88" t="s">
        <v>26</v>
      </c>
      <c r="J88" s="2">
        <v>2050993.93</v>
      </c>
      <c r="K88" t="s">
        <v>27</v>
      </c>
      <c r="L88">
        <v>173241</v>
      </c>
      <c r="M88" t="s">
        <v>268</v>
      </c>
      <c r="O88">
        <v>1</v>
      </c>
      <c r="P88" t="s">
        <v>559</v>
      </c>
      <c r="Q88" t="s">
        <v>560</v>
      </c>
    </row>
    <row r="89" spans="1:17" x14ac:dyDescent="0.25">
      <c r="A89">
        <v>8003879954</v>
      </c>
      <c r="B89">
        <v>47</v>
      </c>
      <c r="C89">
        <v>19042018</v>
      </c>
      <c r="D89">
        <v>299</v>
      </c>
      <c r="E89" t="s">
        <v>30</v>
      </c>
      <c r="F89">
        <v>9938</v>
      </c>
      <c r="G89" t="s">
        <v>558</v>
      </c>
      <c r="H89" s="2">
        <v>0.01</v>
      </c>
      <c r="I89" t="s">
        <v>26</v>
      </c>
      <c r="J89" s="2">
        <v>2054703.93</v>
      </c>
      <c r="K89" t="s">
        <v>27</v>
      </c>
      <c r="L89">
        <v>173241</v>
      </c>
      <c r="M89" t="s">
        <v>561</v>
      </c>
      <c r="O89">
        <v>1</v>
      </c>
    </row>
    <row r="90" spans="1:17" x14ac:dyDescent="0.25">
      <c r="A90">
        <v>8003879954</v>
      </c>
      <c r="B90">
        <v>46</v>
      </c>
      <c r="C90">
        <v>19042018</v>
      </c>
      <c r="D90">
        <v>489</v>
      </c>
      <c r="E90" t="s">
        <v>31</v>
      </c>
      <c r="F90">
        <v>9938</v>
      </c>
      <c r="G90" t="s">
        <v>558</v>
      </c>
      <c r="H90" s="2">
        <v>0.1</v>
      </c>
      <c r="I90" t="s">
        <v>26</v>
      </c>
      <c r="J90" s="2">
        <v>2054703.94</v>
      </c>
      <c r="K90" t="s">
        <v>27</v>
      </c>
      <c r="L90">
        <v>173241</v>
      </c>
      <c r="M90" t="s">
        <v>561</v>
      </c>
      <c r="O90">
        <v>1</v>
      </c>
    </row>
    <row r="91" spans="1:17" x14ac:dyDescent="0.25">
      <c r="A91">
        <v>8003879954</v>
      </c>
      <c r="B91">
        <v>45</v>
      </c>
      <c r="C91">
        <v>19042018</v>
      </c>
      <c r="D91">
        <v>60</v>
      </c>
      <c r="E91" t="s">
        <v>37</v>
      </c>
      <c r="F91">
        <v>9938</v>
      </c>
      <c r="G91" t="s">
        <v>562</v>
      </c>
      <c r="H91" s="2">
        <v>360</v>
      </c>
      <c r="I91" t="s">
        <v>26</v>
      </c>
      <c r="J91" s="2">
        <v>2054704.04</v>
      </c>
      <c r="K91" t="s">
        <v>27</v>
      </c>
      <c r="L91">
        <v>173240</v>
      </c>
      <c r="M91" t="s">
        <v>563</v>
      </c>
      <c r="O91">
        <v>1</v>
      </c>
      <c r="P91" t="s">
        <v>564</v>
      </c>
      <c r="Q91" t="s">
        <v>565</v>
      </c>
    </row>
    <row r="92" spans="1:17" x14ac:dyDescent="0.25">
      <c r="A92">
        <v>8003879954</v>
      </c>
      <c r="B92">
        <v>44</v>
      </c>
      <c r="C92">
        <v>19042018</v>
      </c>
      <c r="D92">
        <v>341</v>
      </c>
      <c r="E92" t="s">
        <v>25</v>
      </c>
      <c r="F92">
        <v>9938</v>
      </c>
      <c r="G92" t="s">
        <v>566</v>
      </c>
      <c r="H92" s="2">
        <v>3000</v>
      </c>
      <c r="I92" t="s">
        <v>26</v>
      </c>
      <c r="J92" s="2">
        <v>2055064.04</v>
      </c>
      <c r="K92" t="s">
        <v>27</v>
      </c>
      <c r="L92">
        <v>173238</v>
      </c>
      <c r="M92" t="s">
        <v>314</v>
      </c>
      <c r="O92">
        <v>1</v>
      </c>
      <c r="P92" t="s">
        <v>567</v>
      </c>
      <c r="Q92" t="s">
        <v>568</v>
      </c>
    </row>
    <row r="93" spans="1:17" x14ac:dyDescent="0.25">
      <c r="A93">
        <v>8003879954</v>
      </c>
      <c r="B93">
        <v>43</v>
      </c>
      <c r="C93">
        <v>19042018</v>
      </c>
      <c r="D93">
        <v>299</v>
      </c>
      <c r="E93" t="s">
        <v>30</v>
      </c>
      <c r="F93">
        <v>9938</v>
      </c>
      <c r="G93" t="s">
        <v>566</v>
      </c>
      <c r="H93" s="2">
        <v>0.01</v>
      </c>
      <c r="I93" t="s">
        <v>26</v>
      </c>
      <c r="J93" s="2">
        <v>2058064.04</v>
      </c>
      <c r="K93" t="s">
        <v>27</v>
      </c>
      <c r="L93">
        <v>173238</v>
      </c>
      <c r="M93" t="s">
        <v>569</v>
      </c>
      <c r="O93">
        <v>1</v>
      </c>
    </row>
    <row r="94" spans="1:17" x14ac:dyDescent="0.25">
      <c r="A94">
        <v>8003879954</v>
      </c>
      <c r="B94">
        <v>42</v>
      </c>
      <c r="C94">
        <v>19042018</v>
      </c>
      <c r="D94">
        <v>489</v>
      </c>
      <c r="E94" t="s">
        <v>31</v>
      </c>
      <c r="F94">
        <v>9938</v>
      </c>
      <c r="G94" t="s">
        <v>566</v>
      </c>
      <c r="H94" s="2">
        <v>0.1</v>
      </c>
      <c r="I94" t="s">
        <v>26</v>
      </c>
      <c r="J94" s="2">
        <v>2058064.05</v>
      </c>
      <c r="K94" t="s">
        <v>27</v>
      </c>
      <c r="L94">
        <v>173238</v>
      </c>
      <c r="M94" t="s">
        <v>569</v>
      </c>
      <c r="O94">
        <v>1</v>
      </c>
    </row>
    <row r="95" spans="1:17" x14ac:dyDescent="0.25">
      <c r="A95">
        <v>8003879954</v>
      </c>
      <c r="B95">
        <v>41</v>
      </c>
      <c r="C95">
        <v>19042018</v>
      </c>
      <c r="D95">
        <v>341</v>
      </c>
      <c r="E95" t="s">
        <v>25</v>
      </c>
      <c r="F95">
        <v>9938</v>
      </c>
      <c r="G95" t="s">
        <v>570</v>
      </c>
      <c r="H95" s="2">
        <v>788.6</v>
      </c>
      <c r="I95" t="s">
        <v>26</v>
      </c>
      <c r="J95" s="2">
        <v>2058064.15</v>
      </c>
      <c r="K95" t="s">
        <v>27</v>
      </c>
      <c r="L95">
        <v>173238</v>
      </c>
      <c r="M95" t="s">
        <v>39</v>
      </c>
      <c r="O95">
        <v>1</v>
      </c>
      <c r="P95" t="s">
        <v>571</v>
      </c>
      <c r="Q95" t="s">
        <v>572</v>
      </c>
    </row>
    <row r="96" spans="1:17" x14ac:dyDescent="0.25">
      <c r="A96">
        <v>8003879954</v>
      </c>
      <c r="B96">
        <v>40</v>
      </c>
      <c r="C96">
        <v>19042018</v>
      </c>
      <c r="D96">
        <v>299</v>
      </c>
      <c r="E96" t="s">
        <v>30</v>
      </c>
      <c r="F96">
        <v>9938</v>
      </c>
      <c r="G96" t="s">
        <v>570</v>
      </c>
      <c r="H96" s="2">
        <v>0.01</v>
      </c>
      <c r="I96" t="s">
        <v>26</v>
      </c>
      <c r="J96" s="2">
        <v>2058852.75</v>
      </c>
      <c r="K96" t="s">
        <v>27</v>
      </c>
      <c r="L96">
        <v>173238</v>
      </c>
      <c r="M96" t="s">
        <v>573</v>
      </c>
      <c r="O96">
        <v>1</v>
      </c>
    </row>
    <row r="97" spans="1:17" x14ac:dyDescent="0.25">
      <c r="A97">
        <v>8003879954</v>
      </c>
      <c r="B97">
        <v>39</v>
      </c>
      <c r="C97">
        <v>19042018</v>
      </c>
      <c r="D97">
        <v>489</v>
      </c>
      <c r="E97" t="s">
        <v>31</v>
      </c>
      <c r="F97">
        <v>9938</v>
      </c>
      <c r="G97" t="s">
        <v>570</v>
      </c>
      <c r="H97" s="2">
        <v>0.1</v>
      </c>
      <c r="I97" t="s">
        <v>26</v>
      </c>
      <c r="J97" s="2">
        <v>2058852.76</v>
      </c>
      <c r="K97" t="s">
        <v>27</v>
      </c>
      <c r="L97">
        <v>173238</v>
      </c>
      <c r="M97" t="s">
        <v>573</v>
      </c>
      <c r="O97">
        <v>1</v>
      </c>
    </row>
    <row r="98" spans="1:17" x14ac:dyDescent="0.25">
      <c r="A98">
        <v>8003879954</v>
      </c>
      <c r="B98">
        <v>38</v>
      </c>
      <c r="C98">
        <v>19042018</v>
      </c>
      <c r="D98">
        <v>343</v>
      </c>
      <c r="E98" t="s">
        <v>115</v>
      </c>
      <c r="F98">
        <v>9938</v>
      </c>
      <c r="G98" t="s">
        <v>574</v>
      </c>
      <c r="H98" s="2">
        <v>1608.05</v>
      </c>
      <c r="I98" t="s">
        <v>26</v>
      </c>
      <c r="J98" s="2">
        <v>2058852.86</v>
      </c>
      <c r="K98" t="s">
        <v>27</v>
      </c>
      <c r="L98">
        <v>173239</v>
      </c>
      <c r="M98" t="s">
        <v>338</v>
      </c>
      <c r="O98">
        <v>1</v>
      </c>
    </row>
    <row r="99" spans="1:17" x14ac:dyDescent="0.25">
      <c r="A99">
        <v>8003879954</v>
      </c>
      <c r="B99">
        <v>37</v>
      </c>
      <c r="C99">
        <v>19042018</v>
      </c>
      <c r="D99">
        <v>341</v>
      </c>
      <c r="E99" t="s">
        <v>25</v>
      </c>
      <c r="F99">
        <v>9938</v>
      </c>
      <c r="G99" t="s">
        <v>575</v>
      </c>
      <c r="H99" s="2">
        <v>6000</v>
      </c>
      <c r="I99" t="s">
        <v>26</v>
      </c>
      <c r="J99" s="2">
        <v>2060460.91</v>
      </c>
      <c r="K99" t="s">
        <v>27</v>
      </c>
      <c r="L99">
        <v>173239</v>
      </c>
      <c r="M99" t="s">
        <v>319</v>
      </c>
      <c r="O99">
        <v>1</v>
      </c>
      <c r="P99" t="s">
        <v>576</v>
      </c>
      <c r="Q99" t="s">
        <v>577</v>
      </c>
    </row>
    <row r="100" spans="1:17" x14ac:dyDescent="0.25">
      <c r="A100">
        <v>8003879954</v>
      </c>
      <c r="B100">
        <v>36</v>
      </c>
      <c r="C100">
        <v>19042018</v>
      </c>
      <c r="D100">
        <v>299</v>
      </c>
      <c r="E100" t="s">
        <v>30</v>
      </c>
      <c r="F100">
        <v>9938</v>
      </c>
      <c r="G100" t="s">
        <v>575</v>
      </c>
      <c r="H100" s="2">
        <v>0.01</v>
      </c>
      <c r="I100" t="s">
        <v>26</v>
      </c>
      <c r="J100" s="2">
        <v>2066460.91</v>
      </c>
      <c r="K100" t="s">
        <v>27</v>
      </c>
      <c r="L100">
        <v>173239</v>
      </c>
      <c r="M100" t="s">
        <v>578</v>
      </c>
      <c r="O100">
        <v>1</v>
      </c>
    </row>
    <row r="101" spans="1:17" x14ac:dyDescent="0.25">
      <c r="A101">
        <v>8003879954</v>
      </c>
      <c r="B101">
        <v>35</v>
      </c>
      <c r="C101">
        <v>19042018</v>
      </c>
      <c r="D101">
        <v>489</v>
      </c>
      <c r="E101" t="s">
        <v>31</v>
      </c>
      <c r="F101">
        <v>9938</v>
      </c>
      <c r="G101" t="s">
        <v>575</v>
      </c>
      <c r="H101" s="2">
        <v>0.1</v>
      </c>
      <c r="I101" t="s">
        <v>26</v>
      </c>
      <c r="J101" s="2">
        <v>2066460.92</v>
      </c>
      <c r="K101" t="s">
        <v>27</v>
      </c>
      <c r="L101">
        <v>173239</v>
      </c>
      <c r="M101" t="s">
        <v>578</v>
      </c>
      <c r="O101">
        <v>1</v>
      </c>
    </row>
    <row r="102" spans="1:17" x14ac:dyDescent="0.25">
      <c r="A102">
        <v>8003879954</v>
      </c>
      <c r="B102">
        <v>34</v>
      </c>
      <c r="C102">
        <v>19042018</v>
      </c>
      <c r="D102">
        <v>60</v>
      </c>
      <c r="E102" t="s">
        <v>37</v>
      </c>
      <c r="F102">
        <v>9938</v>
      </c>
      <c r="G102" t="s">
        <v>579</v>
      </c>
      <c r="H102" s="2">
        <v>641.29999999999995</v>
      </c>
      <c r="I102" t="s">
        <v>26</v>
      </c>
      <c r="J102" s="2">
        <v>2066461.02</v>
      </c>
      <c r="K102" t="s">
        <v>27</v>
      </c>
      <c r="L102">
        <v>173238</v>
      </c>
      <c r="M102" t="s">
        <v>580</v>
      </c>
      <c r="O102">
        <v>1</v>
      </c>
      <c r="P102" t="s">
        <v>581</v>
      </c>
      <c r="Q102" t="s">
        <v>303</v>
      </c>
    </row>
    <row r="103" spans="1:17" x14ac:dyDescent="0.25">
      <c r="A103">
        <v>8003879954</v>
      </c>
      <c r="B103">
        <v>33</v>
      </c>
      <c r="C103">
        <v>19042018</v>
      </c>
      <c r="D103">
        <v>341</v>
      </c>
      <c r="E103" t="s">
        <v>25</v>
      </c>
      <c r="F103">
        <v>9938</v>
      </c>
      <c r="G103" t="s">
        <v>582</v>
      </c>
      <c r="H103" s="2">
        <v>278.67</v>
      </c>
      <c r="I103" t="s">
        <v>26</v>
      </c>
      <c r="J103" s="2">
        <v>2067102.32</v>
      </c>
      <c r="K103" t="s">
        <v>27</v>
      </c>
      <c r="L103">
        <v>173238</v>
      </c>
      <c r="M103" t="s">
        <v>207</v>
      </c>
      <c r="O103">
        <v>1</v>
      </c>
      <c r="P103" t="s">
        <v>583</v>
      </c>
      <c r="Q103" t="s">
        <v>584</v>
      </c>
    </row>
    <row r="104" spans="1:17" x14ac:dyDescent="0.25">
      <c r="A104">
        <v>8003879954</v>
      </c>
      <c r="B104">
        <v>32</v>
      </c>
      <c r="C104">
        <v>19042018</v>
      </c>
      <c r="D104">
        <v>299</v>
      </c>
      <c r="E104" t="s">
        <v>30</v>
      </c>
      <c r="F104">
        <v>9938</v>
      </c>
      <c r="G104" t="s">
        <v>582</v>
      </c>
      <c r="H104" s="2">
        <v>0.01</v>
      </c>
      <c r="I104" t="s">
        <v>26</v>
      </c>
      <c r="J104" s="2">
        <v>2067380.99</v>
      </c>
      <c r="K104" t="s">
        <v>27</v>
      </c>
      <c r="L104">
        <v>173238</v>
      </c>
      <c r="M104" t="s">
        <v>585</v>
      </c>
      <c r="O104">
        <v>1</v>
      </c>
    </row>
    <row r="105" spans="1:17" x14ac:dyDescent="0.25">
      <c r="A105">
        <v>8003879954</v>
      </c>
      <c r="B105">
        <v>31</v>
      </c>
      <c r="C105">
        <v>19042018</v>
      </c>
      <c r="D105">
        <v>489</v>
      </c>
      <c r="E105" t="s">
        <v>31</v>
      </c>
      <c r="F105">
        <v>9938</v>
      </c>
      <c r="G105" t="s">
        <v>582</v>
      </c>
      <c r="H105" s="2">
        <v>0.1</v>
      </c>
      <c r="I105" t="s">
        <v>26</v>
      </c>
      <c r="J105" s="2">
        <v>2067381</v>
      </c>
      <c r="K105" t="s">
        <v>27</v>
      </c>
      <c r="L105">
        <v>173238</v>
      </c>
      <c r="M105" t="s">
        <v>585</v>
      </c>
      <c r="O105">
        <v>1</v>
      </c>
    </row>
    <row r="106" spans="1:17" x14ac:dyDescent="0.25">
      <c r="A106">
        <v>8003879954</v>
      </c>
      <c r="B106">
        <v>30</v>
      </c>
      <c r="C106">
        <v>19042018</v>
      </c>
      <c r="D106">
        <v>60</v>
      </c>
      <c r="E106" t="s">
        <v>37</v>
      </c>
      <c r="F106">
        <v>9938</v>
      </c>
      <c r="G106" t="s">
        <v>586</v>
      </c>
      <c r="H106" s="2">
        <v>5300</v>
      </c>
      <c r="I106" t="s">
        <v>26</v>
      </c>
      <c r="J106" s="2">
        <v>2067381.1</v>
      </c>
      <c r="K106" t="s">
        <v>27</v>
      </c>
      <c r="L106">
        <v>173238</v>
      </c>
      <c r="M106" t="s">
        <v>587</v>
      </c>
      <c r="O106">
        <v>1</v>
      </c>
      <c r="P106" t="s">
        <v>588</v>
      </c>
      <c r="Q106" t="s">
        <v>589</v>
      </c>
    </row>
    <row r="107" spans="1:17" x14ac:dyDescent="0.25">
      <c r="A107">
        <v>8003879954</v>
      </c>
      <c r="B107">
        <v>29</v>
      </c>
      <c r="C107">
        <v>19042018</v>
      </c>
      <c r="D107">
        <v>60</v>
      </c>
      <c r="E107" t="s">
        <v>37</v>
      </c>
      <c r="F107">
        <v>9938</v>
      </c>
      <c r="G107" t="s">
        <v>590</v>
      </c>
      <c r="H107" s="2">
        <v>160</v>
      </c>
      <c r="I107" t="s">
        <v>26</v>
      </c>
      <c r="J107" s="2">
        <v>2072681.1</v>
      </c>
      <c r="K107" t="s">
        <v>27</v>
      </c>
      <c r="L107">
        <v>173238</v>
      </c>
      <c r="M107" t="s">
        <v>591</v>
      </c>
      <c r="O107">
        <v>1</v>
      </c>
      <c r="P107" t="s">
        <v>592</v>
      </c>
      <c r="Q107" t="s">
        <v>593</v>
      </c>
    </row>
    <row r="108" spans="1:17" x14ac:dyDescent="0.25">
      <c r="A108">
        <v>8003879954</v>
      </c>
      <c r="B108">
        <v>28</v>
      </c>
      <c r="C108">
        <v>19042018</v>
      </c>
      <c r="D108">
        <v>60</v>
      </c>
      <c r="E108" t="s">
        <v>37</v>
      </c>
      <c r="F108">
        <v>9938</v>
      </c>
      <c r="G108" t="s">
        <v>594</v>
      </c>
      <c r="H108" s="2">
        <v>4000</v>
      </c>
      <c r="I108" t="s">
        <v>26</v>
      </c>
      <c r="J108" s="2">
        <v>2072841.1</v>
      </c>
      <c r="K108" t="s">
        <v>27</v>
      </c>
      <c r="L108">
        <v>172802</v>
      </c>
      <c r="M108" t="s">
        <v>595</v>
      </c>
      <c r="O108">
        <v>1</v>
      </c>
      <c r="P108" t="s">
        <v>596</v>
      </c>
      <c r="Q108" t="s">
        <v>597</v>
      </c>
    </row>
    <row r="109" spans="1:17" x14ac:dyDescent="0.25">
      <c r="A109">
        <v>8003879954</v>
      </c>
      <c r="B109">
        <v>27</v>
      </c>
      <c r="C109">
        <v>19042018</v>
      </c>
      <c r="D109">
        <v>343</v>
      </c>
      <c r="E109" t="s">
        <v>115</v>
      </c>
      <c r="F109">
        <v>9938</v>
      </c>
      <c r="G109" t="s">
        <v>598</v>
      </c>
      <c r="H109" s="2">
        <v>948.7</v>
      </c>
      <c r="I109" t="s">
        <v>26</v>
      </c>
      <c r="J109" s="2">
        <v>2076841.1</v>
      </c>
      <c r="K109" t="s">
        <v>27</v>
      </c>
      <c r="L109">
        <v>172803</v>
      </c>
      <c r="M109" t="s">
        <v>117</v>
      </c>
      <c r="O109">
        <v>1</v>
      </c>
    </row>
    <row r="110" spans="1:17" x14ac:dyDescent="0.25">
      <c r="A110">
        <v>8003879954</v>
      </c>
      <c r="B110">
        <v>26</v>
      </c>
      <c r="C110">
        <v>19042018</v>
      </c>
      <c r="D110">
        <v>341</v>
      </c>
      <c r="E110" t="s">
        <v>25</v>
      </c>
      <c r="F110">
        <v>9938</v>
      </c>
      <c r="G110" t="s">
        <v>599</v>
      </c>
      <c r="H110" s="2">
        <v>1400</v>
      </c>
      <c r="I110" t="s">
        <v>26</v>
      </c>
      <c r="J110" s="2">
        <v>2077789.8</v>
      </c>
      <c r="K110" t="s">
        <v>27</v>
      </c>
      <c r="L110">
        <v>172802</v>
      </c>
      <c r="M110" t="s">
        <v>600</v>
      </c>
      <c r="O110">
        <v>1</v>
      </c>
      <c r="P110" t="s">
        <v>601</v>
      </c>
      <c r="Q110" t="s">
        <v>602</v>
      </c>
    </row>
    <row r="111" spans="1:17" x14ac:dyDescent="0.25">
      <c r="A111">
        <v>8003879954</v>
      </c>
      <c r="B111">
        <v>25</v>
      </c>
      <c r="C111">
        <v>19042018</v>
      </c>
      <c r="D111">
        <v>299</v>
      </c>
      <c r="E111" t="s">
        <v>30</v>
      </c>
      <c r="F111">
        <v>9938</v>
      </c>
      <c r="G111" t="s">
        <v>599</v>
      </c>
      <c r="H111" s="2">
        <v>0.01</v>
      </c>
      <c r="I111" t="s">
        <v>26</v>
      </c>
      <c r="J111" s="2">
        <v>2079189.8</v>
      </c>
      <c r="K111" t="s">
        <v>27</v>
      </c>
      <c r="L111">
        <v>172802</v>
      </c>
      <c r="M111" t="s">
        <v>603</v>
      </c>
      <c r="O111">
        <v>1</v>
      </c>
    </row>
    <row r="112" spans="1:17" x14ac:dyDescent="0.25">
      <c r="A112">
        <v>8003879954</v>
      </c>
      <c r="B112">
        <v>24</v>
      </c>
      <c r="C112">
        <v>19042018</v>
      </c>
      <c r="D112">
        <v>489</v>
      </c>
      <c r="E112" t="s">
        <v>31</v>
      </c>
      <c r="F112">
        <v>9938</v>
      </c>
      <c r="G112" t="s">
        <v>599</v>
      </c>
      <c r="H112" s="2">
        <v>0.1</v>
      </c>
      <c r="I112" t="s">
        <v>26</v>
      </c>
      <c r="J112" s="2">
        <v>2079189.81</v>
      </c>
      <c r="K112" t="s">
        <v>27</v>
      </c>
      <c r="L112">
        <v>172802</v>
      </c>
      <c r="M112" t="s">
        <v>603</v>
      </c>
      <c r="O112">
        <v>1</v>
      </c>
    </row>
    <row r="113" spans="1:17" x14ac:dyDescent="0.25">
      <c r="A113">
        <v>8003879954</v>
      </c>
      <c r="B113">
        <v>23</v>
      </c>
      <c r="C113">
        <v>19042018</v>
      </c>
      <c r="D113">
        <v>341</v>
      </c>
      <c r="E113" t="s">
        <v>25</v>
      </c>
      <c r="F113">
        <v>9938</v>
      </c>
      <c r="G113" t="s">
        <v>604</v>
      </c>
      <c r="H113" s="2">
        <v>1285.58</v>
      </c>
      <c r="I113" t="s">
        <v>26</v>
      </c>
      <c r="J113" s="2">
        <v>2079189.91</v>
      </c>
      <c r="K113" t="s">
        <v>27</v>
      </c>
      <c r="L113">
        <v>172802</v>
      </c>
      <c r="M113" t="s">
        <v>45</v>
      </c>
      <c r="O113">
        <v>1</v>
      </c>
      <c r="P113" t="s">
        <v>605</v>
      </c>
      <c r="Q113" t="s">
        <v>606</v>
      </c>
    </row>
    <row r="114" spans="1:17" x14ac:dyDescent="0.25">
      <c r="A114">
        <v>8003879954</v>
      </c>
      <c r="B114">
        <v>22</v>
      </c>
      <c r="C114">
        <v>19042018</v>
      </c>
      <c r="D114">
        <v>299</v>
      </c>
      <c r="E114" t="s">
        <v>30</v>
      </c>
      <c r="F114">
        <v>9938</v>
      </c>
      <c r="G114" t="s">
        <v>604</v>
      </c>
      <c r="H114" s="2">
        <v>0.01</v>
      </c>
      <c r="I114" t="s">
        <v>26</v>
      </c>
      <c r="J114" s="2">
        <v>2080475.49</v>
      </c>
      <c r="K114" t="s">
        <v>27</v>
      </c>
      <c r="L114">
        <v>172802</v>
      </c>
      <c r="M114" t="s">
        <v>607</v>
      </c>
      <c r="O114">
        <v>1</v>
      </c>
    </row>
    <row r="115" spans="1:17" x14ac:dyDescent="0.25">
      <c r="A115">
        <v>8003879954</v>
      </c>
      <c r="B115">
        <v>21</v>
      </c>
      <c r="C115">
        <v>19042018</v>
      </c>
      <c r="D115">
        <v>489</v>
      </c>
      <c r="E115" t="s">
        <v>31</v>
      </c>
      <c r="F115">
        <v>9938</v>
      </c>
      <c r="G115" t="s">
        <v>604</v>
      </c>
      <c r="H115" s="2">
        <v>0.1</v>
      </c>
      <c r="I115" t="s">
        <v>26</v>
      </c>
      <c r="J115" s="2">
        <v>2080475.5</v>
      </c>
      <c r="K115" t="s">
        <v>27</v>
      </c>
      <c r="L115">
        <v>172802</v>
      </c>
      <c r="M115" t="s">
        <v>607</v>
      </c>
      <c r="O115">
        <v>1</v>
      </c>
    </row>
    <row r="116" spans="1:17" x14ac:dyDescent="0.25">
      <c r="A116">
        <v>8003879954</v>
      </c>
      <c r="B116">
        <v>20</v>
      </c>
      <c r="C116">
        <v>19042018</v>
      </c>
      <c r="D116">
        <v>60</v>
      </c>
      <c r="E116" t="s">
        <v>37</v>
      </c>
      <c r="F116">
        <v>9938</v>
      </c>
      <c r="G116" t="s">
        <v>608</v>
      </c>
      <c r="H116" s="2">
        <v>360.4</v>
      </c>
      <c r="I116" t="s">
        <v>26</v>
      </c>
      <c r="J116" s="2">
        <v>2080475.6</v>
      </c>
      <c r="K116" t="s">
        <v>27</v>
      </c>
      <c r="L116">
        <v>172802</v>
      </c>
      <c r="M116" t="s">
        <v>609</v>
      </c>
      <c r="O116">
        <v>1</v>
      </c>
      <c r="P116" t="s">
        <v>610</v>
      </c>
      <c r="Q116" t="s">
        <v>611</v>
      </c>
    </row>
    <row r="117" spans="1:17" x14ac:dyDescent="0.25">
      <c r="A117">
        <v>8003879954</v>
      </c>
      <c r="B117">
        <v>19</v>
      </c>
      <c r="C117">
        <v>19042018</v>
      </c>
      <c r="D117">
        <v>341</v>
      </c>
      <c r="E117" t="s">
        <v>25</v>
      </c>
      <c r="F117">
        <v>9938</v>
      </c>
      <c r="G117" t="s">
        <v>612</v>
      </c>
      <c r="H117" s="2">
        <v>620</v>
      </c>
      <c r="I117" t="s">
        <v>26</v>
      </c>
      <c r="J117" s="2">
        <v>2080836</v>
      </c>
      <c r="K117" t="s">
        <v>27</v>
      </c>
      <c r="L117">
        <v>172801</v>
      </c>
      <c r="M117" t="s">
        <v>47</v>
      </c>
      <c r="O117">
        <v>1</v>
      </c>
      <c r="P117" t="s">
        <v>613</v>
      </c>
      <c r="Q117" t="s">
        <v>614</v>
      </c>
    </row>
    <row r="118" spans="1:17" x14ac:dyDescent="0.25">
      <c r="A118">
        <v>8003879954</v>
      </c>
      <c r="B118">
        <v>18</v>
      </c>
      <c r="C118">
        <v>19042018</v>
      </c>
      <c r="D118">
        <v>299</v>
      </c>
      <c r="E118" t="s">
        <v>30</v>
      </c>
      <c r="F118">
        <v>9938</v>
      </c>
      <c r="G118" t="s">
        <v>612</v>
      </c>
      <c r="H118" s="2">
        <v>0.01</v>
      </c>
      <c r="I118" t="s">
        <v>26</v>
      </c>
      <c r="J118" s="2">
        <v>2081456</v>
      </c>
      <c r="K118" t="s">
        <v>27</v>
      </c>
      <c r="L118">
        <v>172801</v>
      </c>
      <c r="M118" t="s">
        <v>615</v>
      </c>
      <c r="O118">
        <v>1</v>
      </c>
    </row>
    <row r="119" spans="1:17" x14ac:dyDescent="0.25">
      <c r="A119">
        <v>8003879954</v>
      </c>
      <c r="B119">
        <v>17</v>
      </c>
      <c r="C119">
        <v>19042018</v>
      </c>
      <c r="D119">
        <v>489</v>
      </c>
      <c r="E119" t="s">
        <v>31</v>
      </c>
      <c r="F119">
        <v>9938</v>
      </c>
      <c r="G119" t="s">
        <v>612</v>
      </c>
      <c r="H119" s="2">
        <v>0.1</v>
      </c>
      <c r="I119" t="s">
        <v>26</v>
      </c>
      <c r="J119" s="2">
        <v>2081456.01</v>
      </c>
      <c r="K119" t="s">
        <v>27</v>
      </c>
      <c r="L119">
        <v>172801</v>
      </c>
      <c r="M119" t="s">
        <v>615</v>
      </c>
      <c r="O119">
        <v>1</v>
      </c>
    </row>
    <row r="120" spans="1:17" x14ac:dyDescent="0.25">
      <c r="A120">
        <v>8003879954</v>
      </c>
      <c r="B120">
        <v>16</v>
      </c>
      <c r="C120">
        <v>19042018</v>
      </c>
      <c r="D120">
        <v>341</v>
      </c>
      <c r="E120" t="s">
        <v>25</v>
      </c>
      <c r="F120">
        <v>9938</v>
      </c>
      <c r="G120" t="s">
        <v>616</v>
      </c>
      <c r="H120" s="2">
        <v>3498</v>
      </c>
      <c r="I120" t="s">
        <v>26</v>
      </c>
      <c r="J120" s="2">
        <v>2081456.11</v>
      </c>
      <c r="K120" t="s">
        <v>27</v>
      </c>
      <c r="L120">
        <v>172801</v>
      </c>
      <c r="M120" t="s">
        <v>617</v>
      </c>
      <c r="O120">
        <v>1</v>
      </c>
      <c r="P120" t="s">
        <v>618</v>
      </c>
      <c r="Q120" t="s">
        <v>619</v>
      </c>
    </row>
    <row r="121" spans="1:17" x14ac:dyDescent="0.25">
      <c r="A121">
        <v>8003879954</v>
      </c>
      <c r="B121">
        <v>15</v>
      </c>
      <c r="C121">
        <v>19042018</v>
      </c>
      <c r="D121">
        <v>299</v>
      </c>
      <c r="E121" t="s">
        <v>30</v>
      </c>
      <c r="F121">
        <v>9938</v>
      </c>
      <c r="G121" t="s">
        <v>616</v>
      </c>
      <c r="H121" s="2">
        <v>0.01</v>
      </c>
      <c r="I121" t="s">
        <v>26</v>
      </c>
      <c r="J121" s="2">
        <v>2084954.11</v>
      </c>
      <c r="K121" t="s">
        <v>27</v>
      </c>
      <c r="L121">
        <v>172801</v>
      </c>
      <c r="M121" t="s">
        <v>620</v>
      </c>
      <c r="O121">
        <v>1</v>
      </c>
    </row>
    <row r="122" spans="1:17" x14ac:dyDescent="0.25">
      <c r="A122">
        <v>8003879954</v>
      </c>
      <c r="B122">
        <v>14</v>
      </c>
      <c r="C122">
        <v>19042018</v>
      </c>
      <c r="D122">
        <v>489</v>
      </c>
      <c r="E122" t="s">
        <v>31</v>
      </c>
      <c r="F122">
        <v>9938</v>
      </c>
      <c r="G122" t="s">
        <v>616</v>
      </c>
      <c r="H122" s="2">
        <v>0.1</v>
      </c>
      <c r="I122" t="s">
        <v>26</v>
      </c>
      <c r="J122" s="2">
        <v>2084954.12</v>
      </c>
      <c r="K122" t="s">
        <v>27</v>
      </c>
      <c r="L122">
        <v>172801</v>
      </c>
      <c r="M122" t="s">
        <v>620</v>
      </c>
      <c r="O122">
        <v>1</v>
      </c>
    </row>
    <row r="123" spans="1:17" x14ac:dyDescent="0.25">
      <c r="A123">
        <v>8003879954</v>
      </c>
      <c r="B123">
        <v>13</v>
      </c>
      <c r="C123">
        <v>19042018</v>
      </c>
      <c r="D123">
        <v>60</v>
      </c>
      <c r="E123" t="s">
        <v>37</v>
      </c>
      <c r="F123">
        <v>9938</v>
      </c>
      <c r="G123" t="s">
        <v>621</v>
      </c>
      <c r="H123" s="2">
        <v>5459</v>
      </c>
      <c r="I123" t="s">
        <v>26</v>
      </c>
      <c r="J123" s="2">
        <v>2084954.22</v>
      </c>
      <c r="K123" t="s">
        <v>27</v>
      </c>
      <c r="L123">
        <v>172801</v>
      </c>
      <c r="M123" t="s">
        <v>622</v>
      </c>
      <c r="O123">
        <v>1</v>
      </c>
      <c r="P123" t="s">
        <v>601</v>
      </c>
      <c r="Q123" t="s">
        <v>623</v>
      </c>
    </row>
    <row r="124" spans="1:17" x14ac:dyDescent="0.25">
      <c r="A124">
        <v>8003879954</v>
      </c>
      <c r="B124">
        <v>12</v>
      </c>
      <c r="C124">
        <v>19042018</v>
      </c>
      <c r="D124">
        <v>345</v>
      </c>
      <c r="E124" t="s">
        <v>51</v>
      </c>
      <c r="F124">
        <v>9938</v>
      </c>
      <c r="G124" t="s">
        <v>624</v>
      </c>
      <c r="H124" s="2">
        <v>111</v>
      </c>
      <c r="I124" t="s">
        <v>26</v>
      </c>
      <c r="J124" s="2">
        <v>2090413.22</v>
      </c>
      <c r="K124" t="s">
        <v>27</v>
      </c>
      <c r="L124">
        <v>172801</v>
      </c>
      <c r="M124" t="s">
        <v>625</v>
      </c>
      <c r="O124">
        <v>1</v>
      </c>
      <c r="P124" t="s">
        <v>626</v>
      </c>
      <c r="Q124" t="s">
        <v>52</v>
      </c>
    </row>
    <row r="125" spans="1:17" x14ac:dyDescent="0.25">
      <c r="A125">
        <v>8003879954</v>
      </c>
      <c r="B125">
        <v>11</v>
      </c>
      <c r="C125">
        <v>19042018</v>
      </c>
      <c r="D125">
        <v>345</v>
      </c>
      <c r="E125" t="s">
        <v>51</v>
      </c>
      <c r="F125">
        <v>9938</v>
      </c>
      <c r="G125" t="s">
        <v>627</v>
      </c>
      <c r="H125" s="2">
        <v>2340</v>
      </c>
      <c r="I125" t="s">
        <v>26</v>
      </c>
      <c r="J125" s="2">
        <v>2090524.22</v>
      </c>
      <c r="K125" t="s">
        <v>27</v>
      </c>
      <c r="L125">
        <v>172801</v>
      </c>
      <c r="M125" t="s">
        <v>628</v>
      </c>
      <c r="O125">
        <v>1</v>
      </c>
      <c r="P125" t="s">
        <v>629</v>
      </c>
      <c r="Q125" t="s">
        <v>557</v>
      </c>
    </row>
    <row r="126" spans="1:17" x14ac:dyDescent="0.25">
      <c r="A126">
        <v>8003879954</v>
      </c>
      <c r="B126">
        <v>10</v>
      </c>
      <c r="C126">
        <v>19042018</v>
      </c>
      <c r="D126">
        <v>299</v>
      </c>
      <c r="E126" t="s">
        <v>508</v>
      </c>
      <c r="F126">
        <v>72</v>
      </c>
      <c r="G126" t="s">
        <v>630</v>
      </c>
      <c r="H126" s="2">
        <v>1.8</v>
      </c>
      <c r="I126" t="s">
        <v>26</v>
      </c>
      <c r="J126" s="2">
        <v>2092864.22</v>
      </c>
      <c r="K126" t="s">
        <v>27</v>
      </c>
      <c r="L126">
        <v>154518</v>
      </c>
      <c r="M126" t="s">
        <v>631</v>
      </c>
      <c r="O126">
        <v>1</v>
      </c>
    </row>
    <row r="127" spans="1:17" x14ac:dyDescent="0.25">
      <c r="A127">
        <v>8003879954</v>
      </c>
      <c r="B127">
        <v>9</v>
      </c>
      <c r="C127">
        <v>19042018</v>
      </c>
      <c r="D127">
        <v>415</v>
      </c>
      <c r="E127" t="s">
        <v>48</v>
      </c>
      <c r="F127">
        <v>72</v>
      </c>
      <c r="G127" t="s">
        <v>630</v>
      </c>
      <c r="H127" s="2">
        <v>30</v>
      </c>
      <c r="I127" t="s">
        <v>26</v>
      </c>
      <c r="J127" s="2">
        <v>2092866.02</v>
      </c>
      <c r="K127" t="s">
        <v>27</v>
      </c>
      <c r="L127">
        <v>154518</v>
      </c>
      <c r="M127" t="s">
        <v>631</v>
      </c>
      <c r="O127">
        <v>1</v>
      </c>
    </row>
    <row r="128" spans="1:17" x14ac:dyDescent="0.25">
      <c r="A128">
        <v>8003879954</v>
      </c>
      <c r="B128">
        <v>8</v>
      </c>
      <c r="C128">
        <v>19042018</v>
      </c>
      <c r="D128">
        <v>349</v>
      </c>
      <c r="E128" s="14" t="s">
        <v>49</v>
      </c>
      <c r="F128">
        <v>72</v>
      </c>
      <c r="G128" t="s">
        <v>630</v>
      </c>
      <c r="H128" s="2">
        <v>14438.76</v>
      </c>
      <c r="I128" t="s">
        <v>26</v>
      </c>
      <c r="J128" s="2">
        <v>2092896.02</v>
      </c>
      <c r="K128" t="s">
        <v>27</v>
      </c>
      <c r="L128">
        <v>154518</v>
      </c>
      <c r="M128" t="s">
        <v>631</v>
      </c>
      <c r="O128">
        <v>1</v>
      </c>
    </row>
    <row r="129" spans="1:18" x14ac:dyDescent="0.25">
      <c r="A129">
        <v>8003879954</v>
      </c>
      <c r="B129">
        <v>7</v>
      </c>
      <c r="C129">
        <v>19042018</v>
      </c>
      <c r="D129">
        <v>299</v>
      </c>
      <c r="E129" t="s">
        <v>508</v>
      </c>
      <c r="F129">
        <v>72</v>
      </c>
      <c r="G129" t="s">
        <v>632</v>
      </c>
      <c r="H129" s="2">
        <v>1.8</v>
      </c>
      <c r="I129" t="s">
        <v>26</v>
      </c>
      <c r="J129" s="2">
        <v>2107334.7799999998</v>
      </c>
      <c r="K129" t="s">
        <v>27</v>
      </c>
      <c r="L129">
        <v>153847</v>
      </c>
      <c r="M129" t="s">
        <v>633</v>
      </c>
      <c r="O129">
        <v>1</v>
      </c>
    </row>
    <row r="130" spans="1:18" x14ac:dyDescent="0.25">
      <c r="A130">
        <v>8003879954</v>
      </c>
      <c r="B130">
        <v>6</v>
      </c>
      <c r="C130">
        <v>19042018</v>
      </c>
      <c r="D130">
        <v>415</v>
      </c>
      <c r="E130" t="s">
        <v>48</v>
      </c>
      <c r="F130">
        <v>72</v>
      </c>
      <c r="G130" t="s">
        <v>632</v>
      </c>
      <c r="H130" s="2">
        <v>30</v>
      </c>
      <c r="I130" t="s">
        <v>26</v>
      </c>
      <c r="J130" s="2">
        <v>2107336.58</v>
      </c>
      <c r="K130" t="s">
        <v>27</v>
      </c>
      <c r="L130">
        <v>153847</v>
      </c>
      <c r="M130" t="s">
        <v>633</v>
      </c>
      <c r="O130">
        <v>1</v>
      </c>
    </row>
    <row r="131" spans="1:18" x14ac:dyDescent="0.25">
      <c r="A131">
        <v>8003879954</v>
      </c>
      <c r="B131">
        <v>5</v>
      </c>
      <c r="C131">
        <v>19042018</v>
      </c>
      <c r="D131">
        <v>349</v>
      </c>
      <c r="E131" s="14" t="s">
        <v>49</v>
      </c>
      <c r="F131">
        <v>72</v>
      </c>
      <c r="G131" t="s">
        <v>632</v>
      </c>
      <c r="H131" s="2">
        <v>63411.87</v>
      </c>
      <c r="I131" t="s">
        <v>26</v>
      </c>
      <c r="J131" s="2">
        <v>2107366.58</v>
      </c>
      <c r="K131" t="s">
        <v>27</v>
      </c>
      <c r="L131">
        <v>153847</v>
      </c>
      <c r="M131" t="s">
        <v>633</v>
      </c>
      <c r="O131">
        <v>1</v>
      </c>
    </row>
    <row r="132" spans="1:18" x14ac:dyDescent="0.25">
      <c r="A132">
        <v>8003879954</v>
      </c>
      <c r="B132">
        <v>4</v>
      </c>
      <c r="C132">
        <v>19042018</v>
      </c>
      <c r="D132">
        <v>299</v>
      </c>
      <c r="E132" t="s">
        <v>508</v>
      </c>
      <c r="F132">
        <v>72</v>
      </c>
      <c r="G132" t="s">
        <v>634</v>
      </c>
      <c r="H132" s="2">
        <v>1.8</v>
      </c>
      <c r="I132" t="s">
        <v>26</v>
      </c>
      <c r="J132" s="2">
        <v>2170778.4500000002</v>
      </c>
      <c r="K132" t="s">
        <v>27</v>
      </c>
      <c r="L132">
        <v>141204</v>
      </c>
      <c r="M132" t="s">
        <v>635</v>
      </c>
      <c r="O132">
        <v>1</v>
      </c>
    </row>
    <row r="133" spans="1:18" x14ac:dyDescent="0.25">
      <c r="A133">
        <v>8003879954</v>
      </c>
      <c r="B133">
        <v>3</v>
      </c>
      <c r="C133">
        <v>19042018</v>
      </c>
      <c r="D133">
        <v>415</v>
      </c>
      <c r="E133" t="s">
        <v>48</v>
      </c>
      <c r="F133">
        <v>72</v>
      </c>
      <c r="G133" t="s">
        <v>634</v>
      </c>
      <c r="H133" s="2">
        <v>30</v>
      </c>
      <c r="I133" t="s">
        <v>26</v>
      </c>
      <c r="J133" s="2">
        <v>2170780.25</v>
      </c>
      <c r="K133" t="s">
        <v>27</v>
      </c>
      <c r="L133">
        <v>141204</v>
      </c>
      <c r="M133" t="s">
        <v>635</v>
      </c>
      <c r="O133">
        <v>1</v>
      </c>
    </row>
    <row r="134" spans="1:18" x14ac:dyDescent="0.25">
      <c r="A134">
        <v>8003879954</v>
      </c>
      <c r="B134">
        <v>2</v>
      </c>
      <c r="C134">
        <v>19042018</v>
      </c>
      <c r="D134">
        <v>349</v>
      </c>
      <c r="E134" s="14" t="s">
        <v>49</v>
      </c>
      <c r="F134">
        <v>72</v>
      </c>
      <c r="G134" t="s">
        <v>634</v>
      </c>
      <c r="H134" s="2">
        <v>4259.67</v>
      </c>
      <c r="I134" t="s">
        <v>26</v>
      </c>
      <c r="J134" s="2">
        <v>2170810.25</v>
      </c>
      <c r="K134" t="s">
        <v>27</v>
      </c>
      <c r="L134">
        <v>141204</v>
      </c>
      <c r="M134" t="s">
        <v>635</v>
      </c>
      <c r="O134">
        <v>1</v>
      </c>
    </row>
    <row r="135" spans="1:18" x14ac:dyDescent="0.25">
      <c r="A135">
        <v>8003879954</v>
      </c>
      <c r="B135">
        <v>1</v>
      </c>
      <c r="C135">
        <v>19042018</v>
      </c>
      <c r="D135">
        <v>174</v>
      </c>
      <c r="E135" t="s">
        <v>159</v>
      </c>
      <c r="F135">
        <v>2001</v>
      </c>
      <c r="G135" t="s">
        <v>636</v>
      </c>
      <c r="H135" s="2">
        <v>2000</v>
      </c>
      <c r="I135" t="s">
        <v>27</v>
      </c>
      <c r="J135" s="2">
        <v>2175069.92</v>
      </c>
      <c r="K135" t="s">
        <v>27</v>
      </c>
      <c r="L135">
        <v>121257</v>
      </c>
      <c r="M135" t="s">
        <v>637</v>
      </c>
      <c r="O135">
        <v>1</v>
      </c>
      <c r="P135" t="s">
        <v>637</v>
      </c>
      <c r="Q135" t="s">
        <v>638</v>
      </c>
      <c r="R135" t="s">
        <v>639</v>
      </c>
    </row>
    <row r="136" spans="1:18" x14ac:dyDescent="0.25">
      <c r="A136">
        <v>8003879954</v>
      </c>
      <c r="B136">
        <v>6</v>
      </c>
      <c r="C136">
        <v>18042018</v>
      </c>
      <c r="D136">
        <v>299</v>
      </c>
      <c r="E136" t="s">
        <v>30</v>
      </c>
      <c r="H136" s="2">
        <v>0.09</v>
      </c>
      <c r="I136" t="s">
        <v>26</v>
      </c>
      <c r="J136" s="2">
        <v>2173069.92</v>
      </c>
      <c r="K136" t="s">
        <v>27</v>
      </c>
      <c r="L136">
        <v>5109</v>
      </c>
      <c r="M136" t="s">
        <v>32</v>
      </c>
      <c r="O136">
        <v>1</v>
      </c>
    </row>
    <row r="137" spans="1:18" x14ac:dyDescent="0.25">
      <c r="A137">
        <v>8003879954</v>
      </c>
      <c r="B137">
        <v>5</v>
      </c>
      <c r="C137">
        <v>18042018</v>
      </c>
      <c r="D137">
        <v>819</v>
      </c>
      <c r="E137" t="s">
        <v>35</v>
      </c>
      <c r="H137" s="2">
        <v>1.5</v>
      </c>
      <c r="I137" t="s">
        <v>26</v>
      </c>
      <c r="J137" s="2">
        <v>2173070.0099999998</v>
      </c>
      <c r="K137" t="s">
        <v>27</v>
      </c>
      <c r="L137">
        <v>5109</v>
      </c>
      <c r="M137" t="s">
        <v>32</v>
      </c>
      <c r="O137">
        <v>1</v>
      </c>
    </row>
    <row r="138" spans="1:18" x14ac:dyDescent="0.25">
      <c r="A138">
        <v>8003879954</v>
      </c>
      <c r="B138">
        <v>4</v>
      </c>
      <c r="C138">
        <v>18042018</v>
      </c>
      <c r="D138">
        <v>323</v>
      </c>
      <c r="E138" t="s">
        <v>50</v>
      </c>
      <c r="F138">
        <v>0</v>
      </c>
      <c r="G138" t="s">
        <v>640</v>
      </c>
      <c r="H138" s="2">
        <v>200000</v>
      </c>
      <c r="I138" t="s">
        <v>26</v>
      </c>
      <c r="J138" s="2">
        <v>2173071.5099999998</v>
      </c>
      <c r="K138" t="s">
        <v>27</v>
      </c>
      <c r="L138">
        <v>4945</v>
      </c>
      <c r="M138" t="s">
        <v>32</v>
      </c>
      <c r="O138">
        <v>1</v>
      </c>
    </row>
    <row r="139" spans="1:18" x14ac:dyDescent="0.25">
      <c r="A139">
        <v>8003879954</v>
      </c>
      <c r="B139">
        <v>3</v>
      </c>
      <c r="C139">
        <v>18042018</v>
      </c>
      <c r="D139">
        <v>323</v>
      </c>
      <c r="E139" t="s">
        <v>50</v>
      </c>
      <c r="F139">
        <v>0</v>
      </c>
      <c r="G139" t="s">
        <v>641</v>
      </c>
      <c r="H139" s="2">
        <v>127031.8</v>
      </c>
      <c r="I139" t="s">
        <v>26</v>
      </c>
      <c r="J139" s="2">
        <v>2373071.5099999998</v>
      </c>
      <c r="K139" t="s">
        <v>27</v>
      </c>
      <c r="L139">
        <v>4945</v>
      </c>
      <c r="M139" t="s">
        <v>32</v>
      </c>
      <c r="O139">
        <v>1</v>
      </c>
    </row>
    <row r="140" spans="1:18" x14ac:dyDescent="0.25">
      <c r="A140">
        <v>8003879954</v>
      </c>
      <c r="B140">
        <v>2</v>
      </c>
      <c r="C140">
        <v>18042018</v>
      </c>
      <c r="D140">
        <v>323</v>
      </c>
      <c r="E140" t="s">
        <v>50</v>
      </c>
      <c r="F140">
        <v>0</v>
      </c>
      <c r="G140" t="s">
        <v>642</v>
      </c>
      <c r="H140" s="2">
        <v>38160</v>
      </c>
      <c r="I140" t="s">
        <v>26</v>
      </c>
      <c r="J140" s="2">
        <v>2500103.31</v>
      </c>
      <c r="K140" t="s">
        <v>27</v>
      </c>
      <c r="L140">
        <v>4945</v>
      </c>
      <c r="M140" t="s">
        <v>32</v>
      </c>
      <c r="O140">
        <v>1</v>
      </c>
    </row>
    <row r="141" spans="1:18" x14ac:dyDescent="0.25">
      <c r="A141">
        <v>8003879954</v>
      </c>
      <c r="B141">
        <v>1</v>
      </c>
      <c r="C141">
        <v>18042018</v>
      </c>
      <c r="D141">
        <v>123</v>
      </c>
      <c r="E141" t="s">
        <v>64</v>
      </c>
      <c r="F141">
        <v>2007</v>
      </c>
      <c r="G141" t="s">
        <v>643</v>
      </c>
      <c r="H141" s="2">
        <v>2000</v>
      </c>
      <c r="I141" t="s">
        <v>27</v>
      </c>
      <c r="J141" s="2">
        <v>2538263.31</v>
      </c>
      <c r="K141" t="s">
        <v>27</v>
      </c>
      <c r="L141">
        <v>190707</v>
      </c>
      <c r="M141" t="s">
        <v>32</v>
      </c>
      <c r="O141">
        <v>1</v>
      </c>
    </row>
    <row r="142" spans="1:18" x14ac:dyDescent="0.25">
      <c r="A142">
        <v>8003879954</v>
      </c>
      <c r="B142">
        <v>1</v>
      </c>
      <c r="C142">
        <v>17042018</v>
      </c>
      <c r="D142">
        <v>141</v>
      </c>
      <c r="E142" t="s">
        <v>53</v>
      </c>
      <c r="F142">
        <v>6289</v>
      </c>
      <c r="G142" t="s">
        <v>644</v>
      </c>
      <c r="H142" s="2">
        <v>700</v>
      </c>
      <c r="I142" t="s">
        <v>27</v>
      </c>
      <c r="J142" s="2">
        <v>2536263.31</v>
      </c>
      <c r="K142" t="s">
        <v>27</v>
      </c>
      <c r="L142">
        <v>152240</v>
      </c>
      <c r="M142" t="s">
        <v>32</v>
      </c>
      <c r="O142">
        <v>1</v>
      </c>
      <c r="P142" t="s">
        <v>645</v>
      </c>
      <c r="Q142" t="s">
        <v>646</v>
      </c>
      <c r="R142" t="s">
        <v>647</v>
      </c>
    </row>
    <row r="143" spans="1:18" x14ac:dyDescent="0.25">
      <c r="A143">
        <v>8003879954</v>
      </c>
      <c r="B143">
        <v>1</v>
      </c>
      <c r="C143">
        <v>16042018</v>
      </c>
      <c r="D143">
        <v>121</v>
      </c>
      <c r="E143" t="s">
        <v>150</v>
      </c>
      <c r="F143">
        <v>2007</v>
      </c>
      <c r="G143" t="s">
        <v>648</v>
      </c>
      <c r="H143" s="2">
        <v>2000</v>
      </c>
      <c r="I143" t="s">
        <v>27</v>
      </c>
      <c r="J143" s="2">
        <v>2535563.31</v>
      </c>
      <c r="K143" t="s">
        <v>27</v>
      </c>
      <c r="L143">
        <v>194105</v>
      </c>
      <c r="M143" t="s">
        <v>32</v>
      </c>
      <c r="O143">
        <v>1</v>
      </c>
    </row>
    <row r="144" spans="1:18" x14ac:dyDescent="0.25">
      <c r="A144">
        <v>8003879954</v>
      </c>
      <c r="B144">
        <v>16</v>
      </c>
      <c r="C144">
        <v>13042018</v>
      </c>
      <c r="D144">
        <v>123</v>
      </c>
      <c r="E144" t="s">
        <v>64</v>
      </c>
      <c r="F144">
        <v>2007</v>
      </c>
      <c r="G144" t="s">
        <v>649</v>
      </c>
      <c r="H144" s="2">
        <v>1500</v>
      </c>
      <c r="I144" t="s">
        <v>27</v>
      </c>
      <c r="J144" s="2">
        <v>2533563.31</v>
      </c>
      <c r="K144" t="s">
        <v>27</v>
      </c>
      <c r="L144">
        <v>192209</v>
      </c>
      <c r="M144" t="s">
        <v>32</v>
      </c>
      <c r="O144">
        <v>1</v>
      </c>
    </row>
    <row r="145" spans="1:17" x14ac:dyDescent="0.25">
      <c r="A145">
        <v>8003879954</v>
      </c>
      <c r="B145">
        <v>15</v>
      </c>
      <c r="C145">
        <v>13042018</v>
      </c>
      <c r="D145">
        <v>345</v>
      </c>
      <c r="E145" t="s">
        <v>51</v>
      </c>
      <c r="F145">
        <v>9938</v>
      </c>
      <c r="G145" t="s">
        <v>650</v>
      </c>
      <c r="H145" s="2">
        <v>1590</v>
      </c>
      <c r="I145" t="s">
        <v>26</v>
      </c>
      <c r="J145" s="2">
        <v>2532063.31</v>
      </c>
      <c r="K145" t="s">
        <v>27</v>
      </c>
      <c r="L145">
        <v>122418</v>
      </c>
      <c r="M145" t="s">
        <v>651</v>
      </c>
      <c r="O145">
        <v>1</v>
      </c>
      <c r="P145" t="s">
        <v>652</v>
      </c>
      <c r="Q145" t="s">
        <v>653</v>
      </c>
    </row>
    <row r="146" spans="1:17" x14ac:dyDescent="0.25">
      <c r="A146">
        <v>8003879954</v>
      </c>
      <c r="B146">
        <v>14</v>
      </c>
      <c r="C146">
        <v>13042018</v>
      </c>
      <c r="D146">
        <v>345</v>
      </c>
      <c r="E146" t="s">
        <v>51</v>
      </c>
      <c r="F146">
        <v>9938</v>
      </c>
      <c r="G146" t="s">
        <v>654</v>
      </c>
      <c r="H146" s="2">
        <v>1627.91</v>
      </c>
      <c r="I146" t="s">
        <v>26</v>
      </c>
      <c r="J146" s="2">
        <v>2533653.31</v>
      </c>
      <c r="K146" t="s">
        <v>27</v>
      </c>
      <c r="L146">
        <v>122416</v>
      </c>
      <c r="M146" t="s">
        <v>655</v>
      </c>
      <c r="O146">
        <v>1</v>
      </c>
      <c r="P146" t="s">
        <v>656</v>
      </c>
      <c r="Q146" t="s">
        <v>52</v>
      </c>
    </row>
    <row r="147" spans="1:17" x14ac:dyDescent="0.25">
      <c r="A147">
        <v>8003879954</v>
      </c>
      <c r="B147">
        <v>13</v>
      </c>
      <c r="C147">
        <v>13042018</v>
      </c>
      <c r="D147">
        <v>341</v>
      </c>
      <c r="E147" t="s">
        <v>25</v>
      </c>
      <c r="F147">
        <v>9938</v>
      </c>
      <c r="G147" t="s">
        <v>657</v>
      </c>
      <c r="H147" s="2">
        <v>1370.97</v>
      </c>
      <c r="I147" t="s">
        <v>26</v>
      </c>
      <c r="J147" s="2">
        <v>2535281.2200000002</v>
      </c>
      <c r="K147" t="s">
        <v>27</v>
      </c>
      <c r="L147">
        <v>122416</v>
      </c>
      <c r="M147" t="s">
        <v>658</v>
      </c>
      <c r="O147">
        <v>1</v>
      </c>
      <c r="P147" t="s">
        <v>659</v>
      </c>
      <c r="Q147" t="s">
        <v>660</v>
      </c>
    </row>
    <row r="148" spans="1:17" x14ac:dyDescent="0.25">
      <c r="A148">
        <v>8003879954</v>
      </c>
      <c r="B148">
        <v>12</v>
      </c>
      <c r="C148">
        <v>13042018</v>
      </c>
      <c r="D148">
        <v>299</v>
      </c>
      <c r="E148" t="s">
        <v>30</v>
      </c>
      <c r="F148">
        <v>9938</v>
      </c>
      <c r="G148" t="s">
        <v>657</v>
      </c>
      <c r="H148" s="2">
        <v>0.01</v>
      </c>
      <c r="I148" t="s">
        <v>26</v>
      </c>
      <c r="J148" s="2">
        <v>2536652.19</v>
      </c>
      <c r="K148" t="s">
        <v>27</v>
      </c>
      <c r="L148">
        <v>122416</v>
      </c>
      <c r="M148" t="s">
        <v>661</v>
      </c>
      <c r="O148">
        <v>1</v>
      </c>
    </row>
    <row r="149" spans="1:17" x14ac:dyDescent="0.25">
      <c r="A149">
        <v>8003879954</v>
      </c>
      <c r="B149">
        <v>11</v>
      </c>
      <c r="C149">
        <v>13042018</v>
      </c>
      <c r="D149">
        <v>489</v>
      </c>
      <c r="E149" t="s">
        <v>31</v>
      </c>
      <c r="F149">
        <v>9938</v>
      </c>
      <c r="G149" t="s">
        <v>657</v>
      </c>
      <c r="H149" s="2">
        <v>0.1</v>
      </c>
      <c r="I149" t="s">
        <v>26</v>
      </c>
      <c r="J149" s="2">
        <v>2536652.2000000002</v>
      </c>
      <c r="K149" t="s">
        <v>27</v>
      </c>
      <c r="L149">
        <v>122416</v>
      </c>
      <c r="M149" t="s">
        <v>661</v>
      </c>
      <c r="O149">
        <v>1</v>
      </c>
    </row>
    <row r="150" spans="1:17" x14ac:dyDescent="0.25">
      <c r="A150">
        <v>8003879954</v>
      </c>
      <c r="B150">
        <v>10</v>
      </c>
      <c r="C150">
        <v>13042018</v>
      </c>
      <c r="D150">
        <v>341</v>
      </c>
      <c r="E150" t="s">
        <v>25</v>
      </c>
      <c r="F150">
        <v>9938</v>
      </c>
      <c r="G150" t="s">
        <v>662</v>
      </c>
      <c r="H150" s="2">
        <v>2500</v>
      </c>
      <c r="I150" t="s">
        <v>26</v>
      </c>
      <c r="J150" s="2">
        <v>2536652.2999999998</v>
      </c>
      <c r="K150" t="s">
        <v>27</v>
      </c>
      <c r="L150">
        <v>122417</v>
      </c>
      <c r="M150" t="s">
        <v>663</v>
      </c>
      <c r="O150">
        <v>1</v>
      </c>
      <c r="P150" t="s">
        <v>664</v>
      </c>
      <c r="Q150" t="s">
        <v>665</v>
      </c>
    </row>
    <row r="151" spans="1:17" x14ac:dyDescent="0.25">
      <c r="A151">
        <v>8003879954</v>
      </c>
      <c r="B151">
        <v>9</v>
      </c>
      <c r="C151">
        <v>13042018</v>
      </c>
      <c r="D151">
        <v>299</v>
      </c>
      <c r="E151" t="s">
        <v>30</v>
      </c>
      <c r="F151">
        <v>9938</v>
      </c>
      <c r="G151" t="s">
        <v>662</v>
      </c>
      <c r="H151" s="2">
        <v>0.01</v>
      </c>
      <c r="I151" t="s">
        <v>26</v>
      </c>
      <c r="J151" s="2">
        <v>2539152.2999999998</v>
      </c>
      <c r="K151" t="s">
        <v>27</v>
      </c>
      <c r="L151">
        <v>122417</v>
      </c>
      <c r="M151" t="s">
        <v>666</v>
      </c>
      <c r="O151">
        <v>1</v>
      </c>
    </row>
    <row r="152" spans="1:17" x14ac:dyDescent="0.25">
      <c r="A152">
        <v>8003879954</v>
      </c>
      <c r="B152">
        <v>8</v>
      </c>
      <c r="C152">
        <v>13042018</v>
      </c>
      <c r="D152">
        <v>489</v>
      </c>
      <c r="E152" t="s">
        <v>31</v>
      </c>
      <c r="F152">
        <v>9938</v>
      </c>
      <c r="G152" t="s">
        <v>662</v>
      </c>
      <c r="H152" s="2">
        <v>0.1</v>
      </c>
      <c r="I152" t="s">
        <v>26</v>
      </c>
      <c r="J152" s="2">
        <v>2539152.31</v>
      </c>
      <c r="K152" t="s">
        <v>27</v>
      </c>
      <c r="L152">
        <v>122417</v>
      </c>
      <c r="M152" t="s">
        <v>666</v>
      </c>
      <c r="O152">
        <v>1</v>
      </c>
    </row>
    <row r="153" spans="1:17" x14ac:dyDescent="0.25">
      <c r="A153">
        <v>8003879954</v>
      </c>
      <c r="B153">
        <v>7</v>
      </c>
      <c r="C153">
        <v>13042018</v>
      </c>
      <c r="D153">
        <v>341</v>
      </c>
      <c r="E153" t="s">
        <v>25</v>
      </c>
      <c r="F153">
        <v>9938</v>
      </c>
      <c r="G153" t="s">
        <v>667</v>
      </c>
      <c r="H153" s="2">
        <v>805.6</v>
      </c>
      <c r="I153" t="s">
        <v>26</v>
      </c>
      <c r="J153" s="2">
        <v>2539152.41</v>
      </c>
      <c r="K153" t="s">
        <v>27</v>
      </c>
      <c r="L153">
        <v>122417</v>
      </c>
      <c r="M153" t="s">
        <v>668</v>
      </c>
      <c r="O153">
        <v>1</v>
      </c>
      <c r="P153" t="s">
        <v>669</v>
      </c>
      <c r="Q153" t="s">
        <v>670</v>
      </c>
    </row>
    <row r="154" spans="1:17" x14ac:dyDescent="0.25">
      <c r="A154">
        <v>8003879954</v>
      </c>
      <c r="B154">
        <v>6</v>
      </c>
      <c r="C154">
        <v>13042018</v>
      </c>
      <c r="D154">
        <v>299</v>
      </c>
      <c r="E154" t="s">
        <v>30</v>
      </c>
      <c r="F154">
        <v>9938</v>
      </c>
      <c r="G154" t="s">
        <v>667</v>
      </c>
      <c r="H154" s="2">
        <v>0.01</v>
      </c>
      <c r="I154" t="s">
        <v>26</v>
      </c>
      <c r="J154" s="2">
        <v>2539958.0099999998</v>
      </c>
      <c r="K154" t="s">
        <v>27</v>
      </c>
      <c r="L154">
        <v>122417</v>
      </c>
      <c r="M154" t="s">
        <v>671</v>
      </c>
      <c r="O154">
        <v>1</v>
      </c>
    </row>
    <row r="155" spans="1:17" x14ac:dyDescent="0.25">
      <c r="A155">
        <v>8003879954</v>
      </c>
      <c r="B155">
        <v>5</v>
      </c>
      <c r="C155">
        <v>13042018</v>
      </c>
      <c r="D155">
        <v>489</v>
      </c>
      <c r="E155" t="s">
        <v>31</v>
      </c>
      <c r="F155">
        <v>9938</v>
      </c>
      <c r="G155" t="s">
        <v>667</v>
      </c>
      <c r="H155" s="2">
        <v>0.1</v>
      </c>
      <c r="I155" t="s">
        <v>26</v>
      </c>
      <c r="J155" s="2">
        <v>2539958.02</v>
      </c>
      <c r="K155" t="s">
        <v>27</v>
      </c>
      <c r="L155">
        <v>122417</v>
      </c>
      <c r="M155" t="s">
        <v>671</v>
      </c>
      <c r="O155">
        <v>1</v>
      </c>
    </row>
    <row r="156" spans="1:17" x14ac:dyDescent="0.25">
      <c r="A156">
        <v>8003879954</v>
      </c>
      <c r="B156">
        <v>4</v>
      </c>
      <c r="C156">
        <v>13042018</v>
      </c>
      <c r="D156">
        <v>341</v>
      </c>
      <c r="E156" t="s">
        <v>25</v>
      </c>
      <c r="F156">
        <v>9938</v>
      </c>
      <c r="G156" t="s">
        <v>672</v>
      </c>
      <c r="H156" s="2">
        <v>1000</v>
      </c>
      <c r="I156" t="s">
        <v>26</v>
      </c>
      <c r="J156" s="2">
        <v>2539958.12</v>
      </c>
      <c r="K156" t="s">
        <v>27</v>
      </c>
      <c r="L156">
        <v>122416</v>
      </c>
      <c r="M156" t="s">
        <v>43</v>
      </c>
      <c r="O156">
        <v>1</v>
      </c>
      <c r="P156" t="s">
        <v>673</v>
      </c>
      <c r="Q156" t="s">
        <v>44</v>
      </c>
    </row>
    <row r="157" spans="1:17" x14ac:dyDescent="0.25">
      <c r="A157">
        <v>8003879954</v>
      </c>
      <c r="B157">
        <v>3</v>
      </c>
      <c r="C157">
        <v>13042018</v>
      </c>
      <c r="D157">
        <v>299</v>
      </c>
      <c r="E157" t="s">
        <v>30</v>
      </c>
      <c r="F157">
        <v>9938</v>
      </c>
      <c r="G157" t="s">
        <v>672</v>
      </c>
      <c r="H157" s="2">
        <v>0.01</v>
      </c>
      <c r="I157" t="s">
        <v>26</v>
      </c>
      <c r="J157" s="2">
        <v>2540958.12</v>
      </c>
      <c r="K157" t="s">
        <v>27</v>
      </c>
      <c r="L157">
        <v>122416</v>
      </c>
      <c r="M157" t="s">
        <v>674</v>
      </c>
      <c r="O157">
        <v>1</v>
      </c>
    </row>
    <row r="158" spans="1:17" x14ac:dyDescent="0.25">
      <c r="A158">
        <v>8003879954</v>
      </c>
      <c r="B158">
        <v>2</v>
      </c>
      <c r="C158">
        <v>13042018</v>
      </c>
      <c r="D158">
        <v>489</v>
      </c>
      <c r="E158" t="s">
        <v>31</v>
      </c>
      <c r="F158">
        <v>9938</v>
      </c>
      <c r="G158" t="s">
        <v>672</v>
      </c>
      <c r="H158" s="2">
        <v>0.1</v>
      </c>
      <c r="I158" t="s">
        <v>26</v>
      </c>
      <c r="J158" s="2">
        <v>2540958.13</v>
      </c>
      <c r="K158" t="s">
        <v>27</v>
      </c>
      <c r="L158">
        <v>122416</v>
      </c>
      <c r="M158" t="s">
        <v>674</v>
      </c>
      <c r="O158">
        <v>1</v>
      </c>
    </row>
    <row r="159" spans="1:17" x14ac:dyDescent="0.25">
      <c r="A159">
        <v>8003879954</v>
      </c>
      <c r="B159">
        <v>1</v>
      </c>
      <c r="C159">
        <v>13042018</v>
      </c>
      <c r="D159">
        <v>345</v>
      </c>
      <c r="E159" t="s">
        <v>51</v>
      </c>
      <c r="F159">
        <v>9938</v>
      </c>
      <c r="G159" t="s">
        <v>675</v>
      </c>
      <c r="H159" s="2">
        <v>261.87</v>
      </c>
      <c r="I159" t="s">
        <v>26</v>
      </c>
      <c r="J159" s="2">
        <v>2540958.23</v>
      </c>
      <c r="K159" t="s">
        <v>27</v>
      </c>
      <c r="L159">
        <v>122416</v>
      </c>
      <c r="M159" t="s">
        <v>676</v>
      </c>
      <c r="O159">
        <v>1</v>
      </c>
      <c r="P159" t="s">
        <v>677</v>
      </c>
      <c r="Q159" t="s">
        <v>52</v>
      </c>
    </row>
    <row r="160" spans="1:17" x14ac:dyDescent="0.25">
      <c r="A160">
        <v>8003879954</v>
      </c>
      <c r="B160">
        <v>7</v>
      </c>
      <c r="C160">
        <v>12042018</v>
      </c>
      <c r="D160">
        <v>299</v>
      </c>
      <c r="E160" t="s">
        <v>30</v>
      </c>
      <c r="H160" s="2">
        <v>0.03</v>
      </c>
      <c r="I160" t="s">
        <v>26</v>
      </c>
      <c r="J160" s="2">
        <v>2541220.1</v>
      </c>
      <c r="K160" t="s">
        <v>27</v>
      </c>
      <c r="L160">
        <v>5503</v>
      </c>
      <c r="M160" t="s">
        <v>32</v>
      </c>
      <c r="O160">
        <v>1</v>
      </c>
    </row>
    <row r="161" spans="1:18" x14ac:dyDescent="0.25">
      <c r="A161">
        <v>8003879954</v>
      </c>
      <c r="B161">
        <v>6</v>
      </c>
      <c r="C161">
        <v>12042018</v>
      </c>
      <c r="D161">
        <v>819</v>
      </c>
      <c r="E161" t="s">
        <v>35</v>
      </c>
      <c r="H161" s="2">
        <v>0.5</v>
      </c>
      <c r="I161" t="s">
        <v>26</v>
      </c>
      <c r="J161" s="2">
        <v>2541220.13</v>
      </c>
      <c r="K161" t="s">
        <v>27</v>
      </c>
      <c r="L161">
        <v>5503</v>
      </c>
      <c r="M161" t="s">
        <v>32</v>
      </c>
      <c r="O161">
        <v>1</v>
      </c>
    </row>
    <row r="162" spans="1:18" x14ac:dyDescent="0.25">
      <c r="A162">
        <v>8003879954</v>
      </c>
      <c r="B162">
        <v>5</v>
      </c>
      <c r="C162">
        <v>12042018</v>
      </c>
      <c r="D162">
        <v>299</v>
      </c>
      <c r="E162" t="s">
        <v>30</v>
      </c>
      <c r="H162" s="2">
        <v>0.03</v>
      </c>
      <c r="I162" t="s">
        <v>26</v>
      </c>
      <c r="J162" s="2">
        <v>2541220.63</v>
      </c>
      <c r="K162" t="s">
        <v>27</v>
      </c>
      <c r="L162">
        <v>5502</v>
      </c>
      <c r="M162" t="s">
        <v>32</v>
      </c>
      <c r="O162">
        <v>1</v>
      </c>
    </row>
    <row r="163" spans="1:18" x14ac:dyDescent="0.25">
      <c r="A163">
        <v>8003879954</v>
      </c>
      <c r="B163">
        <v>4</v>
      </c>
      <c r="C163">
        <v>12042018</v>
      </c>
      <c r="D163">
        <v>819</v>
      </c>
      <c r="E163" t="s">
        <v>35</v>
      </c>
      <c r="H163" s="2">
        <v>0.5</v>
      </c>
      <c r="I163" t="s">
        <v>26</v>
      </c>
      <c r="J163" s="2">
        <v>2541220.66</v>
      </c>
      <c r="K163" t="s">
        <v>27</v>
      </c>
      <c r="L163">
        <v>5502</v>
      </c>
      <c r="M163" t="s">
        <v>32</v>
      </c>
      <c r="O163">
        <v>1</v>
      </c>
    </row>
    <row r="164" spans="1:18" x14ac:dyDescent="0.25">
      <c r="A164">
        <v>8003879954</v>
      </c>
      <c r="B164">
        <v>3</v>
      </c>
      <c r="C164">
        <v>12042018</v>
      </c>
      <c r="D164">
        <v>321</v>
      </c>
      <c r="E164" t="s">
        <v>36</v>
      </c>
      <c r="F164">
        <v>0</v>
      </c>
      <c r="G164" t="s">
        <v>678</v>
      </c>
      <c r="H164" s="2">
        <v>14219.07</v>
      </c>
      <c r="I164" t="s">
        <v>26</v>
      </c>
      <c r="J164" s="2">
        <v>2541221.16</v>
      </c>
      <c r="K164" t="s">
        <v>27</v>
      </c>
      <c r="L164">
        <v>5329</v>
      </c>
      <c r="M164" t="s">
        <v>32</v>
      </c>
      <c r="O164">
        <v>1</v>
      </c>
    </row>
    <row r="165" spans="1:18" x14ac:dyDescent="0.25">
      <c r="A165">
        <v>8003879954</v>
      </c>
      <c r="B165">
        <v>2</v>
      </c>
      <c r="C165">
        <v>12042018</v>
      </c>
      <c r="D165">
        <v>323</v>
      </c>
      <c r="E165" t="s">
        <v>50</v>
      </c>
      <c r="F165">
        <v>0</v>
      </c>
      <c r="G165" t="s">
        <v>679</v>
      </c>
      <c r="H165" s="2">
        <v>170</v>
      </c>
      <c r="I165" t="s">
        <v>26</v>
      </c>
      <c r="J165" s="2">
        <v>2555440.23</v>
      </c>
      <c r="K165" t="s">
        <v>27</v>
      </c>
      <c r="L165">
        <v>5329</v>
      </c>
      <c r="M165" t="s">
        <v>32</v>
      </c>
      <c r="O165">
        <v>1</v>
      </c>
    </row>
    <row r="166" spans="1:18" x14ac:dyDescent="0.25">
      <c r="A166">
        <v>8003879954</v>
      </c>
      <c r="B166">
        <v>1</v>
      </c>
      <c r="C166">
        <v>12042018</v>
      </c>
      <c r="D166">
        <v>143</v>
      </c>
      <c r="E166" t="s">
        <v>680</v>
      </c>
      <c r="F166">
        <v>9938</v>
      </c>
      <c r="G166" t="s">
        <v>681</v>
      </c>
      <c r="H166" s="2">
        <v>750</v>
      </c>
      <c r="I166" t="s">
        <v>27</v>
      </c>
      <c r="J166" s="2">
        <v>2555610.23</v>
      </c>
      <c r="K166" t="s">
        <v>27</v>
      </c>
      <c r="L166">
        <v>214710</v>
      </c>
      <c r="M166" t="s">
        <v>682</v>
      </c>
      <c r="O166">
        <v>1</v>
      </c>
      <c r="P166" t="s">
        <v>682</v>
      </c>
      <c r="Q166" t="s">
        <v>683</v>
      </c>
      <c r="R166" t="s">
        <v>684</v>
      </c>
    </row>
    <row r="167" spans="1:18" x14ac:dyDescent="0.25">
      <c r="A167">
        <v>8003879954</v>
      </c>
      <c r="B167">
        <v>6</v>
      </c>
      <c r="C167">
        <v>10042018</v>
      </c>
      <c r="D167">
        <v>299</v>
      </c>
      <c r="E167" t="s">
        <v>30</v>
      </c>
      <c r="H167" s="2">
        <v>0.09</v>
      </c>
      <c r="I167" t="s">
        <v>26</v>
      </c>
      <c r="J167" s="2">
        <v>2554860.23</v>
      </c>
      <c r="K167" t="s">
        <v>27</v>
      </c>
      <c r="L167">
        <v>5905</v>
      </c>
      <c r="M167" t="s">
        <v>32</v>
      </c>
      <c r="O167">
        <v>1</v>
      </c>
    </row>
    <row r="168" spans="1:18" x14ac:dyDescent="0.25">
      <c r="A168">
        <v>8003879954</v>
      </c>
      <c r="B168">
        <v>5</v>
      </c>
      <c r="C168">
        <v>10042018</v>
      </c>
      <c r="D168">
        <v>819</v>
      </c>
      <c r="E168" t="s">
        <v>35</v>
      </c>
      <c r="H168" s="2">
        <v>1.5</v>
      </c>
      <c r="I168" t="s">
        <v>26</v>
      </c>
      <c r="J168" s="2">
        <v>2554860.3199999998</v>
      </c>
      <c r="K168" t="s">
        <v>27</v>
      </c>
      <c r="L168">
        <v>5905</v>
      </c>
      <c r="M168" t="s">
        <v>32</v>
      </c>
      <c r="O168">
        <v>1</v>
      </c>
    </row>
    <row r="169" spans="1:18" x14ac:dyDescent="0.25">
      <c r="A169">
        <v>8003879954</v>
      </c>
      <c r="B169">
        <v>4</v>
      </c>
      <c r="C169">
        <v>10042018</v>
      </c>
      <c r="D169">
        <v>323</v>
      </c>
      <c r="E169" t="s">
        <v>50</v>
      </c>
      <c r="F169">
        <v>0</v>
      </c>
      <c r="G169" t="s">
        <v>685</v>
      </c>
      <c r="H169" s="2">
        <v>254.8</v>
      </c>
      <c r="I169" t="s">
        <v>26</v>
      </c>
      <c r="J169" s="2">
        <v>2554861.8199999998</v>
      </c>
      <c r="K169" t="s">
        <v>27</v>
      </c>
      <c r="L169">
        <v>5709</v>
      </c>
      <c r="M169" t="s">
        <v>32</v>
      </c>
      <c r="O169">
        <v>1</v>
      </c>
    </row>
    <row r="170" spans="1:18" x14ac:dyDescent="0.25">
      <c r="A170">
        <v>8003879954</v>
      </c>
      <c r="B170">
        <v>3</v>
      </c>
      <c r="C170">
        <v>10042018</v>
      </c>
      <c r="D170">
        <v>323</v>
      </c>
      <c r="E170" t="s">
        <v>50</v>
      </c>
      <c r="F170">
        <v>0</v>
      </c>
      <c r="G170" t="s">
        <v>686</v>
      </c>
      <c r="H170" s="2">
        <v>1491.6</v>
      </c>
      <c r="I170" t="s">
        <v>26</v>
      </c>
      <c r="J170" s="2">
        <v>2555116.62</v>
      </c>
      <c r="K170" t="s">
        <v>27</v>
      </c>
      <c r="L170">
        <v>5709</v>
      </c>
      <c r="M170" t="s">
        <v>32</v>
      </c>
      <c r="O170">
        <v>1</v>
      </c>
    </row>
    <row r="171" spans="1:18" x14ac:dyDescent="0.25">
      <c r="A171">
        <v>8003879954</v>
      </c>
      <c r="B171">
        <v>2</v>
      </c>
      <c r="C171">
        <v>10042018</v>
      </c>
      <c r="D171">
        <v>323</v>
      </c>
      <c r="E171" t="s">
        <v>50</v>
      </c>
      <c r="F171">
        <v>0</v>
      </c>
      <c r="G171" t="s">
        <v>687</v>
      </c>
      <c r="H171" s="2">
        <v>4233</v>
      </c>
      <c r="I171" t="s">
        <v>26</v>
      </c>
      <c r="J171" s="2">
        <v>2556608.2200000002</v>
      </c>
      <c r="K171" t="s">
        <v>27</v>
      </c>
      <c r="L171">
        <v>5709</v>
      </c>
      <c r="M171" t="s">
        <v>32</v>
      </c>
      <c r="O171">
        <v>1</v>
      </c>
    </row>
    <row r="172" spans="1:18" x14ac:dyDescent="0.25">
      <c r="A172">
        <v>8003879954</v>
      </c>
      <c r="B172">
        <v>1</v>
      </c>
      <c r="C172">
        <v>10042018</v>
      </c>
      <c r="D172">
        <v>5</v>
      </c>
      <c r="E172" t="s">
        <v>54</v>
      </c>
      <c r="H172" s="2">
        <v>2500000</v>
      </c>
      <c r="I172" t="s">
        <v>27</v>
      </c>
      <c r="J172" s="2">
        <v>2560841.2200000002</v>
      </c>
      <c r="K172" t="s">
        <v>27</v>
      </c>
      <c r="L172">
        <v>91127</v>
      </c>
      <c r="M172" t="s">
        <v>688</v>
      </c>
      <c r="O172">
        <v>1</v>
      </c>
      <c r="P172" t="s">
        <v>689</v>
      </c>
      <c r="Q172" t="s">
        <v>381</v>
      </c>
      <c r="R172" t="s">
        <v>382</v>
      </c>
    </row>
    <row r="173" spans="1:18" x14ac:dyDescent="0.25">
      <c r="A173">
        <v>8003879954</v>
      </c>
      <c r="B173">
        <v>5</v>
      </c>
      <c r="C173">
        <v>9042018</v>
      </c>
      <c r="D173">
        <v>299</v>
      </c>
      <c r="E173" t="s">
        <v>30</v>
      </c>
      <c r="H173" s="2">
        <v>0.06</v>
      </c>
      <c r="I173" t="s">
        <v>26</v>
      </c>
      <c r="J173" s="2">
        <v>60841.22</v>
      </c>
      <c r="K173" t="s">
        <v>27</v>
      </c>
      <c r="L173">
        <v>5811</v>
      </c>
      <c r="M173" t="s">
        <v>32</v>
      </c>
      <c r="O173">
        <v>1</v>
      </c>
    </row>
    <row r="174" spans="1:18" x14ac:dyDescent="0.25">
      <c r="A174">
        <v>8003879954</v>
      </c>
      <c r="B174">
        <v>4</v>
      </c>
      <c r="C174">
        <v>9042018</v>
      </c>
      <c r="D174">
        <v>819</v>
      </c>
      <c r="E174" t="s">
        <v>35</v>
      </c>
      <c r="H174" s="2">
        <v>1</v>
      </c>
      <c r="I174" t="s">
        <v>26</v>
      </c>
      <c r="J174" s="2">
        <v>60841.279999999999</v>
      </c>
      <c r="K174" t="s">
        <v>27</v>
      </c>
      <c r="L174">
        <v>5811</v>
      </c>
      <c r="M174" t="s">
        <v>32</v>
      </c>
      <c r="O174">
        <v>1</v>
      </c>
    </row>
    <row r="175" spans="1:18" x14ac:dyDescent="0.25">
      <c r="A175">
        <v>8003879954</v>
      </c>
      <c r="B175">
        <v>3</v>
      </c>
      <c r="C175">
        <v>9042018</v>
      </c>
      <c r="D175">
        <v>323</v>
      </c>
      <c r="E175" t="s">
        <v>50</v>
      </c>
      <c r="F175">
        <v>0</v>
      </c>
      <c r="G175" t="s">
        <v>690</v>
      </c>
      <c r="H175" s="2">
        <v>10667.84</v>
      </c>
      <c r="I175" t="s">
        <v>26</v>
      </c>
      <c r="J175" s="2">
        <v>60842.28</v>
      </c>
      <c r="K175" t="s">
        <v>27</v>
      </c>
      <c r="L175">
        <v>5539</v>
      </c>
      <c r="M175" t="s">
        <v>32</v>
      </c>
      <c r="O175">
        <v>1</v>
      </c>
    </row>
    <row r="176" spans="1:18" x14ac:dyDescent="0.25">
      <c r="A176">
        <v>8003879954</v>
      </c>
      <c r="B176">
        <v>2</v>
      </c>
      <c r="C176">
        <v>9042018</v>
      </c>
      <c r="D176">
        <v>323</v>
      </c>
      <c r="E176" t="s">
        <v>50</v>
      </c>
      <c r="F176">
        <v>0</v>
      </c>
      <c r="G176" t="s">
        <v>691</v>
      </c>
      <c r="H176" s="2">
        <v>21590</v>
      </c>
      <c r="I176" t="s">
        <v>26</v>
      </c>
      <c r="J176" s="2">
        <v>71510.12</v>
      </c>
      <c r="K176" t="s">
        <v>27</v>
      </c>
      <c r="L176">
        <v>5539</v>
      </c>
      <c r="M176" t="s">
        <v>32</v>
      </c>
      <c r="O176">
        <v>1</v>
      </c>
    </row>
    <row r="177" spans="1:18" x14ac:dyDescent="0.25">
      <c r="A177">
        <v>8003879954</v>
      </c>
      <c r="B177">
        <v>1</v>
      </c>
      <c r="C177">
        <v>9042018</v>
      </c>
      <c r="D177">
        <v>174</v>
      </c>
      <c r="E177" t="s">
        <v>159</v>
      </c>
      <c r="F177">
        <v>2001</v>
      </c>
      <c r="G177" t="s">
        <v>692</v>
      </c>
      <c r="H177" s="2">
        <v>2000</v>
      </c>
      <c r="I177" t="s">
        <v>27</v>
      </c>
      <c r="J177" s="2">
        <v>93100.12</v>
      </c>
      <c r="K177" t="s">
        <v>27</v>
      </c>
      <c r="L177">
        <v>211259</v>
      </c>
      <c r="M177" t="s">
        <v>693</v>
      </c>
      <c r="O177">
        <v>1</v>
      </c>
      <c r="P177" t="s">
        <v>693</v>
      </c>
      <c r="Q177" t="s">
        <v>694</v>
      </c>
      <c r="R177" t="s">
        <v>695</v>
      </c>
    </row>
    <row r="178" spans="1:18" x14ac:dyDescent="0.25">
      <c r="A178">
        <v>8003879954</v>
      </c>
      <c r="B178">
        <v>3</v>
      </c>
      <c r="C178">
        <v>6042018</v>
      </c>
      <c r="D178">
        <v>299</v>
      </c>
      <c r="E178" t="s">
        <v>30</v>
      </c>
      <c r="H178" s="2">
        <v>0.03</v>
      </c>
      <c r="I178" t="s">
        <v>26</v>
      </c>
      <c r="J178" s="2">
        <v>91100.12</v>
      </c>
      <c r="K178" t="s">
        <v>27</v>
      </c>
      <c r="L178">
        <v>11839</v>
      </c>
      <c r="M178" t="s">
        <v>32</v>
      </c>
      <c r="O178">
        <v>1</v>
      </c>
    </row>
    <row r="179" spans="1:18" x14ac:dyDescent="0.25">
      <c r="A179">
        <v>8003879954</v>
      </c>
      <c r="B179">
        <v>2</v>
      </c>
      <c r="C179">
        <v>6042018</v>
      </c>
      <c r="D179">
        <v>819</v>
      </c>
      <c r="E179" t="s">
        <v>35</v>
      </c>
      <c r="H179" s="2">
        <v>0.5</v>
      </c>
      <c r="I179" t="s">
        <v>26</v>
      </c>
      <c r="J179" s="2">
        <v>91100.15</v>
      </c>
      <c r="K179" t="s">
        <v>27</v>
      </c>
      <c r="L179">
        <v>11839</v>
      </c>
      <c r="M179" t="s">
        <v>32</v>
      </c>
      <c r="O179">
        <v>1</v>
      </c>
    </row>
    <row r="180" spans="1:18" x14ac:dyDescent="0.25">
      <c r="A180">
        <v>8003879954</v>
      </c>
      <c r="B180">
        <v>1</v>
      </c>
      <c r="C180">
        <v>6042018</v>
      </c>
      <c r="D180">
        <v>321</v>
      </c>
      <c r="E180" t="s">
        <v>36</v>
      </c>
      <c r="F180">
        <v>0</v>
      </c>
      <c r="G180" t="s">
        <v>696</v>
      </c>
      <c r="H180" s="2">
        <v>4609</v>
      </c>
      <c r="I180" t="s">
        <v>26</v>
      </c>
      <c r="J180" s="2">
        <v>91100.65</v>
      </c>
      <c r="K180" t="s">
        <v>27</v>
      </c>
      <c r="L180">
        <v>11659</v>
      </c>
      <c r="M180" t="s">
        <v>32</v>
      </c>
      <c r="O180">
        <v>1</v>
      </c>
    </row>
    <row r="181" spans="1:18" x14ac:dyDescent="0.25">
      <c r="A181">
        <v>8003879954</v>
      </c>
      <c r="B181">
        <v>3</v>
      </c>
      <c r="C181">
        <v>5042018</v>
      </c>
      <c r="D181">
        <v>299</v>
      </c>
      <c r="E181" t="s">
        <v>30</v>
      </c>
      <c r="H181" s="2">
        <v>0.03</v>
      </c>
      <c r="I181" t="s">
        <v>26</v>
      </c>
      <c r="J181" s="2">
        <v>95709.65</v>
      </c>
      <c r="K181" t="s">
        <v>27</v>
      </c>
      <c r="L181">
        <v>5932</v>
      </c>
      <c r="M181" t="s">
        <v>32</v>
      </c>
      <c r="O181">
        <v>1</v>
      </c>
    </row>
    <row r="182" spans="1:18" x14ac:dyDescent="0.25">
      <c r="A182">
        <v>8003879954</v>
      </c>
      <c r="B182">
        <v>2</v>
      </c>
      <c r="C182">
        <v>5042018</v>
      </c>
      <c r="D182">
        <v>819</v>
      </c>
      <c r="E182" t="s">
        <v>35</v>
      </c>
      <c r="H182" s="2">
        <v>0.5</v>
      </c>
      <c r="I182" t="s">
        <v>26</v>
      </c>
      <c r="J182" s="2">
        <v>95709.68</v>
      </c>
      <c r="K182" t="s">
        <v>27</v>
      </c>
      <c r="L182">
        <v>5932</v>
      </c>
      <c r="M182" t="s">
        <v>32</v>
      </c>
      <c r="O182">
        <v>1</v>
      </c>
    </row>
    <row r="183" spans="1:18" x14ac:dyDescent="0.25">
      <c r="A183">
        <v>8003879954</v>
      </c>
      <c r="B183">
        <v>1</v>
      </c>
      <c r="C183">
        <v>5042018</v>
      </c>
      <c r="D183">
        <v>323</v>
      </c>
      <c r="E183" t="s">
        <v>50</v>
      </c>
      <c r="F183">
        <v>0</v>
      </c>
      <c r="G183" t="s">
        <v>697</v>
      </c>
      <c r="H183" s="2">
        <v>200000</v>
      </c>
      <c r="I183" t="s">
        <v>26</v>
      </c>
      <c r="J183" s="2">
        <v>95710.18</v>
      </c>
      <c r="K183" t="s">
        <v>27</v>
      </c>
      <c r="L183">
        <v>5753</v>
      </c>
      <c r="M183" t="s">
        <v>32</v>
      </c>
      <c r="O183">
        <v>1</v>
      </c>
    </row>
    <row r="184" spans="1:18" x14ac:dyDescent="0.25">
      <c r="A184">
        <v>8003879954</v>
      </c>
      <c r="B184">
        <v>77</v>
      </c>
      <c r="C184">
        <v>4042018</v>
      </c>
      <c r="D184">
        <v>299</v>
      </c>
      <c r="E184" t="s">
        <v>30</v>
      </c>
      <c r="H184" s="2">
        <v>0.06</v>
      </c>
      <c r="I184" t="s">
        <v>26</v>
      </c>
      <c r="J184" s="2">
        <v>295710.18</v>
      </c>
      <c r="K184" t="s">
        <v>27</v>
      </c>
      <c r="L184">
        <v>5812</v>
      </c>
      <c r="M184" t="s">
        <v>32</v>
      </c>
      <c r="O184">
        <v>1</v>
      </c>
    </row>
    <row r="185" spans="1:18" x14ac:dyDescent="0.25">
      <c r="A185">
        <v>8003879954</v>
      </c>
      <c r="B185">
        <v>76</v>
      </c>
      <c r="C185">
        <v>4042018</v>
      </c>
      <c r="D185">
        <v>819</v>
      </c>
      <c r="E185" t="s">
        <v>35</v>
      </c>
      <c r="H185" s="2">
        <v>1</v>
      </c>
      <c r="I185" t="s">
        <v>26</v>
      </c>
      <c r="J185" s="2">
        <v>295710.24</v>
      </c>
      <c r="K185" t="s">
        <v>27</v>
      </c>
      <c r="L185">
        <v>5812</v>
      </c>
      <c r="M185" t="s">
        <v>32</v>
      </c>
      <c r="O185">
        <v>1</v>
      </c>
    </row>
    <row r="186" spans="1:18" x14ac:dyDescent="0.25">
      <c r="A186">
        <v>8003879954</v>
      </c>
      <c r="B186">
        <v>75</v>
      </c>
      <c r="C186">
        <v>4042018</v>
      </c>
      <c r="D186">
        <v>321</v>
      </c>
      <c r="E186" t="s">
        <v>36</v>
      </c>
      <c r="F186">
        <v>0</v>
      </c>
      <c r="G186" t="s">
        <v>698</v>
      </c>
      <c r="H186" s="2">
        <v>493.95</v>
      </c>
      <c r="I186" t="s">
        <v>26</v>
      </c>
      <c r="J186" s="2">
        <v>295711.24</v>
      </c>
      <c r="K186" t="s">
        <v>27</v>
      </c>
      <c r="L186">
        <v>5730</v>
      </c>
      <c r="M186" t="s">
        <v>32</v>
      </c>
      <c r="O186">
        <v>1</v>
      </c>
    </row>
    <row r="187" spans="1:18" x14ac:dyDescent="0.25">
      <c r="A187">
        <v>8003879954</v>
      </c>
      <c r="B187">
        <v>74</v>
      </c>
      <c r="C187">
        <v>4042018</v>
      </c>
      <c r="D187">
        <v>321</v>
      </c>
      <c r="E187" t="s">
        <v>36</v>
      </c>
      <c r="F187">
        <v>0</v>
      </c>
      <c r="G187" t="s">
        <v>699</v>
      </c>
      <c r="H187" s="2">
        <v>888.9</v>
      </c>
      <c r="I187" t="s">
        <v>26</v>
      </c>
      <c r="J187" s="2">
        <v>296205.19</v>
      </c>
      <c r="K187" t="s">
        <v>27</v>
      </c>
      <c r="L187">
        <v>5730</v>
      </c>
      <c r="M187" t="s">
        <v>32</v>
      </c>
      <c r="O187">
        <v>1</v>
      </c>
    </row>
    <row r="188" spans="1:18" x14ac:dyDescent="0.25">
      <c r="A188">
        <v>8003879954</v>
      </c>
      <c r="B188">
        <v>73</v>
      </c>
      <c r="C188">
        <v>4042018</v>
      </c>
      <c r="D188">
        <v>341</v>
      </c>
      <c r="E188" t="s">
        <v>25</v>
      </c>
      <c r="F188">
        <v>9938</v>
      </c>
      <c r="G188" t="s">
        <v>700</v>
      </c>
      <c r="H188" s="2">
        <v>424</v>
      </c>
      <c r="I188" t="s">
        <v>26</v>
      </c>
      <c r="J188" s="2">
        <v>297094.09000000003</v>
      </c>
      <c r="K188" t="s">
        <v>27</v>
      </c>
      <c r="L188">
        <v>182424</v>
      </c>
      <c r="M188" t="s">
        <v>701</v>
      </c>
      <c r="O188">
        <v>1</v>
      </c>
      <c r="P188" t="s">
        <v>702</v>
      </c>
      <c r="Q188" t="s">
        <v>703</v>
      </c>
    </row>
    <row r="189" spans="1:18" x14ac:dyDescent="0.25">
      <c r="A189">
        <v>8003879954</v>
      </c>
      <c r="B189">
        <v>72</v>
      </c>
      <c r="C189">
        <v>4042018</v>
      </c>
      <c r="D189">
        <v>299</v>
      </c>
      <c r="E189" t="s">
        <v>30</v>
      </c>
      <c r="F189">
        <v>9938</v>
      </c>
      <c r="G189" t="s">
        <v>700</v>
      </c>
      <c r="H189" s="2">
        <v>0.01</v>
      </c>
      <c r="I189" t="s">
        <v>26</v>
      </c>
      <c r="J189" s="2">
        <v>297518.09000000003</v>
      </c>
      <c r="K189" t="s">
        <v>27</v>
      </c>
      <c r="L189">
        <v>182424</v>
      </c>
      <c r="M189" t="s">
        <v>704</v>
      </c>
      <c r="O189">
        <v>1</v>
      </c>
    </row>
    <row r="190" spans="1:18" x14ac:dyDescent="0.25">
      <c r="A190">
        <v>8003879954</v>
      </c>
      <c r="B190">
        <v>71</v>
      </c>
      <c r="C190">
        <v>4042018</v>
      </c>
      <c r="D190">
        <v>489</v>
      </c>
      <c r="E190" t="s">
        <v>31</v>
      </c>
      <c r="F190">
        <v>9938</v>
      </c>
      <c r="G190" t="s">
        <v>700</v>
      </c>
      <c r="H190" s="2">
        <v>0.1</v>
      </c>
      <c r="I190" t="s">
        <v>26</v>
      </c>
      <c r="J190" s="2">
        <v>297518.09999999998</v>
      </c>
      <c r="K190" t="s">
        <v>27</v>
      </c>
      <c r="L190">
        <v>182424</v>
      </c>
      <c r="M190" t="s">
        <v>704</v>
      </c>
      <c r="O190">
        <v>1</v>
      </c>
    </row>
    <row r="191" spans="1:18" x14ac:dyDescent="0.25">
      <c r="A191">
        <v>8003879954</v>
      </c>
      <c r="B191">
        <v>70</v>
      </c>
      <c r="C191">
        <v>4042018</v>
      </c>
      <c r="D191">
        <v>341</v>
      </c>
      <c r="E191" t="s">
        <v>25</v>
      </c>
      <c r="F191">
        <v>9938</v>
      </c>
      <c r="G191" t="s">
        <v>705</v>
      </c>
      <c r="H191" s="2">
        <v>174.9</v>
      </c>
      <c r="I191" t="s">
        <v>26</v>
      </c>
      <c r="J191" s="2">
        <v>297518.2</v>
      </c>
      <c r="K191" t="s">
        <v>27</v>
      </c>
      <c r="L191">
        <v>182340</v>
      </c>
      <c r="M191" t="s">
        <v>438</v>
      </c>
      <c r="O191">
        <v>1</v>
      </c>
      <c r="P191" t="s">
        <v>706</v>
      </c>
      <c r="Q191" t="s">
        <v>707</v>
      </c>
    </row>
    <row r="192" spans="1:18" x14ac:dyDescent="0.25">
      <c r="A192">
        <v>8003879954</v>
      </c>
      <c r="B192">
        <v>69</v>
      </c>
      <c r="C192">
        <v>4042018</v>
      </c>
      <c r="D192">
        <v>299</v>
      </c>
      <c r="E192" t="s">
        <v>30</v>
      </c>
      <c r="F192">
        <v>9938</v>
      </c>
      <c r="G192" t="s">
        <v>705</v>
      </c>
      <c r="H192" s="2">
        <v>0.01</v>
      </c>
      <c r="I192" t="s">
        <v>26</v>
      </c>
      <c r="J192" s="2">
        <v>297693.09999999998</v>
      </c>
      <c r="K192" t="s">
        <v>27</v>
      </c>
      <c r="L192">
        <v>182340</v>
      </c>
      <c r="M192" t="s">
        <v>708</v>
      </c>
      <c r="O192">
        <v>1</v>
      </c>
    </row>
    <row r="193" spans="1:17" x14ac:dyDescent="0.25">
      <c r="A193">
        <v>8003879954</v>
      </c>
      <c r="B193">
        <v>68</v>
      </c>
      <c r="C193">
        <v>4042018</v>
      </c>
      <c r="D193">
        <v>489</v>
      </c>
      <c r="E193" t="s">
        <v>31</v>
      </c>
      <c r="F193">
        <v>9938</v>
      </c>
      <c r="G193" t="s">
        <v>705</v>
      </c>
      <c r="H193" s="2">
        <v>0.1</v>
      </c>
      <c r="I193" t="s">
        <v>26</v>
      </c>
      <c r="J193" s="2">
        <v>297693.11</v>
      </c>
      <c r="K193" t="s">
        <v>27</v>
      </c>
      <c r="L193">
        <v>182340</v>
      </c>
      <c r="M193" t="s">
        <v>708</v>
      </c>
      <c r="O193">
        <v>1</v>
      </c>
    </row>
    <row r="194" spans="1:17" x14ac:dyDescent="0.25">
      <c r="A194">
        <v>8003879954</v>
      </c>
      <c r="B194">
        <v>67</v>
      </c>
      <c r="C194">
        <v>4042018</v>
      </c>
      <c r="D194">
        <v>341</v>
      </c>
      <c r="E194" t="s">
        <v>25</v>
      </c>
      <c r="F194">
        <v>9938</v>
      </c>
      <c r="G194" t="s">
        <v>709</v>
      </c>
      <c r="H194" s="2">
        <v>120</v>
      </c>
      <c r="I194" t="s">
        <v>26</v>
      </c>
      <c r="J194" s="2">
        <v>297693.21000000002</v>
      </c>
      <c r="K194" t="s">
        <v>27</v>
      </c>
      <c r="L194">
        <v>182339</v>
      </c>
      <c r="M194" t="s">
        <v>40</v>
      </c>
      <c r="O194">
        <v>1</v>
      </c>
      <c r="P194" t="s">
        <v>710</v>
      </c>
      <c r="Q194" t="s">
        <v>711</v>
      </c>
    </row>
    <row r="195" spans="1:17" x14ac:dyDescent="0.25">
      <c r="A195">
        <v>8003879954</v>
      </c>
      <c r="B195">
        <v>66</v>
      </c>
      <c r="C195">
        <v>4042018</v>
      </c>
      <c r="D195">
        <v>299</v>
      </c>
      <c r="E195" t="s">
        <v>30</v>
      </c>
      <c r="F195">
        <v>9938</v>
      </c>
      <c r="G195" t="s">
        <v>709</v>
      </c>
      <c r="H195" s="2">
        <v>0.01</v>
      </c>
      <c r="I195" t="s">
        <v>26</v>
      </c>
      <c r="J195" s="2">
        <v>297813.21000000002</v>
      </c>
      <c r="K195" t="s">
        <v>27</v>
      </c>
      <c r="L195">
        <v>182339</v>
      </c>
      <c r="M195" t="s">
        <v>712</v>
      </c>
      <c r="O195">
        <v>1</v>
      </c>
    </row>
    <row r="196" spans="1:17" x14ac:dyDescent="0.25">
      <c r="A196">
        <v>8003879954</v>
      </c>
      <c r="B196">
        <v>65</v>
      </c>
      <c r="C196">
        <v>4042018</v>
      </c>
      <c r="D196">
        <v>489</v>
      </c>
      <c r="E196" t="s">
        <v>31</v>
      </c>
      <c r="F196">
        <v>9938</v>
      </c>
      <c r="G196" t="s">
        <v>709</v>
      </c>
      <c r="H196" s="2">
        <v>0.1</v>
      </c>
      <c r="I196" t="s">
        <v>26</v>
      </c>
      <c r="J196" s="2">
        <v>297813.21999999997</v>
      </c>
      <c r="K196" t="s">
        <v>27</v>
      </c>
      <c r="L196">
        <v>182339</v>
      </c>
      <c r="M196" t="s">
        <v>712</v>
      </c>
      <c r="O196">
        <v>1</v>
      </c>
    </row>
    <row r="197" spans="1:17" x14ac:dyDescent="0.25">
      <c r="A197">
        <v>8003879954</v>
      </c>
      <c r="B197">
        <v>64</v>
      </c>
      <c r="C197">
        <v>4042018</v>
      </c>
      <c r="D197">
        <v>341</v>
      </c>
      <c r="E197" t="s">
        <v>25</v>
      </c>
      <c r="F197">
        <v>9938</v>
      </c>
      <c r="G197" t="s">
        <v>713</v>
      </c>
      <c r="H197" s="2">
        <v>3281.76</v>
      </c>
      <c r="I197" t="s">
        <v>26</v>
      </c>
      <c r="J197" s="2">
        <v>297813.32</v>
      </c>
      <c r="K197" t="s">
        <v>27</v>
      </c>
      <c r="L197">
        <v>182338</v>
      </c>
      <c r="M197" t="s">
        <v>714</v>
      </c>
      <c r="O197">
        <v>1</v>
      </c>
      <c r="P197" t="s">
        <v>715</v>
      </c>
      <c r="Q197" t="s">
        <v>716</v>
      </c>
    </row>
    <row r="198" spans="1:17" x14ac:dyDescent="0.25">
      <c r="A198">
        <v>8003879954</v>
      </c>
      <c r="B198">
        <v>63</v>
      </c>
      <c r="C198">
        <v>4042018</v>
      </c>
      <c r="D198">
        <v>299</v>
      </c>
      <c r="E198" t="s">
        <v>30</v>
      </c>
      <c r="F198">
        <v>9938</v>
      </c>
      <c r="G198" t="s">
        <v>713</v>
      </c>
      <c r="H198" s="2">
        <v>0.01</v>
      </c>
      <c r="I198" t="s">
        <v>26</v>
      </c>
      <c r="J198" s="2">
        <v>301095.08</v>
      </c>
      <c r="K198" t="s">
        <v>27</v>
      </c>
      <c r="L198">
        <v>182338</v>
      </c>
      <c r="M198" t="s">
        <v>717</v>
      </c>
      <c r="O198">
        <v>1</v>
      </c>
    </row>
    <row r="199" spans="1:17" x14ac:dyDescent="0.25">
      <c r="A199">
        <v>8003879954</v>
      </c>
      <c r="B199">
        <v>62</v>
      </c>
      <c r="C199">
        <v>4042018</v>
      </c>
      <c r="D199">
        <v>489</v>
      </c>
      <c r="E199" t="s">
        <v>31</v>
      </c>
      <c r="F199">
        <v>9938</v>
      </c>
      <c r="G199" t="s">
        <v>713</v>
      </c>
      <c r="H199" s="2">
        <v>0.1</v>
      </c>
      <c r="I199" t="s">
        <v>26</v>
      </c>
      <c r="J199" s="2">
        <v>301095.09000000003</v>
      </c>
      <c r="K199" t="s">
        <v>27</v>
      </c>
      <c r="L199">
        <v>182338</v>
      </c>
      <c r="M199" t="s">
        <v>717</v>
      </c>
      <c r="O199">
        <v>1</v>
      </c>
    </row>
    <row r="200" spans="1:17" x14ac:dyDescent="0.25">
      <c r="A200">
        <v>8003879954</v>
      </c>
      <c r="B200">
        <v>61</v>
      </c>
      <c r="C200">
        <v>4042018</v>
      </c>
      <c r="D200">
        <v>345</v>
      </c>
      <c r="E200" t="s">
        <v>51</v>
      </c>
      <c r="F200">
        <v>9938</v>
      </c>
      <c r="G200" t="s">
        <v>718</v>
      </c>
      <c r="H200" s="2">
        <v>1569.6</v>
      </c>
      <c r="I200" t="s">
        <v>26</v>
      </c>
      <c r="J200" s="2">
        <v>301095.19</v>
      </c>
      <c r="K200" t="s">
        <v>27</v>
      </c>
      <c r="L200">
        <v>182339</v>
      </c>
      <c r="M200" t="s">
        <v>719</v>
      </c>
      <c r="O200">
        <v>1</v>
      </c>
      <c r="P200" t="s">
        <v>720</v>
      </c>
      <c r="Q200" t="s">
        <v>52</v>
      </c>
    </row>
    <row r="201" spans="1:17" x14ac:dyDescent="0.25">
      <c r="A201">
        <v>8003879954</v>
      </c>
      <c r="B201">
        <v>60</v>
      </c>
      <c r="C201">
        <v>4042018</v>
      </c>
      <c r="D201">
        <v>341</v>
      </c>
      <c r="E201" t="s">
        <v>25</v>
      </c>
      <c r="F201">
        <v>9938</v>
      </c>
      <c r="G201" t="s">
        <v>721</v>
      </c>
      <c r="H201" s="2">
        <v>900</v>
      </c>
      <c r="I201" t="s">
        <v>26</v>
      </c>
      <c r="J201" s="2">
        <v>302664.78999999998</v>
      </c>
      <c r="K201" t="s">
        <v>27</v>
      </c>
      <c r="L201">
        <v>182339</v>
      </c>
      <c r="M201" t="s">
        <v>722</v>
      </c>
      <c r="O201">
        <v>1</v>
      </c>
      <c r="P201" t="s">
        <v>723</v>
      </c>
      <c r="Q201" t="s">
        <v>44</v>
      </c>
    </row>
    <row r="202" spans="1:17" x14ac:dyDescent="0.25">
      <c r="A202">
        <v>8003879954</v>
      </c>
      <c r="B202">
        <v>59</v>
      </c>
      <c r="C202">
        <v>4042018</v>
      </c>
      <c r="D202">
        <v>299</v>
      </c>
      <c r="E202" t="s">
        <v>30</v>
      </c>
      <c r="F202">
        <v>9938</v>
      </c>
      <c r="G202" t="s">
        <v>721</v>
      </c>
      <c r="H202" s="2">
        <v>0.01</v>
      </c>
      <c r="I202" t="s">
        <v>26</v>
      </c>
      <c r="J202" s="2">
        <v>303564.78999999998</v>
      </c>
      <c r="K202" t="s">
        <v>27</v>
      </c>
      <c r="L202">
        <v>182339</v>
      </c>
      <c r="M202" t="s">
        <v>724</v>
      </c>
      <c r="O202">
        <v>1</v>
      </c>
    </row>
    <row r="203" spans="1:17" x14ac:dyDescent="0.25">
      <c r="A203">
        <v>8003879954</v>
      </c>
      <c r="B203">
        <v>58</v>
      </c>
      <c r="C203">
        <v>4042018</v>
      </c>
      <c r="D203">
        <v>489</v>
      </c>
      <c r="E203" t="s">
        <v>31</v>
      </c>
      <c r="F203">
        <v>9938</v>
      </c>
      <c r="G203" t="s">
        <v>721</v>
      </c>
      <c r="H203" s="2">
        <v>0.1</v>
      </c>
      <c r="I203" t="s">
        <v>26</v>
      </c>
      <c r="J203" s="2">
        <v>303564.79999999999</v>
      </c>
      <c r="K203" t="s">
        <v>27</v>
      </c>
      <c r="L203">
        <v>182339</v>
      </c>
      <c r="M203" t="s">
        <v>724</v>
      </c>
      <c r="O203">
        <v>1</v>
      </c>
    </row>
    <row r="204" spans="1:17" x14ac:dyDescent="0.25">
      <c r="A204">
        <v>8003879954</v>
      </c>
      <c r="B204">
        <v>57</v>
      </c>
      <c r="C204">
        <v>4042018</v>
      </c>
      <c r="D204">
        <v>341</v>
      </c>
      <c r="E204" t="s">
        <v>25</v>
      </c>
      <c r="F204">
        <v>9938</v>
      </c>
      <c r="G204" t="s">
        <v>725</v>
      </c>
      <c r="H204" s="2">
        <v>4812.3999999999996</v>
      </c>
      <c r="I204" t="s">
        <v>26</v>
      </c>
      <c r="J204" s="2">
        <v>303564.90000000002</v>
      </c>
      <c r="K204" t="s">
        <v>27</v>
      </c>
      <c r="L204">
        <v>182339</v>
      </c>
      <c r="M204" t="s">
        <v>278</v>
      </c>
      <c r="O204">
        <v>1</v>
      </c>
      <c r="P204" t="s">
        <v>726</v>
      </c>
      <c r="Q204" t="s">
        <v>727</v>
      </c>
    </row>
    <row r="205" spans="1:17" x14ac:dyDescent="0.25">
      <c r="A205">
        <v>8003879954</v>
      </c>
      <c r="B205">
        <v>56</v>
      </c>
      <c r="C205">
        <v>4042018</v>
      </c>
      <c r="D205">
        <v>299</v>
      </c>
      <c r="E205" t="s">
        <v>30</v>
      </c>
      <c r="F205">
        <v>9938</v>
      </c>
      <c r="G205" t="s">
        <v>725</v>
      </c>
      <c r="H205" s="2">
        <v>0.01</v>
      </c>
      <c r="I205" t="s">
        <v>26</v>
      </c>
      <c r="J205" s="2">
        <v>308377.3</v>
      </c>
      <c r="K205" t="s">
        <v>27</v>
      </c>
      <c r="L205">
        <v>182339</v>
      </c>
      <c r="M205" t="s">
        <v>728</v>
      </c>
      <c r="O205">
        <v>1</v>
      </c>
    </row>
    <row r="206" spans="1:17" x14ac:dyDescent="0.25">
      <c r="A206">
        <v>8003879954</v>
      </c>
      <c r="B206">
        <v>55</v>
      </c>
      <c r="C206">
        <v>4042018</v>
      </c>
      <c r="D206">
        <v>489</v>
      </c>
      <c r="E206" t="s">
        <v>31</v>
      </c>
      <c r="F206">
        <v>9938</v>
      </c>
      <c r="G206" t="s">
        <v>725</v>
      </c>
      <c r="H206" s="2">
        <v>0.1</v>
      </c>
      <c r="I206" t="s">
        <v>26</v>
      </c>
      <c r="J206" s="2">
        <v>308377.31</v>
      </c>
      <c r="K206" t="s">
        <v>27</v>
      </c>
      <c r="L206">
        <v>182339</v>
      </c>
      <c r="M206" t="s">
        <v>728</v>
      </c>
      <c r="O206">
        <v>1</v>
      </c>
    </row>
    <row r="207" spans="1:17" x14ac:dyDescent="0.25">
      <c r="A207">
        <v>8003879954</v>
      </c>
      <c r="B207">
        <v>54</v>
      </c>
      <c r="C207">
        <v>4042018</v>
      </c>
      <c r="D207">
        <v>341</v>
      </c>
      <c r="E207" t="s">
        <v>25</v>
      </c>
      <c r="F207">
        <v>9938</v>
      </c>
      <c r="G207" t="s">
        <v>729</v>
      </c>
      <c r="H207" s="2">
        <v>2000</v>
      </c>
      <c r="I207" t="s">
        <v>26</v>
      </c>
      <c r="J207" s="2">
        <v>308377.40999999997</v>
      </c>
      <c r="K207" t="s">
        <v>27</v>
      </c>
      <c r="L207">
        <v>182338</v>
      </c>
      <c r="M207" t="s">
        <v>43</v>
      </c>
      <c r="O207">
        <v>1</v>
      </c>
      <c r="P207" t="s">
        <v>730</v>
      </c>
      <c r="Q207" t="s">
        <v>44</v>
      </c>
    </row>
    <row r="208" spans="1:17" x14ac:dyDescent="0.25">
      <c r="A208">
        <v>8003879954</v>
      </c>
      <c r="B208">
        <v>53</v>
      </c>
      <c r="C208">
        <v>4042018</v>
      </c>
      <c r="D208">
        <v>299</v>
      </c>
      <c r="E208" t="s">
        <v>30</v>
      </c>
      <c r="F208">
        <v>9938</v>
      </c>
      <c r="G208" t="s">
        <v>729</v>
      </c>
      <c r="H208" s="2">
        <v>0.01</v>
      </c>
      <c r="I208" t="s">
        <v>26</v>
      </c>
      <c r="J208" s="2">
        <v>310377.40999999997</v>
      </c>
      <c r="K208" t="s">
        <v>27</v>
      </c>
      <c r="L208">
        <v>182338</v>
      </c>
      <c r="M208" t="s">
        <v>731</v>
      </c>
      <c r="O208">
        <v>1</v>
      </c>
    </row>
    <row r="209" spans="1:17" x14ac:dyDescent="0.25">
      <c r="A209">
        <v>8003879954</v>
      </c>
      <c r="B209">
        <v>52</v>
      </c>
      <c r="C209">
        <v>4042018</v>
      </c>
      <c r="D209">
        <v>489</v>
      </c>
      <c r="E209" t="s">
        <v>31</v>
      </c>
      <c r="F209">
        <v>9938</v>
      </c>
      <c r="G209" t="s">
        <v>729</v>
      </c>
      <c r="H209" s="2">
        <v>0.1</v>
      </c>
      <c r="I209" t="s">
        <v>26</v>
      </c>
      <c r="J209" s="2">
        <v>310377.42</v>
      </c>
      <c r="K209" t="s">
        <v>27</v>
      </c>
      <c r="L209">
        <v>182338</v>
      </c>
      <c r="M209" t="s">
        <v>731</v>
      </c>
      <c r="O209">
        <v>1</v>
      </c>
    </row>
    <row r="210" spans="1:17" x14ac:dyDescent="0.25">
      <c r="A210">
        <v>8003879954</v>
      </c>
      <c r="B210">
        <v>51</v>
      </c>
      <c r="C210">
        <v>4042018</v>
      </c>
      <c r="D210">
        <v>341</v>
      </c>
      <c r="E210" t="s">
        <v>25</v>
      </c>
      <c r="F210">
        <v>9938</v>
      </c>
      <c r="G210" t="s">
        <v>732</v>
      </c>
      <c r="H210" s="2">
        <v>3086.24</v>
      </c>
      <c r="I210" t="s">
        <v>26</v>
      </c>
      <c r="J210" s="2">
        <v>310377.52</v>
      </c>
      <c r="K210" t="s">
        <v>27</v>
      </c>
      <c r="L210">
        <v>182338</v>
      </c>
      <c r="M210" t="s">
        <v>408</v>
      </c>
      <c r="O210">
        <v>1</v>
      </c>
      <c r="P210" t="s">
        <v>733</v>
      </c>
      <c r="Q210" t="s">
        <v>410</v>
      </c>
    </row>
    <row r="211" spans="1:17" x14ac:dyDescent="0.25">
      <c r="A211">
        <v>8003879954</v>
      </c>
      <c r="B211">
        <v>50</v>
      </c>
      <c r="C211">
        <v>4042018</v>
      </c>
      <c r="D211">
        <v>299</v>
      </c>
      <c r="E211" t="s">
        <v>30</v>
      </c>
      <c r="F211">
        <v>9938</v>
      </c>
      <c r="G211" t="s">
        <v>732</v>
      </c>
      <c r="H211" s="2">
        <v>0.01</v>
      </c>
      <c r="I211" t="s">
        <v>26</v>
      </c>
      <c r="J211" s="2">
        <v>313463.76</v>
      </c>
      <c r="K211" t="s">
        <v>27</v>
      </c>
      <c r="L211">
        <v>182338</v>
      </c>
      <c r="M211" t="s">
        <v>734</v>
      </c>
      <c r="O211">
        <v>1</v>
      </c>
    </row>
    <row r="212" spans="1:17" x14ac:dyDescent="0.25">
      <c r="A212">
        <v>8003879954</v>
      </c>
      <c r="B212">
        <v>49</v>
      </c>
      <c r="C212">
        <v>4042018</v>
      </c>
      <c r="D212">
        <v>489</v>
      </c>
      <c r="E212" t="s">
        <v>31</v>
      </c>
      <c r="F212">
        <v>9938</v>
      </c>
      <c r="G212" t="s">
        <v>732</v>
      </c>
      <c r="H212" s="2">
        <v>0.1</v>
      </c>
      <c r="I212" t="s">
        <v>26</v>
      </c>
      <c r="J212" s="2">
        <v>313463.77</v>
      </c>
      <c r="K212" t="s">
        <v>27</v>
      </c>
      <c r="L212">
        <v>182338</v>
      </c>
      <c r="M212" t="s">
        <v>734</v>
      </c>
      <c r="O212">
        <v>1</v>
      </c>
    </row>
    <row r="213" spans="1:17" x14ac:dyDescent="0.25">
      <c r="A213">
        <v>8003879954</v>
      </c>
      <c r="B213">
        <v>48</v>
      </c>
      <c r="C213">
        <v>4042018</v>
      </c>
      <c r="D213">
        <v>345</v>
      </c>
      <c r="E213" t="s">
        <v>51</v>
      </c>
      <c r="F213">
        <v>9938</v>
      </c>
      <c r="G213" t="s">
        <v>735</v>
      </c>
      <c r="H213" s="2">
        <v>9031.57</v>
      </c>
      <c r="I213" t="s">
        <v>26</v>
      </c>
      <c r="J213" s="2">
        <v>313463.87</v>
      </c>
      <c r="K213" t="s">
        <v>27</v>
      </c>
      <c r="L213">
        <v>182338</v>
      </c>
      <c r="M213" t="s">
        <v>736</v>
      </c>
      <c r="O213">
        <v>1</v>
      </c>
      <c r="P213" t="s">
        <v>737</v>
      </c>
      <c r="Q213" t="s">
        <v>52</v>
      </c>
    </row>
    <row r="214" spans="1:17" x14ac:dyDescent="0.25">
      <c r="A214">
        <v>8003879954</v>
      </c>
      <c r="B214">
        <v>47</v>
      </c>
      <c r="C214">
        <v>4042018</v>
      </c>
      <c r="D214">
        <v>60</v>
      </c>
      <c r="E214" t="s">
        <v>37</v>
      </c>
      <c r="F214">
        <v>9938</v>
      </c>
      <c r="G214" t="s">
        <v>738</v>
      </c>
      <c r="H214" s="2">
        <v>540</v>
      </c>
      <c r="I214" t="s">
        <v>26</v>
      </c>
      <c r="J214" s="2">
        <v>322495.44</v>
      </c>
      <c r="K214" t="s">
        <v>27</v>
      </c>
      <c r="L214">
        <v>182338</v>
      </c>
      <c r="M214" t="s">
        <v>739</v>
      </c>
      <c r="O214">
        <v>1</v>
      </c>
      <c r="P214" t="s">
        <v>740</v>
      </c>
      <c r="Q214" t="s">
        <v>741</v>
      </c>
    </row>
    <row r="215" spans="1:17" x14ac:dyDescent="0.25">
      <c r="A215">
        <v>8003879954</v>
      </c>
      <c r="B215">
        <v>46</v>
      </c>
      <c r="C215">
        <v>4042018</v>
      </c>
      <c r="D215">
        <v>341</v>
      </c>
      <c r="E215" t="s">
        <v>25</v>
      </c>
      <c r="F215">
        <v>9938</v>
      </c>
      <c r="G215" t="s">
        <v>742</v>
      </c>
      <c r="H215" s="2">
        <v>180</v>
      </c>
      <c r="I215" t="s">
        <v>26</v>
      </c>
      <c r="J215" s="2">
        <v>323035.44</v>
      </c>
      <c r="K215" t="s">
        <v>27</v>
      </c>
      <c r="L215">
        <v>182026</v>
      </c>
      <c r="M215" t="s">
        <v>47</v>
      </c>
      <c r="O215">
        <v>1</v>
      </c>
      <c r="P215" t="s">
        <v>743</v>
      </c>
      <c r="Q215" t="s">
        <v>744</v>
      </c>
    </row>
    <row r="216" spans="1:17" x14ac:dyDescent="0.25">
      <c r="A216">
        <v>8003879954</v>
      </c>
      <c r="B216">
        <v>45</v>
      </c>
      <c r="C216">
        <v>4042018</v>
      </c>
      <c r="D216">
        <v>299</v>
      </c>
      <c r="E216" t="s">
        <v>30</v>
      </c>
      <c r="F216">
        <v>9938</v>
      </c>
      <c r="G216" t="s">
        <v>742</v>
      </c>
      <c r="H216" s="2">
        <v>0.01</v>
      </c>
      <c r="I216" t="s">
        <v>26</v>
      </c>
      <c r="J216" s="2">
        <v>323215.44</v>
      </c>
      <c r="K216" t="s">
        <v>27</v>
      </c>
      <c r="L216">
        <v>182026</v>
      </c>
      <c r="M216" t="s">
        <v>745</v>
      </c>
      <c r="O216">
        <v>1</v>
      </c>
    </row>
    <row r="217" spans="1:17" x14ac:dyDescent="0.25">
      <c r="A217">
        <v>8003879954</v>
      </c>
      <c r="B217">
        <v>44</v>
      </c>
      <c r="C217">
        <v>4042018</v>
      </c>
      <c r="D217">
        <v>489</v>
      </c>
      <c r="E217" t="s">
        <v>31</v>
      </c>
      <c r="F217">
        <v>9938</v>
      </c>
      <c r="G217" t="s">
        <v>742</v>
      </c>
      <c r="H217" s="2">
        <v>0.1</v>
      </c>
      <c r="I217" t="s">
        <v>26</v>
      </c>
      <c r="J217" s="2">
        <v>323215.45</v>
      </c>
      <c r="K217" t="s">
        <v>27</v>
      </c>
      <c r="L217">
        <v>182026</v>
      </c>
      <c r="M217" t="s">
        <v>745</v>
      </c>
      <c r="O217">
        <v>1</v>
      </c>
    </row>
    <row r="218" spans="1:17" x14ac:dyDescent="0.25">
      <c r="A218">
        <v>8003879954</v>
      </c>
      <c r="B218">
        <v>43</v>
      </c>
      <c r="C218">
        <v>4042018</v>
      </c>
      <c r="D218">
        <v>341</v>
      </c>
      <c r="E218" t="s">
        <v>25</v>
      </c>
      <c r="F218">
        <v>9938</v>
      </c>
      <c r="G218" t="s">
        <v>746</v>
      </c>
      <c r="H218" s="2">
        <v>850</v>
      </c>
      <c r="I218" t="s">
        <v>26</v>
      </c>
      <c r="J218" s="2">
        <v>323215.55</v>
      </c>
      <c r="K218" t="s">
        <v>27</v>
      </c>
      <c r="L218">
        <v>182026</v>
      </c>
      <c r="M218" t="s">
        <v>747</v>
      </c>
      <c r="O218">
        <v>1</v>
      </c>
      <c r="P218" t="s">
        <v>748</v>
      </c>
      <c r="Q218" t="s">
        <v>749</v>
      </c>
    </row>
    <row r="219" spans="1:17" x14ac:dyDescent="0.25">
      <c r="A219">
        <v>8003879954</v>
      </c>
      <c r="B219">
        <v>42</v>
      </c>
      <c r="C219">
        <v>4042018</v>
      </c>
      <c r="D219">
        <v>299</v>
      </c>
      <c r="E219" t="s">
        <v>30</v>
      </c>
      <c r="F219">
        <v>9938</v>
      </c>
      <c r="G219" t="s">
        <v>746</v>
      </c>
      <c r="H219" s="2">
        <v>0.01</v>
      </c>
      <c r="I219" t="s">
        <v>26</v>
      </c>
      <c r="J219" s="2">
        <v>324065.55</v>
      </c>
      <c r="K219" t="s">
        <v>27</v>
      </c>
      <c r="L219">
        <v>182026</v>
      </c>
      <c r="M219" t="s">
        <v>750</v>
      </c>
      <c r="O219">
        <v>1</v>
      </c>
    </row>
    <row r="220" spans="1:17" x14ac:dyDescent="0.25">
      <c r="A220">
        <v>8003879954</v>
      </c>
      <c r="B220">
        <v>41</v>
      </c>
      <c r="C220">
        <v>4042018</v>
      </c>
      <c r="D220">
        <v>489</v>
      </c>
      <c r="E220" t="s">
        <v>31</v>
      </c>
      <c r="F220">
        <v>9938</v>
      </c>
      <c r="G220" t="s">
        <v>746</v>
      </c>
      <c r="H220" s="2">
        <v>0.1</v>
      </c>
      <c r="I220" t="s">
        <v>26</v>
      </c>
      <c r="J220" s="2">
        <v>324065.56</v>
      </c>
      <c r="K220" t="s">
        <v>27</v>
      </c>
      <c r="L220">
        <v>182026</v>
      </c>
      <c r="M220" t="s">
        <v>750</v>
      </c>
      <c r="O220">
        <v>1</v>
      </c>
    </row>
    <row r="221" spans="1:17" x14ac:dyDescent="0.25">
      <c r="A221">
        <v>8003879954</v>
      </c>
      <c r="B221">
        <v>40</v>
      </c>
      <c r="C221">
        <v>4042018</v>
      </c>
      <c r="D221">
        <v>341</v>
      </c>
      <c r="E221" t="s">
        <v>25</v>
      </c>
      <c r="F221">
        <v>9938</v>
      </c>
      <c r="G221" t="s">
        <v>751</v>
      </c>
      <c r="H221" s="2">
        <v>483.87</v>
      </c>
      <c r="I221" t="s">
        <v>26</v>
      </c>
      <c r="J221" s="2">
        <v>324065.65999999997</v>
      </c>
      <c r="K221" t="s">
        <v>27</v>
      </c>
      <c r="L221">
        <v>182026</v>
      </c>
      <c r="M221" t="s">
        <v>354</v>
      </c>
      <c r="O221">
        <v>1</v>
      </c>
      <c r="P221" t="s">
        <v>752</v>
      </c>
      <c r="Q221" t="s">
        <v>356</v>
      </c>
    </row>
    <row r="222" spans="1:17" x14ac:dyDescent="0.25">
      <c r="A222">
        <v>8003879954</v>
      </c>
      <c r="B222">
        <v>39</v>
      </c>
      <c r="C222">
        <v>4042018</v>
      </c>
      <c r="D222">
        <v>299</v>
      </c>
      <c r="E222" t="s">
        <v>30</v>
      </c>
      <c r="F222">
        <v>9938</v>
      </c>
      <c r="G222" t="s">
        <v>751</v>
      </c>
      <c r="H222" s="2">
        <v>0.01</v>
      </c>
      <c r="I222" t="s">
        <v>26</v>
      </c>
      <c r="J222" s="2">
        <v>324549.53000000003</v>
      </c>
      <c r="K222" t="s">
        <v>27</v>
      </c>
      <c r="L222">
        <v>182026</v>
      </c>
      <c r="M222" t="s">
        <v>753</v>
      </c>
      <c r="O222">
        <v>1</v>
      </c>
    </row>
    <row r="223" spans="1:17" x14ac:dyDescent="0.25">
      <c r="A223">
        <v>8003879954</v>
      </c>
      <c r="B223">
        <v>38</v>
      </c>
      <c r="C223">
        <v>4042018</v>
      </c>
      <c r="D223">
        <v>489</v>
      </c>
      <c r="E223" t="s">
        <v>31</v>
      </c>
      <c r="F223">
        <v>9938</v>
      </c>
      <c r="G223" t="s">
        <v>751</v>
      </c>
      <c r="H223" s="2">
        <v>0.1</v>
      </c>
      <c r="I223" t="s">
        <v>26</v>
      </c>
      <c r="J223" s="2">
        <v>324549.53999999998</v>
      </c>
      <c r="K223" t="s">
        <v>27</v>
      </c>
      <c r="L223">
        <v>182026</v>
      </c>
      <c r="M223" t="s">
        <v>753</v>
      </c>
      <c r="O223">
        <v>1</v>
      </c>
    </row>
    <row r="224" spans="1:17" x14ac:dyDescent="0.25">
      <c r="A224">
        <v>8003879954</v>
      </c>
      <c r="B224">
        <v>37</v>
      </c>
      <c r="C224">
        <v>4042018</v>
      </c>
      <c r="D224">
        <v>341</v>
      </c>
      <c r="E224" t="s">
        <v>25</v>
      </c>
      <c r="F224">
        <v>9938</v>
      </c>
      <c r="G224" t="s">
        <v>754</v>
      </c>
      <c r="H224" s="2">
        <v>296.8</v>
      </c>
      <c r="I224" t="s">
        <v>26</v>
      </c>
      <c r="J224" s="2">
        <v>324549.64</v>
      </c>
      <c r="K224" t="s">
        <v>27</v>
      </c>
      <c r="L224">
        <v>182026</v>
      </c>
      <c r="M224" t="s">
        <v>39</v>
      </c>
      <c r="O224">
        <v>1</v>
      </c>
      <c r="P224" t="s">
        <v>755</v>
      </c>
      <c r="Q224" t="s">
        <v>756</v>
      </c>
    </row>
    <row r="225" spans="1:17" x14ac:dyDescent="0.25">
      <c r="A225">
        <v>8003879954</v>
      </c>
      <c r="B225">
        <v>36</v>
      </c>
      <c r="C225">
        <v>4042018</v>
      </c>
      <c r="D225">
        <v>299</v>
      </c>
      <c r="E225" t="s">
        <v>30</v>
      </c>
      <c r="F225">
        <v>9938</v>
      </c>
      <c r="G225" t="s">
        <v>754</v>
      </c>
      <c r="H225" s="2">
        <v>0.01</v>
      </c>
      <c r="I225" t="s">
        <v>26</v>
      </c>
      <c r="J225" s="2">
        <v>324846.44</v>
      </c>
      <c r="K225" t="s">
        <v>27</v>
      </c>
      <c r="L225">
        <v>182026</v>
      </c>
      <c r="M225" t="s">
        <v>757</v>
      </c>
      <c r="O225">
        <v>1</v>
      </c>
    </row>
    <row r="226" spans="1:17" x14ac:dyDescent="0.25">
      <c r="A226">
        <v>8003879954</v>
      </c>
      <c r="B226">
        <v>35</v>
      </c>
      <c r="C226">
        <v>4042018</v>
      </c>
      <c r="D226">
        <v>489</v>
      </c>
      <c r="E226" t="s">
        <v>31</v>
      </c>
      <c r="F226">
        <v>9938</v>
      </c>
      <c r="G226" t="s">
        <v>754</v>
      </c>
      <c r="H226" s="2">
        <v>0.1</v>
      </c>
      <c r="I226" t="s">
        <v>26</v>
      </c>
      <c r="J226" s="2">
        <v>324846.45</v>
      </c>
      <c r="K226" t="s">
        <v>27</v>
      </c>
      <c r="L226">
        <v>182026</v>
      </c>
      <c r="M226" t="s">
        <v>757</v>
      </c>
      <c r="O226">
        <v>1</v>
      </c>
    </row>
    <row r="227" spans="1:17" x14ac:dyDescent="0.25">
      <c r="A227">
        <v>8003879954</v>
      </c>
      <c r="B227">
        <v>34</v>
      </c>
      <c r="C227">
        <v>4042018</v>
      </c>
      <c r="D227">
        <v>341</v>
      </c>
      <c r="E227" t="s">
        <v>25</v>
      </c>
      <c r="F227">
        <v>9938</v>
      </c>
      <c r="G227" t="s">
        <v>758</v>
      </c>
      <c r="H227" s="2">
        <v>6572</v>
      </c>
      <c r="I227" t="s">
        <v>26</v>
      </c>
      <c r="J227" s="2">
        <v>324846.55</v>
      </c>
      <c r="K227" t="s">
        <v>27</v>
      </c>
      <c r="L227">
        <v>182026</v>
      </c>
      <c r="M227" t="s">
        <v>759</v>
      </c>
      <c r="O227">
        <v>1</v>
      </c>
      <c r="P227" t="s">
        <v>760</v>
      </c>
      <c r="Q227" t="s">
        <v>761</v>
      </c>
    </row>
    <row r="228" spans="1:17" x14ac:dyDescent="0.25">
      <c r="A228">
        <v>8003879954</v>
      </c>
      <c r="B228">
        <v>33</v>
      </c>
      <c r="C228">
        <v>4042018</v>
      </c>
      <c r="D228">
        <v>299</v>
      </c>
      <c r="E228" t="s">
        <v>30</v>
      </c>
      <c r="F228">
        <v>9938</v>
      </c>
      <c r="G228" t="s">
        <v>758</v>
      </c>
      <c r="H228" s="2">
        <v>0.01</v>
      </c>
      <c r="I228" t="s">
        <v>26</v>
      </c>
      <c r="J228" s="2">
        <v>331418.55</v>
      </c>
      <c r="K228" t="s">
        <v>27</v>
      </c>
      <c r="L228">
        <v>182026</v>
      </c>
      <c r="M228" t="s">
        <v>762</v>
      </c>
      <c r="O228">
        <v>1</v>
      </c>
    </row>
    <row r="229" spans="1:17" x14ac:dyDescent="0.25">
      <c r="A229">
        <v>8003879954</v>
      </c>
      <c r="B229">
        <v>32</v>
      </c>
      <c r="C229">
        <v>4042018</v>
      </c>
      <c r="D229">
        <v>489</v>
      </c>
      <c r="E229" t="s">
        <v>31</v>
      </c>
      <c r="F229">
        <v>9938</v>
      </c>
      <c r="G229" t="s">
        <v>758</v>
      </c>
      <c r="H229" s="2">
        <v>0.1</v>
      </c>
      <c r="I229" t="s">
        <v>26</v>
      </c>
      <c r="J229" s="2">
        <v>331418.56</v>
      </c>
      <c r="K229" t="s">
        <v>27</v>
      </c>
      <c r="L229">
        <v>182026</v>
      </c>
      <c r="M229" t="s">
        <v>762</v>
      </c>
      <c r="O229">
        <v>1</v>
      </c>
    </row>
    <row r="230" spans="1:17" x14ac:dyDescent="0.25">
      <c r="A230">
        <v>8003879954</v>
      </c>
      <c r="B230">
        <v>31</v>
      </c>
      <c r="C230">
        <v>4042018</v>
      </c>
      <c r="D230">
        <v>341</v>
      </c>
      <c r="E230" t="s">
        <v>25</v>
      </c>
      <c r="F230">
        <v>9938</v>
      </c>
      <c r="G230" t="s">
        <v>763</v>
      </c>
      <c r="H230" s="2">
        <v>120</v>
      </c>
      <c r="I230" t="s">
        <v>26</v>
      </c>
      <c r="J230" s="2">
        <v>331418.65999999997</v>
      </c>
      <c r="K230" t="s">
        <v>27</v>
      </c>
      <c r="L230">
        <v>182025</v>
      </c>
      <c r="M230" t="s">
        <v>217</v>
      </c>
      <c r="O230">
        <v>1</v>
      </c>
      <c r="P230" t="s">
        <v>764</v>
      </c>
      <c r="Q230" t="s">
        <v>44</v>
      </c>
    </row>
    <row r="231" spans="1:17" x14ac:dyDescent="0.25">
      <c r="A231">
        <v>8003879954</v>
      </c>
      <c r="B231">
        <v>30</v>
      </c>
      <c r="C231">
        <v>4042018</v>
      </c>
      <c r="D231">
        <v>299</v>
      </c>
      <c r="E231" t="s">
        <v>30</v>
      </c>
      <c r="F231">
        <v>9938</v>
      </c>
      <c r="G231" t="s">
        <v>763</v>
      </c>
      <c r="H231" s="2">
        <v>0.01</v>
      </c>
      <c r="I231" t="s">
        <v>26</v>
      </c>
      <c r="J231" s="2">
        <v>331538.65999999997</v>
      </c>
      <c r="K231" t="s">
        <v>27</v>
      </c>
      <c r="L231">
        <v>182025</v>
      </c>
      <c r="M231" t="s">
        <v>765</v>
      </c>
      <c r="O231">
        <v>1</v>
      </c>
    </row>
    <row r="232" spans="1:17" x14ac:dyDescent="0.25">
      <c r="A232">
        <v>8003879954</v>
      </c>
      <c r="B232">
        <v>29</v>
      </c>
      <c r="C232">
        <v>4042018</v>
      </c>
      <c r="D232">
        <v>489</v>
      </c>
      <c r="E232" t="s">
        <v>31</v>
      </c>
      <c r="F232">
        <v>9938</v>
      </c>
      <c r="G232" t="s">
        <v>763</v>
      </c>
      <c r="H232" s="2">
        <v>0.1</v>
      </c>
      <c r="I232" t="s">
        <v>26</v>
      </c>
      <c r="J232" s="2">
        <v>331538.67</v>
      </c>
      <c r="K232" t="s">
        <v>27</v>
      </c>
      <c r="L232">
        <v>182025</v>
      </c>
      <c r="M232" t="s">
        <v>765</v>
      </c>
      <c r="O232">
        <v>1</v>
      </c>
    </row>
    <row r="233" spans="1:17" x14ac:dyDescent="0.25">
      <c r="A233">
        <v>8003879954</v>
      </c>
      <c r="B233">
        <v>28</v>
      </c>
      <c r="C233">
        <v>4042018</v>
      </c>
      <c r="D233">
        <v>341</v>
      </c>
      <c r="E233" t="s">
        <v>25</v>
      </c>
      <c r="F233">
        <v>9938</v>
      </c>
      <c r="G233" t="s">
        <v>766</v>
      </c>
      <c r="H233" s="2">
        <v>4228</v>
      </c>
      <c r="I233" t="s">
        <v>26</v>
      </c>
      <c r="J233" s="2">
        <v>331538.77</v>
      </c>
      <c r="K233" t="s">
        <v>27</v>
      </c>
      <c r="L233">
        <v>182025</v>
      </c>
      <c r="M233" t="s">
        <v>263</v>
      </c>
      <c r="O233">
        <v>1</v>
      </c>
      <c r="P233" t="s">
        <v>767</v>
      </c>
      <c r="Q233" t="s">
        <v>768</v>
      </c>
    </row>
    <row r="234" spans="1:17" x14ac:dyDescent="0.25">
      <c r="A234">
        <v>8003879954</v>
      </c>
      <c r="B234">
        <v>27</v>
      </c>
      <c r="C234">
        <v>4042018</v>
      </c>
      <c r="D234">
        <v>299</v>
      </c>
      <c r="E234" t="s">
        <v>30</v>
      </c>
      <c r="F234">
        <v>9938</v>
      </c>
      <c r="G234" t="s">
        <v>766</v>
      </c>
      <c r="H234" s="2">
        <v>0.01</v>
      </c>
      <c r="I234" t="s">
        <v>26</v>
      </c>
      <c r="J234" s="2">
        <v>335766.77</v>
      </c>
      <c r="K234" t="s">
        <v>27</v>
      </c>
      <c r="L234">
        <v>182025</v>
      </c>
      <c r="M234" t="s">
        <v>769</v>
      </c>
      <c r="O234">
        <v>1</v>
      </c>
    </row>
    <row r="235" spans="1:17" x14ac:dyDescent="0.25">
      <c r="A235">
        <v>8003879954</v>
      </c>
      <c r="B235">
        <v>26</v>
      </c>
      <c r="C235">
        <v>4042018</v>
      </c>
      <c r="D235">
        <v>489</v>
      </c>
      <c r="E235" t="s">
        <v>31</v>
      </c>
      <c r="F235">
        <v>9938</v>
      </c>
      <c r="G235" t="s">
        <v>766</v>
      </c>
      <c r="H235" s="2">
        <v>0.1</v>
      </c>
      <c r="I235" t="s">
        <v>26</v>
      </c>
      <c r="J235" s="2">
        <v>335766.78</v>
      </c>
      <c r="K235" t="s">
        <v>27</v>
      </c>
      <c r="L235">
        <v>182025</v>
      </c>
      <c r="M235" t="s">
        <v>769</v>
      </c>
      <c r="O235">
        <v>1</v>
      </c>
    </row>
    <row r="236" spans="1:17" x14ac:dyDescent="0.25">
      <c r="A236">
        <v>8003879954</v>
      </c>
      <c r="B236">
        <v>25</v>
      </c>
      <c r="C236">
        <v>4042018</v>
      </c>
      <c r="D236">
        <v>341</v>
      </c>
      <c r="E236" t="s">
        <v>25</v>
      </c>
      <c r="F236">
        <v>9938</v>
      </c>
      <c r="G236" t="s">
        <v>770</v>
      </c>
      <c r="H236" s="2">
        <v>900</v>
      </c>
      <c r="I236" t="s">
        <v>26</v>
      </c>
      <c r="J236" s="2">
        <v>335766.88</v>
      </c>
      <c r="K236" t="s">
        <v>27</v>
      </c>
      <c r="L236">
        <v>182025</v>
      </c>
      <c r="M236" t="s">
        <v>771</v>
      </c>
      <c r="O236">
        <v>1</v>
      </c>
      <c r="P236" t="s">
        <v>772</v>
      </c>
      <c r="Q236" t="s">
        <v>260</v>
      </c>
    </row>
    <row r="237" spans="1:17" x14ac:dyDescent="0.25">
      <c r="A237">
        <v>8003879954</v>
      </c>
      <c r="B237">
        <v>24</v>
      </c>
      <c r="C237">
        <v>4042018</v>
      </c>
      <c r="D237">
        <v>299</v>
      </c>
      <c r="E237" t="s">
        <v>30</v>
      </c>
      <c r="F237">
        <v>9938</v>
      </c>
      <c r="G237" t="s">
        <v>770</v>
      </c>
      <c r="H237" s="2">
        <v>0.01</v>
      </c>
      <c r="I237" t="s">
        <v>26</v>
      </c>
      <c r="J237" s="2">
        <v>336666.88</v>
      </c>
      <c r="K237" t="s">
        <v>27</v>
      </c>
      <c r="L237">
        <v>182025</v>
      </c>
      <c r="M237" t="s">
        <v>773</v>
      </c>
      <c r="O237">
        <v>1</v>
      </c>
    </row>
    <row r="238" spans="1:17" x14ac:dyDescent="0.25">
      <c r="A238">
        <v>8003879954</v>
      </c>
      <c r="B238">
        <v>23</v>
      </c>
      <c r="C238">
        <v>4042018</v>
      </c>
      <c r="D238">
        <v>489</v>
      </c>
      <c r="E238" t="s">
        <v>31</v>
      </c>
      <c r="F238">
        <v>9938</v>
      </c>
      <c r="G238" t="s">
        <v>770</v>
      </c>
      <c r="H238" s="2">
        <v>0.1</v>
      </c>
      <c r="I238" t="s">
        <v>26</v>
      </c>
      <c r="J238" s="2">
        <v>336666.89</v>
      </c>
      <c r="K238" t="s">
        <v>27</v>
      </c>
      <c r="L238">
        <v>182025</v>
      </c>
      <c r="M238" t="s">
        <v>773</v>
      </c>
      <c r="O238">
        <v>1</v>
      </c>
    </row>
    <row r="239" spans="1:17" x14ac:dyDescent="0.25">
      <c r="A239">
        <v>8003879954</v>
      </c>
      <c r="B239">
        <v>22</v>
      </c>
      <c r="C239">
        <v>4042018</v>
      </c>
      <c r="D239">
        <v>345</v>
      </c>
      <c r="E239" t="s">
        <v>51</v>
      </c>
      <c r="F239">
        <v>9938</v>
      </c>
      <c r="G239" t="s">
        <v>774</v>
      </c>
      <c r="H239" s="2">
        <v>2082</v>
      </c>
      <c r="I239" t="s">
        <v>26</v>
      </c>
      <c r="J239" s="2">
        <v>336666.99</v>
      </c>
      <c r="K239" t="s">
        <v>27</v>
      </c>
      <c r="L239">
        <v>182025</v>
      </c>
      <c r="M239" t="s">
        <v>775</v>
      </c>
      <c r="O239">
        <v>1</v>
      </c>
      <c r="P239" t="s">
        <v>776</v>
      </c>
      <c r="Q239" t="s">
        <v>52</v>
      </c>
    </row>
    <row r="240" spans="1:17" x14ac:dyDescent="0.25">
      <c r="A240">
        <v>8003879954</v>
      </c>
      <c r="B240">
        <v>21</v>
      </c>
      <c r="C240">
        <v>4042018</v>
      </c>
      <c r="D240">
        <v>345</v>
      </c>
      <c r="E240" t="s">
        <v>51</v>
      </c>
      <c r="F240">
        <v>9938</v>
      </c>
      <c r="G240" t="s">
        <v>777</v>
      </c>
      <c r="H240" s="2">
        <v>800</v>
      </c>
      <c r="I240" t="s">
        <v>26</v>
      </c>
      <c r="J240" s="2">
        <v>338748.99</v>
      </c>
      <c r="K240" t="s">
        <v>27</v>
      </c>
      <c r="L240">
        <v>182025</v>
      </c>
      <c r="M240" t="s">
        <v>778</v>
      </c>
      <c r="O240">
        <v>1</v>
      </c>
      <c r="P240" t="s">
        <v>779</v>
      </c>
      <c r="Q240" t="s">
        <v>780</v>
      </c>
    </row>
    <row r="241" spans="1:17" x14ac:dyDescent="0.25">
      <c r="A241">
        <v>8003879954</v>
      </c>
      <c r="B241">
        <v>20</v>
      </c>
      <c r="C241">
        <v>4042018</v>
      </c>
      <c r="D241">
        <v>341</v>
      </c>
      <c r="E241" t="s">
        <v>25</v>
      </c>
      <c r="F241">
        <v>9938</v>
      </c>
      <c r="G241" t="s">
        <v>781</v>
      </c>
      <c r="H241" s="2">
        <v>3180</v>
      </c>
      <c r="I241" t="s">
        <v>26</v>
      </c>
      <c r="J241" s="2">
        <v>339548.99</v>
      </c>
      <c r="K241" t="s">
        <v>27</v>
      </c>
      <c r="L241">
        <v>181448</v>
      </c>
      <c r="M241" t="s">
        <v>782</v>
      </c>
      <c r="O241">
        <v>1</v>
      </c>
      <c r="P241" t="s">
        <v>783</v>
      </c>
      <c r="Q241" t="s">
        <v>784</v>
      </c>
    </row>
    <row r="242" spans="1:17" x14ac:dyDescent="0.25">
      <c r="A242">
        <v>8003879954</v>
      </c>
      <c r="B242">
        <v>19</v>
      </c>
      <c r="C242">
        <v>4042018</v>
      </c>
      <c r="D242">
        <v>299</v>
      </c>
      <c r="E242" t="s">
        <v>30</v>
      </c>
      <c r="F242">
        <v>9938</v>
      </c>
      <c r="G242" t="s">
        <v>781</v>
      </c>
      <c r="H242" s="2">
        <v>0.01</v>
      </c>
      <c r="I242" t="s">
        <v>26</v>
      </c>
      <c r="J242" s="2">
        <v>342728.99</v>
      </c>
      <c r="K242" t="s">
        <v>27</v>
      </c>
      <c r="L242">
        <v>181448</v>
      </c>
      <c r="M242" t="s">
        <v>785</v>
      </c>
      <c r="O242">
        <v>1</v>
      </c>
    </row>
    <row r="243" spans="1:17" x14ac:dyDescent="0.25">
      <c r="A243">
        <v>8003879954</v>
      </c>
      <c r="B243">
        <v>18</v>
      </c>
      <c r="C243">
        <v>4042018</v>
      </c>
      <c r="D243">
        <v>489</v>
      </c>
      <c r="E243" t="s">
        <v>31</v>
      </c>
      <c r="F243">
        <v>9938</v>
      </c>
      <c r="G243" t="s">
        <v>781</v>
      </c>
      <c r="H243" s="2">
        <v>0.1</v>
      </c>
      <c r="I243" t="s">
        <v>26</v>
      </c>
      <c r="J243" s="2">
        <v>342729</v>
      </c>
      <c r="K243" t="s">
        <v>27</v>
      </c>
      <c r="L243">
        <v>181448</v>
      </c>
      <c r="M243" t="s">
        <v>785</v>
      </c>
      <c r="O243">
        <v>1</v>
      </c>
    </row>
    <row r="244" spans="1:17" x14ac:dyDescent="0.25">
      <c r="A244">
        <v>8003879954</v>
      </c>
      <c r="B244">
        <v>17</v>
      </c>
      <c r="C244">
        <v>4042018</v>
      </c>
      <c r="D244">
        <v>341</v>
      </c>
      <c r="E244" t="s">
        <v>25</v>
      </c>
      <c r="F244">
        <v>9938</v>
      </c>
      <c r="G244" t="s">
        <v>786</v>
      </c>
      <c r="H244" s="2">
        <v>530</v>
      </c>
      <c r="I244" t="s">
        <v>26</v>
      </c>
      <c r="J244" s="2">
        <v>342729.1</v>
      </c>
      <c r="K244" t="s">
        <v>27</v>
      </c>
      <c r="L244">
        <v>181446</v>
      </c>
      <c r="M244" t="s">
        <v>46</v>
      </c>
      <c r="O244">
        <v>1</v>
      </c>
      <c r="P244" t="s">
        <v>787</v>
      </c>
      <c r="Q244" t="s">
        <v>788</v>
      </c>
    </row>
    <row r="245" spans="1:17" x14ac:dyDescent="0.25">
      <c r="A245">
        <v>8003879954</v>
      </c>
      <c r="B245">
        <v>16</v>
      </c>
      <c r="C245">
        <v>4042018</v>
      </c>
      <c r="D245">
        <v>299</v>
      </c>
      <c r="E245" t="s">
        <v>30</v>
      </c>
      <c r="F245">
        <v>9938</v>
      </c>
      <c r="G245" t="s">
        <v>786</v>
      </c>
      <c r="H245" s="2">
        <v>0.01</v>
      </c>
      <c r="I245" t="s">
        <v>26</v>
      </c>
      <c r="J245" s="2">
        <v>343259.1</v>
      </c>
      <c r="K245" t="s">
        <v>27</v>
      </c>
      <c r="L245">
        <v>181446</v>
      </c>
      <c r="M245" t="s">
        <v>789</v>
      </c>
      <c r="O245">
        <v>1</v>
      </c>
    </row>
    <row r="246" spans="1:17" x14ac:dyDescent="0.25">
      <c r="A246">
        <v>8003879954</v>
      </c>
      <c r="B246">
        <v>15</v>
      </c>
      <c r="C246">
        <v>4042018</v>
      </c>
      <c r="D246">
        <v>489</v>
      </c>
      <c r="E246" t="s">
        <v>31</v>
      </c>
      <c r="F246">
        <v>9938</v>
      </c>
      <c r="G246" t="s">
        <v>786</v>
      </c>
      <c r="H246" s="2">
        <v>0.1</v>
      </c>
      <c r="I246" t="s">
        <v>26</v>
      </c>
      <c r="J246" s="2">
        <v>343259.11</v>
      </c>
      <c r="K246" t="s">
        <v>27</v>
      </c>
      <c r="L246">
        <v>181446</v>
      </c>
      <c r="M246" t="s">
        <v>789</v>
      </c>
      <c r="O246">
        <v>1</v>
      </c>
    </row>
    <row r="247" spans="1:17" x14ac:dyDescent="0.25">
      <c r="A247">
        <v>8003879954</v>
      </c>
      <c r="B247">
        <v>14</v>
      </c>
      <c r="C247">
        <v>4042018</v>
      </c>
      <c r="D247">
        <v>345</v>
      </c>
      <c r="E247" t="s">
        <v>51</v>
      </c>
      <c r="F247">
        <v>9938</v>
      </c>
      <c r="G247" t="s">
        <v>790</v>
      </c>
      <c r="H247" s="2">
        <v>1200</v>
      </c>
      <c r="I247" t="s">
        <v>26</v>
      </c>
      <c r="J247" s="2">
        <v>343259.21</v>
      </c>
      <c r="K247" t="s">
        <v>27</v>
      </c>
      <c r="L247">
        <v>181447</v>
      </c>
      <c r="M247" t="s">
        <v>791</v>
      </c>
      <c r="O247">
        <v>1</v>
      </c>
      <c r="P247" t="s">
        <v>792</v>
      </c>
      <c r="Q247" t="s">
        <v>793</v>
      </c>
    </row>
    <row r="248" spans="1:17" x14ac:dyDescent="0.25">
      <c r="A248">
        <v>8003879954</v>
      </c>
      <c r="B248">
        <v>13</v>
      </c>
      <c r="C248">
        <v>4042018</v>
      </c>
      <c r="D248">
        <v>345</v>
      </c>
      <c r="E248" t="s">
        <v>51</v>
      </c>
      <c r="F248">
        <v>9938</v>
      </c>
      <c r="G248" t="s">
        <v>794</v>
      </c>
      <c r="H248" s="2">
        <v>394.46</v>
      </c>
      <c r="I248" t="s">
        <v>26</v>
      </c>
      <c r="J248" s="2">
        <v>344459.21</v>
      </c>
      <c r="K248" t="s">
        <v>27</v>
      </c>
      <c r="L248">
        <v>181447</v>
      </c>
      <c r="M248" t="s">
        <v>795</v>
      </c>
      <c r="O248">
        <v>1</v>
      </c>
      <c r="P248" t="s">
        <v>796</v>
      </c>
      <c r="Q248" t="s">
        <v>52</v>
      </c>
    </row>
    <row r="249" spans="1:17" x14ac:dyDescent="0.25">
      <c r="A249">
        <v>8003879954</v>
      </c>
      <c r="B249">
        <v>12</v>
      </c>
      <c r="C249">
        <v>4042018</v>
      </c>
      <c r="D249">
        <v>60</v>
      </c>
      <c r="E249" t="s">
        <v>37</v>
      </c>
      <c r="F249">
        <v>9938</v>
      </c>
      <c r="G249" t="s">
        <v>797</v>
      </c>
      <c r="H249" s="2">
        <v>1263.55</v>
      </c>
      <c r="I249" t="s">
        <v>26</v>
      </c>
      <c r="J249" s="2">
        <v>344853.67</v>
      </c>
      <c r="K249" t="s">
        <v>27</v>
      </c>
      <c r="L249">
        <v>181447</v>
      </c>
      <c r="M249" t="s">
        <v>798</v>
      </c>
      <c r="O249">
        <v>1</v>
      </c>
      <c r="P249" t="s">
        <v>799</v>
      </c>
      <c r="Q249" t="s">
        <v>800</v>
      </c>
    </row>
    <row r="250" spans="1:17" x14ac:dyDescent="0.25">
      <c r="A250">
        <v>8003879954</v>
      </c>
      <c r="B250">
        <v>11</v>
      </c>
      <c r="C250">
        <v>4042018</v>
      </c>
      <c r="D250">
        <v>60</v>
      </c>
      <c r="E250" t="s">
        <v>37</v>
      </c>
      <c r="F250">
        <v>9938</v>
      </c>
      <c r="G250" t="s">
        <v>801</v>
      </c>
      <c r="H250" s="2">
        <v>360.4</v>
      </c>
      <c r="I250" t="s">
        <v>26</v>
      </c>
      <c r="J250" s="2">
        <v>346117.22</v>
      </c>
      <c r="K250" t="s">
        <v>27</v>
      </c>
      <c r="L250">
        <v>181446</v>
      </c>
      <c r="M250" t="s">
        <v>802</v>
      </c>
      <c r="O250">
        <v>1</v>
      </c>
      <c r="P250" t="s">
        <v>803</v>
      </c>
      <c r="Q250" t="s">
        <v>804</v>
      </c>
    </row>
    <row r="251" spans="1:17" x14ac:dyDescent="0.25">
      <c r="A251">
        <v>8003879954</v>
      </c>
      <c r="B251">
        <v>10</v>
      </c>
      <c r="C251">
        <v>4042018</v>
      </c>
      <c r="D251">
        <v>341</v>
      </c>
      <c r="E251" t="s">
        <v>25</v>
      </c>
      <c r="F251">
        <v>9938</v>
      </c>
      <c r="G251" t="s">
        <v>805</v>
      </c>
      <c r="H251" s="2">
        <v>166.47</v>
      </c>
      <c r="I251" t="s">
        <v>26</v>
      </c>
      <c r="J251" s="2">
        <v>346477.62</v>
      </c>
      <c r="K251" t="s">
        <v>27</v>
      </c>
      <c r="L251">
        <v>181446</v>
      </c>
      <c r="M251" t="s">
        <v>128</v>
      </c>
      <c r="O251">
        <v>1</v>
      </c>
      <c r="P251" t="s">
        <v>806</v>
      </c>
      <c r="Q251" t="s">
        <v>807</v>
      </c>
    </row>
    <row r="252" spans="1:17" x14ac:dyDescent="0.25">
      <c r="A252">
        <v>8003879954</v>
      </c>
      <c r="B252">
        <v>9</v>
      </c>
      <c r="C252">
        <v>4042018</v>
      </c>
      <c r="D252">
        <v>299</v>
      </c>
      <c r="E252" t="s">
        <v>30</v>
      </c>
      <c r="F252">
        <v>9938</v>
      </c>
      <c r="G252" t="s">
        <v>805</v>
      </c>
      <c r="H252" s="2">
        <v>0.01</v>
      </c>
      <c r="I252" t="s">
        <v>26</v>
      </c>
      <c r="J252" s="2">
        <v>346644.09</v>
      </c>
      <c r="K252" t="s">
        <v>27</v>
      </c>
      <c r="L252">
        <v>181446</v>
      </c>
      <c r="M252" t="s">
        <v>808</v>
      </c>
      <c r="O252">
        <v>1</v>
      </c>
    </row>
    <row r="253" spans="1:17" x14ac:dyDescent="0.25">
      <c r="A253">
        <v>8003879954</v>
      </c>
      <c r="B253">
        <v>8</v>
      </c>
      <c r="C253">
        <v>4042018</v>
      </c>
      <c r="D253">
        <v>489</v>
      </c>
      <c r="E253" t="s">
        <v>31</v>
      </c>
      <c r="F253">
        <v>9938</v>
      </c>
      <c r="G253" t="s">
        <v>805</v>
      </c>
      <c r="H253" s="2">
        <v>0.1</v>
      </c>
      <c r="I253" t="s">
        <v>26</v>
      </c>
      <c r="J253" s="2">
        <v>346644.1</v>
      </c>
      <c r="K253" t="s">
        <v>27</v>
      </c>
      <c r="L253">
        <v>181446</v>
      </c>
      <c r="M253" t="s">
        <v>808</v>
      </c>
      <c r="O253">
        <v>1</v>
      </c>
    </row>
    <row r="254" spans="1:17" x14ac:dyDescent="0.25">
      <c r="A254">
        <v>8003879954</v>
      </c>
      <c r="B254">
        <v>7</v>
      </c>
      <c r="C254">
        <v>4042018</v>
      </c>
      <c r="D254">
        <v>341</v>
      </c>
      <c r="E254" t="s">
        <v>25</v>
      </c>
      <c r="F254">
        <v>9938</v>
      </c>
      <c r="G254" t="s">
        <v>809</v>
      </c>
      <c r="H254" s="2">
        <v>1500</v>
      </c>
      <c r="I254" t="s">
        <v>26</v>
      </c>
      <c r="J254" s="2">
        <v>346644.2</v>
      </c>
      <c r="K254" t="s">
        <v>27</v>
      </c>
      <c r="L254">
        <v>181446</v>
      </c>
      <c r="M254" t="s">
        <v>810</v>
      </c>
      <c r="O254">
        <v>1</v>
      </c>
      <c r="P254" t="s">
        <v>811</v>
      </c>
      <c r="Q254" t="s">
        <v>812</v>
      </c>
    </row>
    <row r="255" spans="1:17" x14ac:dyDescent="0.25">
      <c r="A255">
        <v>8003879954</v>
      </c>
      <c r="B255">
        <v>6</v>
      </c>
      <c r="C255">
        <v>4042018</v>
      </c>
      <c r="D255">
        <v>299</v>
      </c>
      <c r="E255" t="s">
        <v>30</v>
      </c>
      <c r="F255">
        <v>9938</v>
      </c>
      <c r="G255" t="s">
        <v>809</v>
      </c>
      <c r="H255" s="2">
        <v>0.01</v>
      </c>
      <c r="I255" t="s">
        <v>26</v>
      </c>
      <c r="J255" s="2">
        <v>348144.2</v>
      </c>
      <c r="K255" t="s">
        <v>27</v>
      </c>
      <c r="L255">
        <v>181446</v>
      </c>
      <c r="M255" t="s">
        <v>813</v>
      </c>
      <c r="O255">
        <v>1</v>
      </c>
    </row>
    <row r="256" spans="1:17" x14ac:dyDescent="0.25">
      <c r="A256">
        <v>8003879954</v>
      </c>
      <c r="B256">
        <v>5</v>
      </c>
      <c r="C256">
        <v>4042018</v>
      </c>
      <c r="D256">
        <v>489</v>
      </c>
      <c r="E256" t="s">
        <v>31</v>
      </c>
      <c r="F256">
        <v>9938</v>
      </c>
      <c r="G256" t="s">
        <v>809</v>
      </c>
      <c r="H256" s="2">
        <v>0.1</v>
      </c>
      <c r="I256" t="s">
        <v>26</v>
      </c>
      <c r="J256" s="2">
        <v>348144.21</v>
      </c>
      <c r="K256" t="s">
        <v>27</v>
      </c>
      <c r="L256">
        <v>181446</v>
      </c>
      <c r="M256" t="s">
        <v>813</v>
      </c>
      <c r="O256">
        <v>1</v>
      </c>
    </row>
    <row r="257" spans="1:18" x14ac:dyDescent="0.25">
      <c r="A257">
        <v>8003879954</v>
      </c>
      <c r="B257">
        <v>4</v>
      </c>
      <c r="C257">
        <v>4042018</v>
      </c>
      <c r="D257">
        <v>341</v>
      </c>
      <c r="E257" t="s">
        <v>25</v>
      </c>
      <c r="F257">
        <v>9938</v>
      </c>
      <c r="G257" t="s">
        <v>814</v>
      </c>
      <c r="H257" s="2">
        <v>5925.82</v>
      </c>
      <c r="I257" t="s">
        <v>26</v>
      </c>
      <c r="J257" s="2">
        <v>348144.31</v>
      </c>
      <c r="K257" t="s">
        <v>27</v>
      </c>
      <c r="L257">
        <v>181446</v>
      </c>
      <c r="M257" t="s">
        <v>815</v>
      </c>
      <c r="O257">
        <v>1</v>
      </c>
      <c r="P257" t="s">
        <v>816</v>
      </c>
      <c r="Q257" t="s">
        <v>817</v>
      </c>
    </row>
    <row r="258" spans="1:18" x14ac:dyDescent="0.25">
      <c r="A258">
        <v>8003879954</v>
      </c>
      <c r="B258">
        <v>3</v>
      </c>
      <c r="C258">
        <v>4042018</v>
      </c>
      <c r="D258">
        <v>299</v>
      </c>
      <c r="E258" t="s">
        <v>30</v>
      </c>
      <c r="F258">
        <v>9938</v>
      </c>
      <c r="G258" t="s">
        <v>814</v>
      </c>
      <c r="H258" s="2">
        <v>0.01</v>
      </c>
      <c r="I258" t="s">
        <v>26</v>
      </c>
      <c r="J258" s="2">
        <v>354070.13</v>
      </c>
      <c r="K258" t="s">
        <v>27</v>
      </c>
      <c r="L258">
        <v>181446</v>
      </c>
      <c r="M258" t="s">
        <v>818</v>
      </c>
      <c r="O258">
        <v>1</v>
      </c>
    </row>
    <row r="259" spans="1:18" x14ac:dyDescent="0.25">
      <c r="A259">
        <v>8003879954</v>
      </c>
      <c r="B259">
        <v>2</v>
      </c>
      <c r="C259">
        <v>4042018</v>
      </c>
      <c r="D259">
        <v>489</v>
      </c>
      <c r="E259" t="s">
        <v>31</v>
      </c>
      <c r="F259">
        <v>9938</v>
      </c>
      <c r="G259" t="s">
        <v>814</v>
      </c>
      <c r="H259" s="2">
        <v>0.1</v>
      </c>
      <c r="I259" t="s">
        <v>26</v>
      </c>
      <c r="J259" s="2">
        <v>354070.14</v>
      </c>
      <c r="K259" t="s">
        <v>27</v>
      </c>
      <c r="L259">
        <v>181446</v>
      </c>
      <c r="M259" t="s">
        <v>818</v>
      </c>
      <c r="O259">
        <v>1</v>
      </c>
    </row>
    <row r="260" spans="1:18" x14ac:dyDescent="0.25">
      <c r="A260">
        <v>8003879954</v>
      </c>
      <c r="B260">
        <v>1</v>
      </c>
      <c r="C260">
        <v>4042018</v>
      </c>
      <c r="D260">
        <v>60</v>
      </c>
      <c r="E260" t="s">
        <v>37</v>
      </c>
      <c r="F260">
        <v>9938</v>
      </c>
      <c r="G260" t="s">
        <v>819</v>
      </c>
      <c r="H260" s="2">
        <v>800</v>
      </c>
      <c r="I260" t="s">
        <v>26</v>
      </c>
      <c r="J260" s="2">
        <v>354070.24</v>
      </c>
      <c r="K260" t="s">
        <v>27</v>
      </c>
      <c r="L260">
        <v>181446</v>
      </c>
      <c r="M260" t="s">
        <v>820</v>
      </c>
      <c r="O260">
        <v>1</v>
      </c>
      <c r="P260" t="s">
        <v>821</v>
      </c>
      <c r="Q260" t="s">
        <v>822</v>
      </c>
    </row>
    <row r="261" spans="1:18" x14ac:dyDescent="0.25">
      <c r="A261">
        <v>8003879954</v>
      </c>
      <c r="B261">
        <v>5</v>
      </c>
      <c r="C261">
        <v>3042018</v>
      </c>
      <c r="D261">
        <v>341</v>
      </c>
      <c r="E261" t="s">
        <v>25</v>
      </c>
      <c r="F261">
        <v>9938</v>
      </c>
      <c r="G261" t="s">
        <v>823</v>
      </c>
      <c r="H261" s="2">
        <v>350</v>
      </c>
      <c r="I261" t="s">
        <v>26</v>
      </c>
      <c r="J261" s="2">
        <v>354870.24</v>
      </c>
      <c r="K261" t="s">
        <v>27</v>
      </c>
      <c r="L261">
        <v>173500</v>
      </c>
      <c r="M261" t="s">
        <v>824</v>
      </c>
      <c r="O261">
        <v>1</v>
      </c>
      <c r="P261" t="s">
        <v>825</v>
      </c>
      <c r="Q261" t="s">
        <v>826</v>
      </c>
    </row>
    <row r="262" spans="1:18" x14ac:dyDescent="0.25">
      <c r="A262">
        <v>8003879954</v>
      </c>
      <c r="B262">
        <v>4</v>
      </c>
      <c r="C262">
        <v>3042018</v>
      </c>
      <c r="D262">
        <v>299</v>
      </c>
      <c r="E262" t="s">
        <v>30</v>
      </c>
      <c r="F262">
        <v>9938</v>
      </c>
      <c r="G262" t="s">
        <v>823</v>
      </c>
      <c r="H262" s="2">
        <v>0.01</v>
      </c>
      <c r="I262" t="s">
        <v>26</v>
      </c>
      <c r="J262" s="2">
        <v>355220.24</v>
      </c>
      <c r="K262" t="s">
        <v>27</v>
      </c>
      <c r="L262">
        <v>173500</v>
      </c>
      <c r="M262" t="s">
        <v>827</v>
      </c>
      <c r="O262">
        <v>1</v>
      </c>
    </row>
    <row r="263" spans="1:18" x14ac:dyDescent="0.25">
      <c r="A263">
        <v>8003879954</v>
      </c>
      <c r="B263">
        <v>3</v>
      </c>
      <c r="C263">
        <v>3042018</v>
      </c>
      <c r="D263">
        <v>489</v>
      </c>
      <c r="E263" t="s">
        <v>31</v>
      </c>
      <c r="F263">
        <v>9938</v>
      </c>
      <c r="G263" t="s">
        <v>823</v>
      </c>
      <c r="H263" s="2">
        <v>0.1</v>
      </c>
      <c r="I263" t="s">
        <v>26</v>
      </c>
      <c r="J263" s="2">
        <v>355220.25</v>
      </c>
      <c r="K263" t="s">
        <v>27</v>
      </c>
      <c r="L263">
        <v>173500</v>
      </c>
      <c r="M263" t="s">
        <v>827</v>
      </c>
      <c r="O263">
        <v>1</v>
      </c>
    </row>
    <row r="264" spans="1:18" x14ac:dyDescent="0.25">
      <c r="A264">
        <v>8003879954</v>
      </c>
      <c r="B264">
        <v>2</v>
      </c>
      <c r="C264">
        <v>3042018</v>
      </c>
      <c r="D264">
        <v>345</v>
      </c>
      <c r="E264" t="s">
        <v>51</v>
      </c>
      <c r="F264">
        <v>9938</v>
      </c>
      <c r="G264" t="s">
        <v>828</v>
      </c>
      <c r="H264" s="2">
        <v>3000</v>
      </c>
      <c r="I264" t="s">
        <v>26</v>
      </c>
      <c r="J264" s="2">
        <v>355220.35</v>
      </c>
      <c r="K264" t="s">
        <v>27</v>
      </c>
      <c r="L264">
        <v>173459</v>
      </c>
      <c r="M264" t="s">
        <v>829</v>
      </c>
      <c r="O264">
        <v>1</v>
      </c>
      <c r="P264" t="s">
        <v>830</v>
      </c>
      <c r="Q264" t="s">
        <v>831</v>
      </c>
    </row>
    <row r="265" spans="1:18" x14ac:dyDescent="0.25">
      <c r="A265">
        <v>8003879954</v>
      </c>
      <c r="B265">
        <v>1</v>
      </c>
      <c r="C265">
        <v>3042018</v>
      </c>
      <c r="D265">
        <v>60</v>
      </c>
      <c r="E265" t="s">
        <v>37</v>
      </c>
      <c r="F265">
        <v>9938</v>
      </c>
      <c r="G265" t="s">
        <v>832</v>
      </c>
      <c r="H265" s="2">
        <v>155</v>
      </c>
      <c r="I265" t="s">
        <v>26</v>
      </c>
      <c r="J265" s="2">
        <v>358220.35</v>
      </c>
      <c r="K265" t="s">
        <v>27</v>
      </c>
      <c r="L265">
        <v>173459</v>
      </c>
      <c r="M265" t="s">
        <v>833</v>
      </c>
      <c r="O265">
        <v>1</v>
      </c>
      <c r="P265" t="s">
        <v>834</v>
      </c>
      <c r="Q265" t="s">
        <v>835</v>
      </c>
    </row>
    <row r="266" spans="1:18" x14ac:dyDescent="0.25">
      <c r="A266">
        <v>8003879954</v>
      </c>
      <c r="B266">
        <v>1</v>
      </c>
      <c r="C266">
        <v>2042018</v>
      </c>
      <c r="D266">
        <v>174</v>
      </c>
      <c r="E266" t="s">
        <v>159</v>
      </c>
      <c r="F266">
        <v>2001</v>
      </c>
      <c r="G266" t="s">
        <v>836</v>
      </c>
      <c r="H266" s="2">
        <v>750</v>
      </c>
      <c r="I266" t="s">
        <v>27</v>
      </c>
      <c r="J266" s="2">
        <v>358375.35</v>
      </c>
      <c r="K266" t="s">
        <v>27</v>
      </c>
      <c r="L266">
        <v>91557</v>
      </c>
      <c r="M266" t="s">
        <v>837</v>
      </c>
      <c r="O266">
        <v>1</v>
      </c>
      <c r="P266" t="s">
        <v>837</v>
      </c>
      <c r="Q266" t="s">
        <v>838</v>
      </c>
      <c r="R266" t="s">
        <v>839</v>
      </c>
    </row>
    <row r="268" spans="1:18" x14ac:dyDescent="0.25">
      <c r="H268" s="2">
        <f>SUBTOTAL(9,H9:H266)</f>
        <v>4806597.6799999904</v>
      </c>
    </row>
  </sheetData>
  <autoFilter ref="A8:Q266" xr:uid="{CF109FEB-3BE3-49F9-8C2D-13E34C3E637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25BC-744E-4B94-AE93-E61A1C69EEEC}">
  <dimension ref="A1:R154"/>
  <sheetViews>
    <sheetView topLeftCell="A31" workbookViewId="0">
      <selection activeCell="F10" sqref="F10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2" bestFit="1" customWidth="1"/>
    <col min="10" max="10" width="13.28515625" style="2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906</v>
      </c>
    </row>
    <row r="5" spans="1:18" x14ac:dyDescent="0.25">
      <c r="A5" t="s">
        <v>907</v>
      </c>
    </row>
    <row r="6" spans="1:18" x14ac:dyDescent="0.25">
      <c r="A6" t="s">
        <v>908</v>
      </c>
    </row>
    <row r="8" spans="1:18" s="15" customFormat="1" ht="49.5" customHeight="1" x14ac:dyDescent="0.25">
      <c r="A8" s="15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4" t="s">
        <v>14</v>
      </c>
      <c r="I8" s="15" t="s">
        <v>15</v>
      </c>
      <c r="J8" s="4" t="s">
        <v>16</v>
      </c>
      <c r="K8" s="15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</row>
    <row r="10" spans="1:18" s="16" customFormat="1" x14ac:dyDescent="0.25">
      <c r="A10" s="16">
        <v>8003879954</v>
      </c>
      <c r="B10" s="16">
        <v>12</v>
      </c>
      <c r="C10" s="16">
        <v>31052018</v>
      </c>
      <c r="D10" s="16">
        <v>341</v>
      </c>
      <c r="E10" s="16" t="s">
        <v>25</v>
      </c>
      <c r="F10" s="16">
        <v>9938</v>
      </c>
      <c r="G10" s="16" t="s">
        <v>1043</v>
      </c>
      <c r="H10" s="10">
        <v>362.09</v>
      </c>
      <c r="I10" s="16" t="s">
        <v>26</v>
      </c>
      <c r="J10" s="10">
        <v>65164.27</v>
      </c>
      <c r="K10" s="16" t="s">
        <v>27</v>
      </c>
      <c r="L10" s="16">
        <v>180245</v>
      </c>
      <c r="M10" s="16" t="s">
        <v>28</v>
      </c>
      <c r="O10" s="16">
        <v>1</v>
      </c>
      <c r="P10" s="16" t="s">
        <v>1044</v>
      </c>
      <c r="Q10" s="16" t="s">
        <v>29</v>
      </c>
    </row>
    <row r="11" spans="1:18" s="16" customFormat="1" x14ac:dyDescent="0.25">
      <c r="A11" s="16">
        <v>8003879954</v>
      </c>
      <c r="B11" s="16">
        <v>11</v>
      </c>
      <c r="C11" s="16">
        <v>31052018</v>
      </c>
      <c r="D11" s="16">
        <v>299</v>
      </c>
      <c r="E11" s="16" t="s">
        <v>30</v>
      </c>
      <c r="F11" s="16">
        <v>9938</v>
      </c>
      <c r="G11" s="16" t="s">
        <v>1043</v>
      </c>
      <c r="H11" s="10">
        <v>0.01</v>
      </c>
      <c r="I11" s="16" t="s">
        <v>26</v>
      </c>
      <c r="J11" s="10">
        <v>65526.36</v>
      </c>
      <c r="K11" s="16" t="s">
        <v>27</v>
      </c>
      <c r="L11" s="16">
        <v>180245</v>
      </c>
      <c r="M11" s="16" t="s">
        <v>1045</v>
      </c>
      <c r="O11" s="16">
        <v>1</v>
      </c>
    </row>
    <row r="12" spans="1:18" s="16" customFormat="1" x14ac:dyDescent="0.25">
      <c r="A12" s="16">
        <v>8003879954</v>
      </c>
      <c r="B12" s="16">
        <v>10</v>
      </c>
      <c r="C12" s="16">
        <v>31052018</v>
      </c>
      <c r="D12" s="16">
        <v>489</v>
      </c>
      <c r="E12" s="16" t="s">
        <v>31</v>
      </c>
      <c r="F12" s="16">
        <v>9938</v>
      </c>
      <c r="G12" s="16" t="s">
        <v>1043</v>
      </c>
      <c r="H12" s="10">
        <v>0.1</v>
      </c>
      <c r="I12" s="16" t="s">
        <v>26</v>
      </c>
      <c r="J12" s="10">
        <v>65526.37</v>
      </c>
      <c r="K12" s="16" t="s">
        <v>27</v>
      </c>
      <c r="L12" s="16">
        <v>180245</v>
      </c>
      <c r="M12" s="16" t="s">
        <v>1045</v>
      </c>
      <c r="O12" s="16">
        <v>1</v>
      </c>
    </row>
    <row r="13" spans="1:18" s="16" customFormat="1" x14ac:dyDescent="0.25">
      <c r="A13" s="16">
        <v>8003879954</v>
      </c>
      <c r="B13" s="16">
        <v>9</v>
      </c>
      <c r="C13" s="16">
        <v>31052018</v>
      </c>
      <c r="D13" s="16">
        <v>345</v>
      </c>
      <c r="E13" s="16" t="s">
        <v>51</v>
      </c>
      <c r="F13" s="16">
        <v>9938</v>
      </c>
      <c r="G13" s="16" t="s">
        <v>1046</v>
      </c>
      <c r="H13" s="10">
        <v>3000</v>
      </c>
      <c r="I13" s="16" t="s">
        <v>26</v>
      </c>
      <c r="J13" s="10">
        <v>65526.47</v>
      </c>
      <c r="K13" s="16" t="s">
        <v>27</v>
      </c>
      <c r="L13" s="16">
        <v>180245</v>
      </c>
      <c r="M13" s="16" t="s">
        <v>829</v>
      </c>
      <c r="O13" s="16">
        <v>1</v>
      </c>
      <c r="P13" s="16" t="s">
        <v>1047</v>
      </c>
      <c r="Q13" s="16" t="s">
        <v>1048</v>
      </c>
    </row>
    <row r="14" spans="1:18" s="16" customFormat="1" x14ac:dyDescent="0.25">
      <c r="A14" s="16">
        <v>8003879954</v>
      </c>
      <c r="B14" s="16">
        <v>8</v>
      </c>
      <c r="C14" s="16">
        <v>31052018</v>
      </c>
      <c r="D14" s="16">
        <v>341</v>
      </c>
      <c r="E14" s="16" t="s">
        <v>25</v>
      </c>
      <c r="F14" s="16">
        <v>9938</v>
      </c>
      <c r="G14" s="16" t="s">
        <v>1049</v>
      </c>
      <c r="H14" s="10">
        <v>350</v>
      </c>
      <c r="I14" s="16" t="s">
        <v>26</v>
      </c>
      <c r="J14" s="10">
        <v>68526.47</v>
      </c>
      <c r="K14" s="16" t="s">
        <v>27</v>
      </c>
      <c r="L14" s="16">
        <v>180244</v>
      </c>
      <c r="M14" s="16" t="s">
        <v>824</v>
      </c>
      <c r="O14" s="16">
        <v>1</v>
      </c>
      <c r="P14" s="16" t="s">
        <v>1050</v>
      </c>
      <c r="Q14" s="16" t="s">
        <v>1051</v>
      </c>
    </row>
    <row r="15" spans="1:18" s="16" customFormat="1" x14ac:dyDescent="0.25">
      <c r="A15" s="16">
        <v>8003879954</v>
      </c>
      <c r="B15" s="16">
        <v>7</v>
      </c>
      <c r="C15" s="16">
        <v>31052018</v>
      </c>
      <c r="D15" s="16">
        <v>299</v>
      </c>
      <c r="E15" s="16" t="s">
        <v>30</v>
      </c>
      <c r="F15" s="16">
        <v>9938</v>
      </c>
      <c r="G15" s="16" t="s">
        <v>1049</v>
      </c>
      <c r="H15" s="10">
        <v>0.01</v>
      </c>
      <c r="I15" s="16" t="s">
        <v>26</v>
      </c>
      <c r="J15" s="10">
        <v>68876.47</v>
      </c>
      <c r="K15" s="16" t="s">
        <v>27</v>
      </c>
      <c r="L15" s="16">
        <v>180244</v>
      </c>
      <c r="M15" s="16" t="s">
        <v>1052</v>
      </c>
      <c r="O15" s="16">
        <v>1</v>
      </c>
    </row>
    <row r="16" spans="1:18" s="16" customFormat="1" x14ac:dyDescent="0.25">
      <c r="A16" s="16">
        <v>8003879954</v>
      </c>
      <c r="B16" s="16">
        <v>6</v>
      </c>
      <c r="C16" s="16">
        <v>31052018</v>
      </c>
      <c r="D16" s="16">
        <v>489</v>
      </c>
      <c r="E16" s="16" t="s">
        <v>31</v>
      </c>
      <c r="F16" s="16">
        <v>9938</v>
      </c>
      <c r="G16" s="16" t="s">
        <v>1049</v>
      </c>
      <c r="H16" s="10">
        <v>0.1</v>
      </c>
      <c r="I16" s="16" t="s">
        <v>26</v>
      </c>
      <c r="J16" s="10">
        <v>68876.479999999996</v>
      </c>
      <c r="K16" s="16" t="s">
        <v>27</v>
      </c>
      <c r="L16" s="16">
        <v>180244</v>
      </c>
      <c r="M16" s="16" t="s">
        <v>1052</v>
      </c>
      <c r="O16" s="16">
        <v>1</v>
      </c>
    </row>
    <row r="17" spans="1:18" s="16" customFormat="1" x14ac:dyDescent="0.25">
      <c r="A17" s="16">
        <v>8003879954</v>
      </c>
      <c r="B17" s="16">
        <v>5</v>
      </c>
      <c r="C17" s="16">
        <v>31052018</v>
      </c>
      <c r="D17" s="16">
        <v>345</v>
      </c>
      <c r="E17" s="16" t="s">
        <v>51</v>
      </c>
      <c r="F17" s="16">
        <v>9938</v>
      </c>
      <c r="G17" s="16" t="s">
        <v>1053</v>
      </c>
      <c r="H17" s="10">
        <v>1776.78</v>
      </c>
      <c r="I17" s="16" t="s">
        <v>26</v>
      </c>
      <c r="J17" s="10">
        <v>68876.58</v>
      </c>
      <c r="K17" s="16" t="s">
        <v>27</v>
      </c>
      <c r="L17" s="16">
        <v>180244</v>
      </c>
      <c r="M17" s="16" t="s">
        <v>1054</v>
      </c>
      <c r="O17" s="16">
        <v>1</v>
      </c>
      <c r="P17" s="16" t="s">
        <v>1055</v>
      </c>
      <c r="Q17" s="16" t="s">
        <v>1056</v>
      </c>
    </row>
    <row r="18" spans="1:18" s="16" customFormat="1" x14ac:dyDescent="0.25">
      <c r="A18" s="16">
        <v>8003879954</v>
      </c>
      <c r="B18" s="16">
        <v>4</v>
      </c>
      <c r="C18" s="16">
        <v>31052018</v>
      </c>
      <c r="D18" s="16">
        <v>141</v>
      </c>
      <c r="E18" s="16" t="s">
        <v>53</v>
      </c>
      <c r="F18" s="16">
        <v>6506</v>
      </c>
      <c r="G18" s="16" t="s">
        <v>1057</v>
      </c>
      <c r="H18" s="10">
        <v>90</v>
      </c>
      <c r="I18" s="16" t="s">
        <v>27</v>
      </c>
      <c r="J18" s="10">
        <v>70653.36</v>
      </c>
      <c r="K18" s="16" t="s">
        <v>27</v>
      </c>
      <c r="L18" s="16">
        <v>154349</v>
      </c>
      <c r="M18" s="16" t="s">
        <v>32</v>
      </c>
      <c r="O18" s="16">
        <v>1</v>
      </c>
      <c r="P18" s="16" t="s">
        <v>1058</v>
      </c>
      <c r="R18" s="16" t="s">
        <v>647</v>
      </c>
    </row>
    <row r="19" spans="1:18" s="16" customFormat="1" x14ac:dyDescent="0.25">
      <c r="A19" s="16">
        <v>8003879954</v>
      </c>
      <c r="B19" s="16">
        <v>3</v>
      </c>
      <c r="C19" s="16">
        <v>31052018</v>
      </c>
      <c r="D19" s="16">
        <v>299</v>
      </c>
      <c r="E19" s="16" t="s">
        <v>30</v>
      </c>
      <c r="F19" s="16">
        <v>3471</v>
      </c>
      <c r="G19" s="16" t="s">
        <v>1059</v>
      </c>
      <c r="H19" s="10">
        <v>1.98</v>
      </c>
      <c r="I19" s="16" t="s">
        <v>26</v>
      </c>
      <c r="J19" s="10">
        <v>70563.360000000001</v>
      </c>
      <c r="K19" s="16" t="s">
        <v>27</v>
      </c>
      <c r="L19" s="16">
        <v>73511</v>
      </c>
      <c r="M19" s="16" t="s">
        <v>32</v>
      </c>
      <c r="O19" s="16">
        <v>1</v>
      </c>
    </row>
    <row r="20" spans="1:18" s="16" customFormat="1" x14ac:dyDescent="0.25">
      <c r="A20" s="16">
        <v>8003879954</v>
      </c>
      <c r="B20" s="16">
        <v>2</v>
      </c>
      <c r="C20" s="16">
        <v>31052018</v>
      </c>
      <c r="D20" s="16">
        <v>489</v>
      </c>
      <c r="E20" s="16" t="s">
        <v>56</v>
      </c>
      <c r="F20" s="16">
        <v>3471</v>
      </c>
      <c r="G20" s="16" t="s">
        <v>1059</v>
      </c>
      <c r="H20" s="10">
        <v>33</v>
      </c>
      <c r="I20" s="16" t="s">
        <v>26</v>
      </c>
      <c r="J20" s="10">
        <v>70565.34</v>
      </c>
      <c r="K20" s="16" t="s">
        <v>27</v>
      </c>
      <c r="L20" s="16">
        <v>73511</v>
      </c>
      <c r="M20" s="16" t="s">
        <v>32</v>
      </c>
      <c r="O20" s="16">
        <v>1</v>
      </c>
    </row>
    <row r="21" spans="1:18" s="16" customFormat="1" x14ac:dyDescent="0.25">
      <c r="A21" s="16">
        <v>8003879954</v>
      </c>
      <c r="B21" s="16">
        <v>1</v>
      </c>
      <c r="C21" s="16">
        <v>31052018</v>
      </c>
      <c r="D21" s="16">
        <v>669</v>
      </c>
      <c r="E21" s="16" t="s">
        <v>33</v>
      </c>
      <c r="F21" s="16">
        <v>3471</v>
      </c>
      <c r="G21" s="16" t="s">
        <v>1060</v>
      </c>
      <c r="H21" s="10">
        <v>82350.44</v>
      </c>
      <c r="I21" s="16" t="s">
        <v>26</v>
      </c>
      <c r="J21" s="10">
        <v>70598.34</v>
      </c>
      <c r="K21" s="16" t="s">
        <v>27</v>
      </c>
      <c r="L21" s="16">
        <v>62148</v>
      </c>
      <c r="M21" s="16" t="s">
        <v>1061</v>
      </c>
      <c r="O21" s="16">
        <v>1</v>
      </c>
      <c r="P21" s="16" t="s">
        <v>1062</v>
      </c>
      <c r="R21" s="16" t="s">
        <v>34</v>
      </c>
    </row>
    <row r="22" spans="1:18" s="16" customFormat="1" x14ac:dyDescent="0.25">
      <c r="A22" s="16">
        <v>8003879954</v>
      </c>
      <c r="B22" s="16">
        <v>3</v>
      </c>
      <c r="C22" s="16">
        <v>30052018</v>
      </c>
      <c r="D22" s="16">
        <v>299</v>
      </c>
      <c r="E22" s="16" t="s">
        <v>30</v>
      </c>
      <c r="H22" s="10">
        <v>0.03</v>
      </c>
      <c r="I22" s="16" t="s">
        <v>26</v>
      </c>
      <c r="J22" s="10">
        <v>152948.78</v>
      </c>
      <c r="K22" s="16" t="s">
        <v>27</v>
      </c>
      <c r="L22" s="16">
        <v>12410</v>
      </c>
      <c r="M22" s="16" t="s">
        <v>32</v>
      </c>
      <c r="O22" s="16">
        <v>1</v>
      </c>
    </row>
    <row r="23" spans="1:18" s="16" customFormat="1" x14ac:dyDescent="0.25">
      <c r="A23" s="16">
        <v>8003879954</v>
      </c>
      <c r="B23" s="16">
        <v>2</v>
      </c>
      <c r="C23" s="16">
        <v>30052018</v>
      </c>
      <c r="D23" s="16">
        <v>819</v>
      </c>
      <c r="E23" s="16" t="s">
        <v>35</v>
      </c>
      <c r="H23" s="10">
        <v>0.5</v>
      </c>
      <c r="I23" s="16" t="s">
        <v>26</v>
      </c>
      <c r="J23" s="10">
        <v>152948.81</v>
      </c>
      <c r="K23" s="16" t="s">
        <v>27</v>
      </c>
      <c r="L23" s="16">
        <v>12410</v>
      </c>
      <c r="M23" s="16" t="s">
        <v>32</v>
      </c>
      <c r="O23" s="16">
        <v>1</v>
      </c>
    </row>
    <row r="24" spans="1:18" s="16" customFormat="1" x14ac:dyDescent="0.25">
      <c r="A24" s="16">
        <v>8003879954</v>
      </c>
      <c r="B24" s="16">
        <v>1</v>
      </c>
      <c r="C24" s="16">
        <v>30052018</v>
      </c>
      <c r="D24" s="16">
        <v>323</v>
      </c>
      <c r="E24" s="16" t="s">
        <v>50</v>
      </c>
      <c r="F24" s="16">
        <v>0</v>
      </c>
      <c r="G24" s="16" t="s">
        <v>1063</v>
      </c>
      <c r="H24" s="10">
        <v>13533.8</v>
      </c>
      <c r="I24" s="16" t="s">
        <v>26</v>
      </c>
      <c r="J24" s="10">
        <v>152949.31</v>
      </c>
      <c r="K24" s="16" t="s">
        <v>27</v>
      </c>
      <c r="L24" s="16">
        <v>12232</v>
      </c>
      <c r="M24" s="16" t="s">
        <v>32</v>
      </c>
      <c r="O24" s="16">
        <v>1</v>
      </c>
    </row>
    <row r="25" spans="1:18" s="16" customFormat="1" x14ac:dyDescent="0.25">
      <c r="A25" s="16">
        <v>8003879954</v>
      </c>
      <c r="B25" s="16">
        <v>2</v>
      </c>
      <c r="C25" s="16">
        <v>28052018</v>
      </c>
      <c r="D25" s="16">
        <v>174</v>
      </c>
      <c r="E25" s="16" t="s">
        <v>159</v>
      </c>
      <c r="F25" s="16">
        <v>2001</v>
      </c>
      <c r="G25" s="16" t="s">
        <v>1064</v>
      </c>
      <c r="H25" s="10">
        <v>5000</v>
      </c>
      <c r="I25" s="16" t="s">
        <v>27</v>
      </c>
      <c r="J25" s="10">
        <v>166483.10999999999</v>
      </c>
      <c r="K25" s="16" t="s">
        <v>27</v>
      </c>
      <c r="L25" s="16">
        <v>91650</v>
      </c>
      <c r="M25" s="16" t="s">
        <v>1065</v>
      </c>
      <c r="O25" s="16">
        <v>1</v>
      </c>
      <c r="P25" s="16" t="s">
        <v>1065</v>
      </c>
      <c r="Q25" s="16" t="s">
        <v>1066</v>
      </c>
      <c r="R25" s="16" t="s">
        <v>1067</v>
      </c>
    </row>
    <row r="26" spans="1:18" s="16" customFormat="1" x14ac:dyDescent="0.25">
      <c r="A26" s="16">
        <v>8003879954</v>
      </c>
      <c r="B26" s="16">
        <v>1</v>
      </c>
      <c r="C26" s="16">
        <v>28052018</v>
      </c>
      <c r="D26" s="16">
        <v>343</v>
      </c>
      <c r="E26" s="16" t="s">
        <v>115</v>
      </c>
      <c r="F26" s="16">
        <v>9938</v>
      </c>
      <c r="G26" s="16" t="s">
        <v>1068</v>
      </c>
      <c r="H26" s="10">
        <v>767.45</v>
      </c>
      <c r="I26" s="16" t="s">
        <v>26</v>
      </c>
      <c r="J26" s="10">
        <v>161483.10999999999</v>
      </c>
      <c r="K26" s="16" t="s">
        <v>27</v>
      </c>
      <c r="L26" s="16">
        <v>80111</v>
      </c>
      <c r="M26" s="16" t="s">
        <v>117</v>
      </c>
      <c r="O26" s="16">
        <v>1</v>
      </c>
    </row>
    <row r="27" spans="1:18" s="16" customFormat="1" x14ac:dyDescent="0.25">
      <c r="A27" s="16">
        <v>8003879954</v>
      </c>
      <c r="B27" s="16">
        <v>1</v>
      </c>
      <c r="C27" s="16">
        <v>25052018</v>
      </c>
      <c r="D27" s="16">
        <v>489</v>
      </c>
      <c r="E27" s="16" t="s">
        <v>1069</v>
      </c>
      <c r="H27" s="10">
        <v>45</v>
      </c>
      <c r="I27" s="16" t="s">
        <v>26</v>
      </c>
      <c r="J27" s="10">
        <v>162250.56</v>
      </c>
      <c r="K27" s="16" t="s">
        <v>27</v>
      </c>
      <c r="L27" s="16">
        <v>224724</v>
      </c>
      <c r="M27" s="16" t="s">
        <v>32</v>
      </c>
      <c r="O27" s="16">
        <v>1</v>
      </c>
    </row>
    <row r="28" spans="1:18" s="16" customFormat="1" x14ac:dyDescent="0.25">
      <c r="A28" s="16">
        <v>8003879954</v>
      </c>
      <c r="B28" s="16">
        <v>19</v>
      </c>
      <c r="C28" s="16">
        <v>23052018</v>
      </c>
      <c r="D28" s="16">
        <v>299</v>
      </c>
      <c r="E28" s="16" t="s">
        <v>30</v>
      </c>
      <c r="F28" s="16">
        <v>2006</v>
      </c>
      <c r="G28" s="16" t="s">
        <v>1070</v>
      </c>
      <c r="H28" s="10">
        <v>6</v>
      </c>
      <c r="I28" s="16" t="s">
        <v>26</v>
      </c>
      <c r="J28" s="10">
        <v>162295.56</v>
      </c>
      <c r="K28" s="16" t="s">
        <v>27</v>
      </c>
      <c r="L28" s="16">
        <v>144610</v>
      </c>
      <c r="M28" s="16" t="s">
        <v>1071</v>
      </c>
      <c r="O28" s="16">
        <v>1</v>
      </c>
    </row>
    <row r="29" spans="1:18" s="16" customFormat="1" x14ac:dyDescent="0.25">
      <c r="A29" s="16">
        <v>8003879954</v>
      </c>
      <c r="B29" s="16">
        <v>18</v>
      </c>
      <c r="C29" s="16">
        <v>23052018</v>
      </c>
      <c r="D29" s="16">
        <v>489</v>
      </c>
      <c r="E29" s="16" t="s">
        <v>1072</v>
      </c>
      <c r="F29" s="16">
        <v>2006</v>
      </c>
      <c r="G29" s="16" t="s">
        <v>1070</v>
      </c>
      <c r="H29" s="10">
        <v>100</v>
      </c>
      <c r="I29" s="16" t="s">
        <v>26</v>
      </c>
      <c r="J29" s="10">
        <v>162301.56</v>
      </c>
      <c r="K29" s="16" t="s">
        <v>27</v>
      </c>
      <c r="L29" s="16">
        <v>144610</v>
      </c>
      <c r="M29" s="16" t="s">
        <v>1071</v>
      </c>
      <c r="O29" s="16">
        <v>1</v>
      </c>
    </row>
    <row r="30" spans="1:18" s="16" customFormat="1" x14ac:dyDescent="0.25">
      <c r="A30" s="16">
        <v>8003879954</v>
      </c>
      <c r="B30" s="16">
        <v>17</v>
      </c>
      <c r="C30" s="16">
        <v>23052018</v>
      </c>
      <c r="D30" s="16">
        <v>60</v>
      </c>
      <c r="E30" s="16" t="s">
        <v>37</v>
      </c>
      <c r="F30" s="16">
        <v>9938</v>
      </c>
      <c r="G30" s="16" t="s">
        <v>1073</v>
      </c>
      <c r="H30" s="10">
        <v>540</v>
      </c>
      <c r="I30" s="16" t="s">
        <v>26</v>
      </c>
      <c r="J30" s="10">
        <v>162401.56</v>
      </c>
      <c r="K30" s="16" t="s">
        <v>27</v>
      </c>
      <c r="L30" s="16">
        <v>113701</v>
      </c>
      <c r="M30" s="16" t="s">
        <v>944</v>
      </c>
      <c r="O30" s="16">
        <v>1</v>
      </c>
      <c r="P30" s="16" t="s">
        <v>1074</v>
      </c>
      <c r="Q30" s="16" t="s">
        <v>1075</v>
      </c>
    </row>
    <row r="31" spans="1:18" s="16" customFormat="1" x14ac:dyDescent="0.25">
      <c r="A31" s="16">
        <v>8003879954</v>
      </c>
      <c r="B31" s="16">
        <v>16</v>
      </c>
      <c r="C31" s="16">
        <v>23052018</v>
      </c>
      <c r="D31" s="16">
        <v>343</v>
      </c>
      <c r="E31" s="16" t="s">
        <v>115</v>
      </c>
      <c r="F31" s="16">
        <v>9938</v>
      </c>
      <c r="G31" s="16" t="s">
        <v>1076</v>
      </c>
      <c r="H31" s="10">
        <v>16.75</v>
      </c>
      <c r="I31" s="16" t="s">
        <v>26</v>
      </c>
      <c r="J31" s="10">
        <v>162941.56</v>
      </c>
      <c r="K31" s="16" t="s">
        <v>27</v>
      </c>
      <c r="L31" s="16">
        <v>113703</v>
      </c>
      <c r="M31" s="16" t="s">
        <v>334</v>
      </c>
      <c r="O31" s="16">
        <v>1</v>
      </c>
    </row>
    <row r="32" spans="1:18" s="16" customFormat="1" x14ac:dyDescent="0.25">
      <c r="A32" s="16">
        <v>8003879954</v>
      </c>
      <c r="B32" s="16">
        <v>15</v>
      </c>
      <c r="C32" s="16">
        <v>23052018</v>
      </c>
      <c r="D32" s="16">
        <v>343</v>
      </c>
      <c r="E32" s="16" t="s">
        <v>115</v>
      </c>
      <c r="F32" s="16">
        <v>9938</v>
      </c>
      <c r="G32" s="16" t="s">
        <v>1077</v>
      </c>
      <c r="H32" s="10">
        <v>728.8</v>
      </c>
      <c r="I32" s="16" t="s">
        <v>26</v>
      </c>
      <c r="J32" s="10">
        <v>162958.31</v>
      </c>
      <c r="K32" s="16" t="s">
        <v>27</v>
      </c>
      <c r="L32" s="16">
        <v>113700</v>
      </c>
      <c r="M32" s="16" t="s">
        <v>336</v>
      </c>
      <c r="O32" s="16">
        <v>1</v>
      </c>
    </row>
    <row r="33" spans="1:18" s="16" customFormat="1" x14ac:dyDescent="0.25">
      <c r="A33" s="16">
        <v>8003879954</v>
      </c>
      <c r="B33" s="16">
        <v>14</v>
      </c>
      <c r="C33" s="16">
        <v>23052018</v>
      </c>
      <c r="D33" s="16">
        <v>341</v>
      </c>
      <c r="E33" s="16" t="s">
        <v>25</v>
      </c>
      <c r="F33" s="16">
        <v>9938</v>
      </c>
      <c r="G33" s="16" t="s">
        <v>1078</v>
      </c>
      <c r="H33" s="10">
        <v>7456.19</v>
      </c>
      <c r="I33" s="16" t="s">
        <v>26</v>
      </c>
      <c r="J33" s="10">
        <v>163687.10999999999</v>
      </c>
      <c r="K33" s="16" t="s">
        <v>27</v>
      </c>
      <c r="L33" s="16">
        <v>113701</v>
      </c>
      <c r="M33" s="16" t="s">
        <v>1079</v>
      </c>
      <c r="O33" s="16">
        <v>1</v>
      </c>
      <c r="P33" s="16" t="s">
        <v>1080</v>
      </c>
      <c r="Q33" s="16" t="s">
        <v>1081</v>
      </c>
    </row>
    <row r="34" spans="1:18" s="16" customFormat="1" x14ac:dyDescent="0.25">
      <c r="A34" s="16">
        <v>8003879954</v>
      </c>
      <c r="B34" s="16">
        <v>13</v>
      </c>
      <c r="C34" s="16">
        <v>23052018</v>
      </c>
      <c r="D34" s="16">
        <v>299</v>
      </c>
      <c r="E34" s="16" t="s">
        <v>30</v>
      </c>
      <c r="F34" s="16">
        <v>9938</v>
      </c>
      <c r="G34" s="16" t="s">
        <v>1078</v>
      </c>
      <c r="H34" s="10">
        <v>0.01</v>
      </c>
      <c r="I34" s="16" t="s">
        <v>26</v>
      </c>
      <c r="J34" s="10">
        <v>171143.3</v>
      </c>
      <c r="K34" s="16" t="s">
        <v>27</v>
      </c>
      <c r="L34" s="16">
        <v>113701</v>
      </c>
      <c r="M34" s="16" t="s">
        <v>1082</v>
      </c>
      <c r="O34" s="16">
        <v>1</v>
      </c>
    </row>
    <row r="35" spans="1:18" s="16" customFormat="1" x14ac:dyDescent="0.25">
      <c r="A35" s="16">
        <v>8003879954</v>
      </c>
      <c r="B35" s="16">
        <v>12</v>
      </c>
      <c r="C35" s="16">
        <v>23052018</v>
      </c>
      <c r="D35" s="16">
        <v>489</v>
      </c>
      <c r="E35" s="16" t="s">
        <v>31</v>
      </c>
      <c r="F35" s="16">
        <v>9938</v>
      </c>
      <c r="G35" s="16" t="s">
        <v>1078</v>
      </c>
      <c r="H35" s="10">
        <v>0.1</v>
      </c>
      <c r="I35" s="16" t="s">
        <v>26</v>
      </c>
      <c r="J35" s="10">
        <v>171143.31</v>
      </c>
      <c r="K35" s="16" t="s">
        <v>27</v>
      </c>
      <c r="L35" s="16">
        <v>113701</v>
      </c>
      <c r="M35" s="16" t="s">
        <v>1082</v>
      </c>
      <c r="O35" s="16">
        <v>1</v>
      </c>
    </row>
    <row r="36" spans="1:18" s="16" customFormat="1" x14ac:dyDescent="0.25">
      <c r="A36" s="16">
        <v>8003879954</v>
      </c>
      <c r="B36" s="16">
        <v>11</v>
      </c>
      <c r="C36" s="16">
        <v>23052018</v>
      </c>
      <c r="D36" s="16">
        <v>341</v>
      </c>
      <c r="E36" s="16" t="s">
        <v>25</v>
      </c>
      <c r="F36" s="16">
        <v>9938</v>
      </c>
      <c r="G36" s="16" t="s">
        <v>1083</v>
      </c>
      <c r="H36" s="10">
        <v>90</v>
      </c>
      <c r="I36" s="16" t="s">
        <v>26</v>
      </c>
      <c r="J36" s="10">
        <v>171143.41</v>
      </c>
      <c r="K36" s="16" t="s">
        <v>27</v>
      </c>
      <c r="L36" s="16">
        <v>113701</v>
      </c>
      <c r="M36" s="16" t="s">
        <v>47</v>
      </c>
      <c r="O36" s="16">
        <v>1</v>
      </c>
      <c r="P36" s="16" t="s">
        <v>1084</v>
      </c>
      <c r="Q36" s="16" t="s">
        <v>1085</v>
      </c>
    </row>
    <row r="37" spans="1:18" s="16" customFormat="1" x14ac:dyDescent="0.25">
      <c r="A37" s="16">
        <v>8003879954</v>
      </c>
      <c r="B37" s="16">
        <v>10</v>
      </c>
      <c r="C37" s="16">
        <v>23052018</v>
      </c>
      <c r="D37" s="16">
        <v>299</v>
      </c>
      <c r="E37" s="16" t="s">
        <v>30</v>
      </c>
      <c r="F37" s="16">
        <v>9938</v>
      </c>
      <c r="G37" s="16" t="s">
        <v>1083</v>
      </c>
      <c r="H37" s="10">
        <v>0.01</v>
      </c>
      <c r="I37" s="16" t="s">
        <v>26</v>
      </c>
      <c r="J37" s="10">
        <v>171233.41</v>
      </c>
      <c r="K37" s="16" t="s">
        <v>27</v>
      </c>
      <c r="L37" s="16">
        <v>113701</v>
      </c>
      <c r="M37" s="16" t="s">
        <v>1086</v>
      </c>
      <c r="O37" s="16">
        <v>1</v>
      </c>
    </row>
    <row r="38" spans="1:18" s="16" customFormat="1" x14ac:dyDescent="0.25">
      <c r="A38" s="16">
        <v>8003879954</v>
      </c>
      <c r="B38" s="16">
        <v>9</v>
      </c>
      <c r="C38" s="16">
        <v>23052018</v>
      </c>
      <c r="D38" s="16">
        <v>489</v>
      </c>
      <c r="E38" s="16" t="s">
        <v>31</v>
      </c>
      <c r="F38" s="16">
        <v>9938</v>
      </c>
      <c r="G38" s="16" t="s">
        <v>1083</v>
      </c>
      <c r="H38" s="10">
        <v>0.1</v>
      </c>
      <c r="I38" s="16" t="s">
        <v>26</v>
      </c>
      <c r="J38" s="10">
        <v>171233.42</v>
      </c>
      <c r="K38" s="16" t="s">
        <v>27</v>
      </c>
      <c r="L38" s="16">
        <v>113701</v>
      </c>
      <c r="M38" s="16" t="s">
        <v>1086</v>
      </c>
      <c r="O38" s="16">
        <v>1</v>
      </c>
    </row>
    <row r="39" spans="1:18" s="16" customFormat="1" x14ac:dyDescent="0.25">
      <c r="A39" s="16">
        <v>8003879954</v>
      </c>
      <c r="B39" s="16">
        <v>8</v>
      </c>
      <c r="C39" s="16">
        <v>23052018</v>
      </c>
      <c r="D39" s="16">
        <v>341</v>
      </c>
      <c r="E39" s="16" t="s">
        <v>25</v>
      </c>
      <c r="F39" s="16">
        <v>9938</v>
      </c>
      <c r="G39" s="16" t="s">
        <v>1087</v>
      </c>
      <c r="H39" s="10">
        <v>3498</v>
      </c>
      <c r="I39" s="16" t="s">
        <v>26</v>
      </c>
      <c r="J39" s="10">
        <v>171233.52</v>
      </c>
      <c r="K39" s="16" t="s">
        <v>27</v>
      </c>
      <c r="L39" s="16">
        <v>113700</v>
      </c>
      <c r="M39" s="16" t="s">
        <v>617</v>
      </c>
      <c r="O39" s="16">
        <v>1</v>
      </c>
      <c r="P39" s="16" t="s">
        <v>1088</v>
      </c>
      <c r="Q39" s="16" t="s">
        <v>1089</v>
      </c>
    </row>
    <row r="40" spans="1:18" s="16" customFormat="1" x14ac:dyDescent="0.25">
      <c r="A40" s="16">
        <v>8003879954</v>
      </c>
      <c r="B40" s="16">
        <v>7</v>
      </c>
      <c r="C40" s="16">
        <v>23052018</v>
      </c>
      <c r="D40" s="16">
        <v>299</v>
      </c>
      <c r="E40" s="16" t="s">
        <v>30</v>
      </c>
      <c r="F40" s="16">
        <v>9938</v>
      </c>
      <c r="G40" s="16" t="s">
        <v>1087</v>
      </c>
      <c r="H40" s="10">
        <v>0.01</v>
      </c>
      <c r="I40" s="16" t="s">
        <v>26</v>
      </c>
      <c r="J40" s="10">
        <v>174731.51999999999</v>
      </c>
      <c r="K40" s="16" t="s">
        <v>27</v>
      </c>
      <c r="L40" s="16">
        <v>113700</v>
      </c>
      <c r="M40" s="16" t="s">
        <v>1090</v>
      </c>
      <c r="O40" s="16">
        <v>1</v>
      </c>
    </row>
    <row r="41" spans="1:18" s="16" customFormat="1" x14ac:dyDescent="0.25">
      <c r="A41" s="16">
        <v>8003879954</v>
      </c>
      <c r="B41" s="16">
        <v>6</v>
      </c>
      <c r="C41" s="16">
        <v>23052018</v>
      </c>
      <c r="D41" s="16">
        <v>489</v>
      </c>
      <c r="E41" s="16" t="s">
        <v>31</v>
      </c>
      <c r="F41" s="16">
        <v>9938</v>
      </c>
      <c r="G41" s="16" t="s">
        <v>1087</v>
      </c>
      <c r="H41" s="10">
        <v>0.1</v>
      </c>
      <c r="I41" s="16" t="s">
        <v>26</v>
      </c>
      <c r="J41" s="10">
        <v>174731.53</v>
      </c>
      <c r="K41" s="16" t="s">
        <v>27</v>
      </c>
      <c r="L41" s="16">
        <v>113700</v>
      </c>
      <c r="M41" s="16" t="s">
        <v>1090</v>
      </c>
      <c r="O41" s="16">
        <v>1</v>
      </c>
    </row>
    <row r="42" spans="1:18" s="16" customFormat="1" x14ac:dyDescent="0.25">
      <c r="A42" s="16">
        <v>8003879954</v>
      </c>
      <c r="B42" s="16">
        <v>5</v>
      </c>
      <c r="C42" s="16">
        <v>23052018</v>
      </c>
      <c r="D42" s="16">
        <v>341</v>
      </c>
      <c r="E42" s="16" t="s">
        <v>25</v>
      </c>
      <c r="F42" s="16">
        <v>9938</v>
      </c>
      <c r="G42" s="16" t="s">
        <v>1091</v>
      </c>
      <c r="H42" s="10">
        <v>413.4</v>
      </c>
      <c r="I42" s="16" t="s">
        <v>26</v>
      </c>
      <c r="J42" s="10">
        <v>174731.63</v>
      </c>
      <c r="K42" s="16" t="s">
        <v>27</v>
      </c>
      <c r="L42" s="16">
        <v>113700</v>
      </c>
      <c r="M42" s="16" t="s">
        <v>39</v>
      </c>
      <c r="O42" s="16">
        <v>1</v>
      </c>
      <c r="P42" s="16" t="s">
        <v>1092</v>
      </c>
      <c r="Q42" s="16" t="s">
        <v>1093</v>
      </c>
    </row>
    <row r="43" spans="1:18" s="16" customFormat="1" x14ac:dyDescent="0.25">
      <c r="A43" s="16">
        <v>8003879954</v>
      </c>
      <c r="B43" s="16">
        <v>4</v>
      </c>
      <c r="C43" s="16">
        <v>23052018</v>
      </c>
      <c r="D43" s="16">
        <v>299</v>
      </c>
      <c r="E43" s="16" t="s">
        <v>30</v>
      </c>
      <c r="F43" s="16">
        <v>9938</v>
      </c>
      <c r="G43" s="16" t="s">
        <v>1091</v>
      </c>
      <c r="H43" s="10">
        <v>0.01</v>
      </c>
      <c r="I43" s="16" t="s">
        <v>26</v>
      </c>
      <c r="J43" s="10">
        <v>175145.03</v>
      </c>
      <c r="K43" s="16" t="s">
        <v>27</v>
      </c>
      <c r="L43" s="16">
        <v>113700</v>
      </c>
      <c r="M43" s="16" t="s">
        <v>1094</v>
      </c>
      <c r="O43" s="16">
        <v>1</v>
      </c>
    </row>
    <row r="44" spans="1:18" s="16" customFormat="1" x14ac:dyDescent="0.25">
      <c r="A44" s="16">
        <v>8003879954</v>
      </c>
      <c r="B44" s="16">
        <v>3</v>
      </c>
      <c r="C44" s="16">
        <v>23052018</v>
      </c>
      <c r="D44" s="16">
        <v>489</v>
      </c>
      <c r="E44" s="16" t="s">
        <v>31</v>
      </c>
      <c r="F44" s="16">
        <v>9938</v>
      </c>
      <c r="G44" s="16" t="s">
        <v>1091</v>
      </c>
      <c r="H44" s="10">
        <v>0.1</v>
      </c>
      <c r="I44" s="16" t="s">
        <v>26</v>
      </c>
      <c r="J44" s="10">
        <v>175145.04</v>
      </c>
      <c r="K44" s="16" t="s">
        <v>27</v>
      </c>
      <c r="L44" s="16">
        <v>113700</v>
      </c>
      <c r="M44" s="16" t="s">
        <v>1094</v>
      </c>
      <c r="O44" s="16">
        <v>1</v>
      </c>
    </row>
    <row r="45" spans="1:18" s="16" customFormat="1" x14ac:dyDescent="0.25">
      <c r="A45" s="16">
        <v>8003879954</v>
      </c>
      <c r="B45" s="16">
        <v>2</v>
      </c>
      <c r="C45" s="16">
        <v>23052018</v>
      </c>
      <c r="D45" s="16">
        <v>343</v>
      </c>
      <c r="E45" s="16" t="s">
        <v>115</v>
      </c>
      <c r="F45" s="16">
        <v>9938</v>
      </c>
      <c r="G45" s="16" t="s">
        <v>1095</v>
      </c>
      <c r="H45" s="10">
        <v>1688.8</v>
      </c>
      <c r="I45" s="16" t="s">
        <v>26</v>
      </c>
      <c r="J45" s="10">
        <v>175145.14</v>
      </c>
      <c r="K45" s="16" t="s">
        <v>27</v>
      </c>
      <c r="L45" s="16">
        <v>113700</v>
      </c>
      <c r="M45" s="16" t="s">
        <v>338</v>
      </c>
      <c r="O45" s="16">
        <v>1</v>
      </c>
    </row>
    <row r="46" spans="1:18" s="16" customFormat="1" x14ac:dyDescent="0.25">
      <c r="A46" s="16">
        <v>8003879954</v>
      </c>
      <c r="B46" s="16">
        <v>1</v>
      </c>
      <c r="C46" s="16">
        <v>23052018</v>
      </c>
      <c r="D46" s="16">
        <v>60</v>
      </c>
      <c r="E46" s="16" t="s">
        <v>37</v>
      </c>
      <c r="F46" s="16">
        <v>9938</v>
      </c>
      <c r="G46" s="16" t="s">
        <v>1096</v>
      </c>
      <c r="H46" s="10">
        <v>1200</v>
      </c>
      <c r="I46" s="16" t="s">
        <v>26</v>
      </c>
      <c r="J46" s="10">
        <v>176833.94</v>
      </c>
      <c r="K46" s="16" t="s">
        <v>27</v>
      </c>
      <c r="L46" s="16">
        <v>113700</v>
      </c>
      <c r="M46" s="16" t="s">
        <v>1097</v>
      </c>
      <c r="O46" s="16">
        <v>1</v>
      </c>
      <c r="P46" s="16" t="s">
        <v>1098</v>
      </c>
      <c r="Q46" s="16" t="s">
        <v>1099</v>
      </c>
    </row>
    <row r="47" spans="1:18" s="16" customFormat="1" x14ac:dyDescent="0.25">
      <c r="A47" s="16">
        <v>8003879954</v>
      </c>
      <c r="B47" s="16">
        <v>3</v>
      </c>
      <c r="C47" s="16">
        <v>22052018</v>
      </c>
      <c r="D47" s="16">
        <v>123</v>
      </c>
      <c r="E47" s="16" t="s">
        <v>64</v>
      </c>
      <c r="F47" s="16">
        <v>2007</v>
      </c>
      <c r="G47" s="16" t="s">
        <v>1100</v>
      </c>
      <c r="H47" s="10">
        <v>750</v>
      </c>
      <c r="I47" s="16" t="s">
        <v>27</v>
      </c>
      <c r="J47" s="10">
        <v>178033.94</v>
      </c>
      <c r="K47" s="16" t="s">
        <v>27</v>
      </c>
      <c r="L47" s="16">
        <v>191348</v>
      </c>
      <c r="M47" s="16" t="s">
        <v>32</v>
      </c>
      <c r="O47" s="16">
        <v>1</v>
      </c>
    </row>
    <row r="48" spans="1:18" s="16" customFormat="1" x14ac:dyDescent="0.25">
      <c r="A48" s="16">
        <v>8003879954</v>
      </c>
      <c r="B48" s="16">
        <v>2</v>
      </c>
      <c r="C48" s="16">
        <v>22052018</v>
      </c>
      <c r="D48" s="16">
        <v>141</v>
      </c>
      <c r="E48" s="16" t="s">
        <v>53</v>
      </c>
      <c r="F48" s="16">
        <v>6449</v>
      </c>
      <c r="G48" s="16" t="s">
        <v>1101</v>
      </c>
      <c r="H48" s="10">
        <v>1068.8499999999999</v>
      </c>
      <c r="I48" s="16" t="s">
        <v>27</v>
      </c>
      <c r="J48" s="10">
        <v>177283.94</v>
      </c>
      <c r="K48" s="16" t="s">
        <v>27</v>
      </c>
      <c r="L48" s="16">
        <v>114108</v>
      </c>
      <c r="M48" s="16" t="s">
        <v>32</v>
      </c>
      <c r="O48" s="16">
        <v>1</v>
      </c>
      <c r="P48" s="16" t="s">
        <v>1102</v>
      </c>
      <c r="R48" s="16" t="s">
        <v>190</v>
      </c>
    </row>
    <row r="49" spans="1:18" s="16" customFormat="1" x14ac:dyDescent="0.25">
      <c r="A49" s="16">
        <v>8003879954</v>
      </c>
      <c r="B49" s="16">
        <v>1</v>
      </c>
      <c r="C49" s="16">
        <v>22052018</v>
      </c>
      <c r="D49" s="16">
        <v>174</v>
      </c>
      <c r="E49" s="16" t="s">
        <v>159</v>
      </c>
      <c r="F49" s="16">
        <v>2001</v>
      </c>
      <c r="G49" s="16" t="s">
        <v>1103</v>
      </c>
      <c r="H49" s="10">
        <v>1000</v>
      </c>
      <c r="I49" s="16" t="s">
        <v>27</v>
      </c>
      <c r="J49" s="10">
        <v>176215.09</v>
      </c>
      <c r="K49" s="16" t="s">
        <v>27</v>
      </c>
      <c r="L49" s="16">
        <v>91230</v>
      </c>
      <c r="M49" s="16" t="s">
        <v>1104</v>
      </c>
      <c r="O49" s="16">
        <v>1</v>
      </c>
      <c r="P49" s="16" t="s">
        <v>1104</v>
      </c>
      <c r="Q49" s="16" t="s">
        <v>1105</v>
      </c>
      <c r="R49" s="16" t="s">
        <v>1106</v>
      </c>
    </row>
    <row r="50" spans="1:18" s="16" customFormat="1" x14ac:dyDescent="0.25">
      <c r="A50" s="16">
        <v>8003879954</v>
      </c>
      <c r="B50" s="16">
        <v>10</v>
      </c>
      <c r="C50" s="16">
        <v>18052018</v>
      </c>
      <c r="D50" s="16">
        <v>299</v>
      </c>
      <c r="E50" s="16" t="s">
        <v>30</v>
      </c>
      <c r="H50" s="10">
        <v>0.03</v>
      </c>
      <c r="I50" s="16" t="s">
        <v>26</v>
      </c>
      <c r="J50" s="10">
        <v>175215.09</v>
      </c>
      <c r="K50" s="16" t="s">
        <v>27</v>
      </c>
      <c r="L50" s="16">
        <v>5427</v>
      </c>
      <c r="M50" s="16" t="s">
        <v>32</v>
      </c>
      <c r="O50" s="16">
        <v>1</v>
      </c>
    </row>
    <row r="51" spans="1:18" s="16" customFormat="1" x14ac:dyDescent="0.25">
      <c r="A51" s="16">
        <v>8003879954</v>
      </c>
      <c r="B51" s="16">
        <v>9</v>
      </c>
      <c r="C51" s="16">
        <v>18052018</v>
      </c>
      <c r="D51" s="16">
        <v>819</v>
      </c>
      <c r="E51" s="16" t="s">
        <v>35</v>
      </c>
      <c r="H51" s="10">
        <v>0.5</v>
      </c>
      <c r="I51" s="16" t="s">
        <v>26</v>
      </c>
      <c r="J51" s="10">
        <v>175215.12</v>
      </c>
      <c r="K51" s="16" t="s">
        <v>27</v>
      </c>
      <c r="L51" s="16">
        <v>5427</v>
      </c>
      <c r="M51" s="16" t="s">
        <v>32</v>
      </c>
      <c r="O51" s="16">
        <v>1</v>
      </c>
    </row>
    <row r="52" spans="1:18" s="16" customFormat="1" x14ac:dyDescent="0.25">
      <c r="A52" s="16">
        <v>8003879954</v>
      </c>
      <c r="B52" s="16">
        <v>8</v>
      </c>
      <c r="C52" s="16">
        <v>18052018</v>
      </c>
      <c r="D52" s="16">
        <v>299</v>
      </c>
      <c r="E52" s="16" t="s">
        <v>30</v>
      </c>
      <c r="H52" s="10">
        <v>0.12</v>
      </c>
      <c r="I52" s="16" t="s">
        <v>26</v>
      </c>
      <c r="J52" s="10">
        <v>175215.62</v>
      </c>
      <c r="K52" s="16" t="s">
        <v>27</v>
      </c>
      <c r="L52" s="16">
        <v>5427</v>
      </c>
      <c r="M52" s="16" t="s">
        <v>32</v>
      </c>
      <c r="O52" s="16">
        <v>1</v>
      </c>
    </row>
    <row r="53" spans="1:18" s="16" customFormat="1" x14ac:dyDescent="0.25">
      <c r="A53" s="16">
        <v>8003879954</v>
      </c>
      <c r="B53" s="16">
        <v>7</v>
      </c>
      <c r="C53" s="16">
        <v>18052018</v>
      </c>
      <c r="D53" s="16">
        <v>819</v>
      </c>
      <c r="E53" s="16" t="s">
        <v>35</v>
      </c>
      <c r="H53" s="10">
        <v>2</v>
      </c>
      <c r="I53" s="16" t="s">
        <v>26</v>
      </c>
      <c r="J53" s="10">
        <v>175215.74</v>
      </c>
      <c r="K53" s="16" t="s">
        <v>27</v>
      </c>
      <c r="L53" s="16">
        <v>5427</v>
      </c>
      <c r="M53" s="16" t="s">
        <v>32</v>
      </c>
      <c r="O53" s="16">
        <v>1</v>
      </c>
    </row>
    <row r="54" spans="1:18" s="16" customFormat="1" x14ac:dyDescent="0.25">
      <c r="A54" s="16">
        <v>8003879954</v>
      </c>
      <c r="B54" s="16">
        <v>6</v>
      </c>
      <c r="C54" s="16">
        <v>18052018</v>
      </c>
      <c r="D54" s="16">
        <v>323</v>
      </c>
      <c r="E54" s="16" t="s">
        <v>50</v>
      </c>
      <c r="F54" s="16">
        <v>0</v>
      </c>
      <c r="G54" s="16" t="s">
        <v>909</v>
      </c>
      <c r="H54" s="10">
        <v>7230.26</v>
      </c>
      <c r="I54" s="16" t="s">
        <v>26</v>
      </c>
      <c r="J54" s="10">
        <v>175217.74</v>
      </c>
      <c r="K54" s="16" t="s">
        <v>27</v>
      </c>
      <c r="L54" s="16">
        <v>5328</v>
      </c>
      <c r="M54" s="16" t="s">
        <v>32</v>
      </c>
      <c r="O54" s="16">
        <v>1</v>
      </c>
    </row>
    <row r="55" spans="1:18" s="16" customFormat="1" x14ac:dyDescent="0.25">
      <c r="A55" s="16">
        <v>8003879954</v>
      </c>
      <c r="B55" s="16">
        <v>5</v>
      </c>
      <c r="C55" s="16">
        <v>18052018</v>
      </c>
      <c r="D55" s="16">
        <v>323</v>
      </c>
      <c r="E55" s="16" t="s">
        <v>50</v>
      </c>
      <c r="F55" s="16">
        <v>0</v>
      </c>
      <c r="G55" s="16" t="s">
        <v>910</v>
      </c>
      <c r="H55" s="10">
        <v>22643.3</v>
      </c>
      <c r="I55" s="16" t="s">
        <v>26</v>
      </c>
      <c r="J55" s="10">
        <v>182448</v>
      </c>
      <c r="K55" s="16" t="s">
        <v>27</v>
      </c>
      <c r="L55" s="16">
        <v>5328</v>
      </c>
      <c r="M55" s="16" t="s">
        <v>32</v>
      </c>
      <c r="O55" s="16">
        <v>1</v>
      </c>
    </row>
    <row r="56" spans="1:18" s="16" customFormat="1" x14ac:dyDescent="0.25">
      <c r="A56" s="16">
        <v>8003879954</v>
      </c>
      <c r="B56" s="16">
        <v>4</v>
      </c>
      <c r="C56" s="16">
        <v>18052018</v>
      </c>
      <c r="D56" s="16">
        <v>321</v>
      </c>
      <c r="E56" s="16" t="s">
        <v>36</v>
      </c>
      <c r="F56" s="16">
        <v>0</v>
      </c>
      <c r="G56" s="16" t="s">
        <v>911</v>
      </c>
      <c r="H56" s="10">
        <v>14502</v>
      </c>
      <c r="I56" s="16" t="s">
        <v>26</v>
      </c>
      <c r="J56" s="10">
        <v>205091.3</v>
      </c>
      <c r="K56" s="16" t="s">
        <v>27</v>
      </c>
      <c r="L56" s="16">
        <v>5328</v>
      </c>
      <c r="M56" s="16" t="s">
        <v>32</v>
      </c>
      <c r="O56" s="16">
        <v>1</v>
      </c>
    </row>
    <row r="57" spans="1:18" s="16" customFormat="1" x14ac:dyDescent="0.25">
      <c r="A57" s="16">
        <v>8003879954</v>
      </c>
      <c r="B57" s="16">
        <v>3</v>
      </c>
      <c r="C57" s="16">
        <v>18052018</v>
      </c>
      <c r="D57" s="16">
        <v>323</v>
      </c>
      <c r="E57" s="16" t="s">
        <v>50</v>
      </c>
      <c r="F57" s="16">
        <v>0</v>
      </c>
      <c r="G57" s="16" t="s">
        <v>912</v>
      </c>
      <c r="H57" s="10">
        <v>10000.39</v>
      </c>
      <c r="I57" s="16" t="s">
        <v>26</v>
      </c>
      <c r="J57" s="10">
        <v>219593.3</v>
      </c>
      <c r="K57" s="16" t="s">
        <v>27</v>
      </c>
      <c r="L57" s="16">
        <v>5328</v>
      </c>
      <c r="M57" s="16" t="s">
        <v>32</v>
      </c>
      <c r="O57" s="16">
        <v>1</v>
      </c>
    </row>
    <row r="58" spans="1:18" s="16" customFormat="1" x14ac:dyDescent="0.25">
      <c r="A58" s="16">
        <v>8003879954</v>
      </c>
      <c r="B58" s="16">
        <v>2</v>
      </c>
      <c r="C58" s="16">
        <v>18052018</v>
      </c>
      <c r="D58" s="16">
        <v>323</v>
      </c>
      <c r="E58" s="16" t="s">
        <v>50</v>
      </c>
      <c r="F58" s="16">
        <v>0</v>
      </c>
      <c r="G58" s="16" t="s">
        <v>913</v>
      </c>
      <c r="H58" s="10">
        <v>10544.35</v>
      </c>
      <c r="I58" s="16" t="s">
        <v>26</v>
      </c>
      <c r="J58" s="10">
        <v>229593.69</v>
      </c>
      <c r="K58" s="16" t="s">
        <v>27</v>
      </c>
      <c r="L58" s="16">
        <v>5328</v>
      </c>
      <c r="M58" s="16" t="s">
        <v>32</v>
      </c>
      <c r="O58" s="16">
        <v>1</v>
      </c>
    </row>
    <row r="59" spans="1:18" s="16" customFormat="1" x14ac:dyDescent="0.25">
      <c r="A59" s="16">
        <v>8003879954</v>
      </c>
      <c r="B59" s="16">
        <v>1</v>
      </c>
      <c r="C59" s="16">
        <v>18052018</v>
      </c>
      <c r="D59" s="16">
        <v>123</v>
      </c>
      <c r="E59" s="16" t="s">
        <v>64</v>
      </c>
      <c r="F59" s="16">
        <v>2007</v>
      </c>
      <c r="G59" s="16" t="s">
        <v>914</v>
      </c>
      <c r="H59" s="10">
        <v>5000</v>
      </c>
      <c r="I59" s="16" t="s">
        <v>27</v>
      </c>
      <c r="J59" s="10">
        <v>240138.04</v>
      </c>
      <c r="K59" s="16" t="s">
        <v>27</v>
      </c>
      <c r="L59" s="16">
        <v>220623</v>
      </c>
      <c r="M59" s="16" t="s">
        <v>32</v>
      </c>
      <c r="O59" s="16">
        <v>1</v>
      </c>
    </row>
    <row r="60" spans="1:18" s="16" customFormat="1" x14ac:dyDescent="0.25">
      <c r="A60" s="16">
        <v>8003879954</v>
      </c>
      <c r="B60" s="16">
        <v>4</v>
      </c>
      <c r="C60" s="16">
        <v>17052018</v>
      </c>
      <c r="D60" s="16">
        <v>299</v>
      </c>
      <c r="E60" s="16" t="s">
        <v>508</v>
      </c>
      <c r="F60" s="16">
        <v>72</v>
      </c>
      <c r="G60" s="16" t="s">
        <v>915</v>
      </c>
      <c r="H60" s="10">
        <v>1.8</v>
      </c>
      <c r="I60" s="16" t="s">
        <v>26</v>
      </c>
      <c r="J60" s="10">
        <v>235138.04</v>
      </c>
      <c r="K60" s="16" t="s">
        <v>27</v>
      </c>
      <c r="L60" s="16">
        <v>153457</v>
      </c>
      <c r="M60" s="16" t="s">
        <v>916</v>
      </c>
      <c r="O60" s="16">
        <v>1</v>
      </c>
    </row>
    <row r="61" spans="1:18" s="16" customFormat="1" x14ac:dyDescent="0.25">
      <c r="A61" s="16">
        <v>8003879954</v>
      </c>
      <c r="B61" s="16">
        <v>3</v>
      </c>
      <c r="C61" s="16">
        <v>17052018</v>
      </c>
      <c r="D61" s="16">
        <v>415</v>
      </c>
      <c r="E61" s="16" t="s">
        <v>48</v>
      </c>
      <c r="F61" s="16">
        <v>72</v>
      </c>
      <c r="G61" s="16" t="s">
        <v>915</v>
      </c>
      <c r="H61" s="10">
        <v>30</v>
      </c>
      <c r="I61" s="16" t="s">
        <v>26</v>
      </c>
      <c r="J61" s="10">
        <v>235139.84</v>
      </c>
      <c r="K61" s="16" t="s">
        <v>27</v>
      </c>
      <c r="L61" s="16">
        <v>153457</v>
      </c>
      <c r="M61" s="16" t="s">
        <v>916</v>
      </c>
      <c r="O61" s="16">
        <v>1</v>
      </c>
    </row>
    <row r="62" spans="1:18" s="16" customFormat="1" x14ac:dyDescent="0.25">
      <c r="A62" s="16">
        <v>8003879954</v>
      </c>
      <c r="B62" s="16">
        <v>2</v>
      </c>
      <c r="C62" s="16">
        <v>17052018</v>
      </c>
      <c r="D62" s="16">
        <v>349</v>
      </c>
      <c r="E62" s="16" t="s">
        <v>49</v>
      </c>
      <c r="F62" s="16">
        <v>72</v>
      </c>
      <c r="G62" s="16" t="s">
        <v>915</v>
      </c>
      <c r="H62" s="17">
        <v>77288.13</v>
      </c>
      <c r="I62" s="16" t="s">
        <v>26</v>
      </c>
      <c r="J62" s="10">
        <v>235169.84</v>
      </c>
      <c r="K62" s="16" t="s">
        <v>27</v>
      </c>
      <c r="L62" s="16">
        <v>153457</v>
      </c>
      <c r="M62" s="16" t="s">
        <v>916</v>
      </c>
      <c r="O62" s="16">
        <v>1</v>
      </c>
    </row>
    <row r="63" spans="1:18" s="16" customFormat="1" x14ac:dyDescent="0.25">
      <c r="A63" s="16">
        <v>8003879954</v>
      </c>
      <c r="B63" s="16">
        <v>1</v>
      </c>
      <c r="C63" s="16">
        <v>17052018</v>
      </c>
      <c r="D63" s="16">
        <v>5</v>
      </c>
      <c r="E63" s="16" t="s">
        <v>54</v>
      </c>
      <c r="H63" s="10">
        <v>70000</v>
      </c>
      <c r="I63" s="16" t="s">
        <v>27</v>
      </c>
      <c r="J63" s="10">
        <v>312457.96999999997</v>
      </c>
      <c r="K63" s="16" t="s">
        <v>27</v>
      </c>
      <c r="L63" s="16">
        <v>91911</v>
      </c>
      <c r="M63" s="16" t="s">
        <v>917</v>
      </c>
      <c r="O63" s="16">
        <v>1</v>
      </c>
      <c r="P63" s="16" t="s">
        <v>918</v>
      </c>
      <c r="Q63" s="16" t="s">
        <v>381</v>
      </c>
      <c r="R63" s="16" t="s">
        <v>382</v>
      </c>
    </row>
    <row r="64" spans="1:18" s="16" customFormat="1" x14ac:dyDescent="0.25">
      <c r="A64" s="16">
        <v>8003879954</v>
      </c>
      <c r="B64" s="16">
        <v>1</v>
      </c>
      <c r="C64" s="16">
        <v>16052018</v>
      </c>
      <c r="D64" s="16">
        <v>5</v>
      </c>
      <c r="E64" s="16" t="s">
        <v>54</v>
      </c>
      <c r="H64" s="10">
        <v>200000</v>
      </c>
      <c r="I64" s="16" t="s">
        <v>27</v>
      </c>
      <c r="J64" s="10">
        <v>242457.97</v>
      </c>
      <c r="K64" s="16" t="s">
        <v>27</v>
      </c>
      <c r="L64" s="16">
        <v>93524</v>
      </c>
      <c r="M64" s="16" t="s">
        <v>490</v>
      </c>
      <c r="O64" s="16">
        <v>1</v>
      </c>
      <c r="P64" s="16" t="s">
        <v>491</v>
      </c>
      <c r="Q64" s="16" t="s">
        <v>176</v>
      </c>
      <c r="R64" s="16" t="s">
        <v>55</v>
      </c>
    </row>
    <row r="65" spans="1:15" s="16" customFormat="1" x14ac:dyDescent="0.25">
      <c r="A65" s="16">
        <v>8003879954</v>
      </c>
      <c r="B65" s="16">
        <v>4</v>
      </c>
      <c r="C65" s="16">
        <v>14052018</v>
      </c>
      <c r="D65" s="16">
        <v>299</v>
      </c>
      <c r="E65" s="16" t="s">
        <v>30</v>
      </c>
      <c r="H65" s="10">
        <v>0.06</v>
      </c>
      <c r="I65" s="16" t="s">
        <v>26</v>
      </c>
      <c r="J65" s="10">
        <v>42457.97</v>
      </c>
      <c r="K65" s="16" t="s">
        <v>27</v>
      </c>
      <c r="L65" s="16">
        <v>22657</v>
      </c>
      <c r="M65" s="16" t="s">
        <v>32</v>
      </c>
      <c r="O65" s="16">
        <v>1</v>
      </c>
    </row>
    <row r="66" spans="1:15" s="16" customFormat="1" x14ac:dyDescent="0.25">
      <c r="A66" s="16">
        <v>8003879954</v>
      </c>
      <c r="B66" s="16">
        <v>3</v>
      </c>
      <c r="C66" s="16">
        <v>14052018</v>
      </c>
      <c r="D66" s="16">
        <v>819</v>
      </c>
      <c r="E66" s="16" t="s">
        <v>35</v>
      </c>
      <c r="H66" s="10">
        <v>1</v>
      </c>
      <c r="I66" s="16" t="s">
        <v>26</v>
      </c>
      <c r="J66" s="10">
        <v>42458.03</v>
      </c>
      <c r="K66" s="16" t="s">
        <v>27</v>
      </c>
      <c r="L66" s="16">
        <v>22657</v>
      </c>
      <c r="M66" s="16" t="s">
        <v>32</v>
      </c>
      <c r="O66" s="16">
        <v>1</v>
      </c>
    </row>
    <row r="67" spans="1:15" s="16" customFormat="1" x14ac:dyDescent="0.25">
      <c r="A67" s="16">
        <v>8003879954</v>
      </c>
      <c r="B67" s="16">
        <v>2</v>
      </c>
      <c r="C67" s="16">
        <v>14052018</v>
      </c>
      <c r="D67" s="16">
        <v>323</v>
      </c>
      <c r="E67" s="16" t="s">
        <v>50</v>
      </c>
      <c r="F67" s="16">
        <v>0</v>
      </c>
      <c r="G67" s="16" t="s">
        <v>919</v>
      </c>
      <c r="H67" s="10">
        <v>254.8</v>
      </c>
      <c r="I67" s="16" t="s">
        <v>26</v>
      </c>
      <c r="J67" s="10">
        <v>42459.03</v>
      </c>
      <c r="K67" s="16" t="s">
        <v>27</v>
      </c>
      <c r="L67" s="16">
        <v>22408</v>
      </c>
      <c r="M67" s="16" t="s">
        <v>32</v>
      </c>
      <c r="O67" s="16">
        <v>1</v>
      </c>
    </row>
    <row r="68" spans="1:15" s="16" customFormat="1" x14ac:dyDescent="0.25">
      <c r="A68" s="16">
        <v>8003879954</v>
      </c>
      <c r="B68" s="16">
        <v>1</v>
      </c>
      <c r="C68" s="16">
        <v>14052018</v>
      </c>
      <c r="D68" s="16">
        <v>323</v>
      </c>
      <c r="E68" s="16" t="s">
        <v>50</v>
      </c>
      <c r="F68" s="16">
        <v>0</v>
      </c>
      <c r="G68" s="16" t="s">
        <v>920</v>
      </c>
      <c r="H68" s="10">
        <v>1501.6</v>
      </c>
      <c r="I68" s="16" t="s">
        <v>26</v>
      </c>
      <c r="J68" s="10">
        <v>42713.83</v>
      </c>
      <c r="K68" s="16" t="s">
        <v>27</v>
      </c>
      <c r="L68" s="16">
        <v>22408</v>
      </c>
      <c r="M68" s="16" t="s">
        <v>32</v>
      </c>
      <c r="O68" s="16">
        <v>1</v>
      </c>
    </row>
    <row r="69" spans="1:15" s="16" customFormat="1" x14ac:dyDescent="0.25">
      <c r="A69" s="16">
        <v>8003879954</v>
      </c>
      <c r="B69" s="16">
        <v>9</v>
      </c>
      <c r="C69" s="16">
        <v>7052018</v>
      </c>
      <c r="D69" s="16">
        <v>299</v>
      </c>
      <c r="E69" s="16" t="s">
        <v>30</v>
      </c>
      <c r="H69" s="10">
        <v>0.03</v>
      </c>
      <c r="I69" s="16" t="s">
        <v>26</v>
      </c>
      <c r="J69" s="10">
        <v>44215.43</v>
      </c>
      <c r="K69" s="16" t="s">
        <v>27</v>
      </c>
      <c r="L69" s="16">
        <v>10737</v>
      </c>
      <c r="M69" s="16" t="s">
        <v>32</v>
      </c>
      <c r="O69" s="16">
        <v>1</v>
      </c>
    </row>
    <row r="70" spans="1:15" s="16" customFormat="1" x14ac:dyDescent="0.25">
      <c r="A70" s="16">
        <v>8003879954</v>
      </c>
      <c r="B70" s="16">
        <v>8</v>
      </c>
      <c r="C70" s="16">
        <v>7052018</v>
      </c>
      <c r="D70" s="16">
        <v>819</v>
      </c>
      <c r="E70" s="16" t="s">
        <v>35</v>
      </c>
      <c r="H70" s="10">
        <v>0.5</v>
      </c>
      <c r="I70" s="16" t="s">
        <v>26</v>
      </c>
      <c r="J70" s="10">
        <v>44215.46</v>
      </c>
      <c r="K70" s="16" t="s">
        <v>27</v>
      </c>
      <c r="L70" s="16">
        <v>10737</v>
      </c>
      <c r="M70" s="16" t="s">
        <v>32</v>
      </c>
      <c r="O70" s="16">
        <v>1</v>
      </c>
    </row>
    <row r="71" spans="1:15" s="16" customFormat="1" x14ac:dyDescent="0.25">
      <c r="A71" s="16">
        <v>8003879954</v>
      </c>
      <c r="B71" s="16">
        <v>7</v>
      </c>
      <c r="C71" s="16">
        <v>7052018</v>
      </c>
      <c r="D71" s="16">
        <v>299</v>
      </c>
      <c r="E71" s="16" t="s">
        <v>30</v>
      </c>
      <c r="H71" s="10">
        <v>0.09</v>
      </c>
      <c r="I71" s="16" t="s">
        <v>26</v>
      </c>
      <c r="J71" s="10">
        <v>44215.96</v>
      </c>
      <c r="K71" s="16" t="s">
        <v>27</v>
      </c>
      <c r="L71" s="16">
        <v>10737</v>
      </c>
      <c r="M71" s="16" t="s">
        <v>32</v>
      </c>
      <c r="O71" s="16">
        <v>1</v>
      </c>
    </row>
    <row r="72" spans="1:15" s="16" customFormat="1" x14ac:dyDescent="0.25">
      <c r="A72" s="16">
        <v>8003879954</v>
      </c>
      <c r="B72" s="16">
        <v>6</v>
      </c>
      <c r="C72" s="16">
        <v>7052018</v>
      </c>
      <c r="D72" s="16">
        <v>819</v>
      </c>
      <c r="E72" s="16" t="s">
        <v>35</v>
      </c>
      <c r="H72" s="10">
        <v>1.5</v>
      </c>
      <c r="I72" s="16" t="s">
        <v>26</v>
      </c>
      <c r="J72" s="10">
        <v>44216.05</v>
      </c>
      <c r="K72" s="16" t="s">
        <v>27</v>
      </c>
      <c r="L72" s="16">
        <v>10737</v>
      </c>
      <c r="M72" s="16" t="s">
        <v>32</v>
      </c>
      <c r="O72" s="16">
        <v>1</v>
      </c>
    </row>
    <row r="73" spans="1:15" s="16" customFormat="1" x14ac:dyDescent="0.25">
      <c r="A73" s="16">
        <v>8003879954</v>
      </c>
      <c r="B73" s="16">
        <v>5</v>
      </c>
      <c r="C73" s="16">
        <v>7052018</v>
      </c>
      <c r="D73" s="16">
        <v>323</v>
      </c>
      <c r="E73" s="16" t="s">
        <v>50</v>
      </c>
      <c r="F73" s="16">
        <v>0</v>
      </c>
      <c r="G73" s="16" t="s">
        <v>921</v>
      </c>
      <c r="H73" s="10">
        <v>170</v>
      </c>
      <c r="I73" s="16" t="s">
        <v>26</v>
      </c>
      <c r="J73" s="10">
        <v>44217.55</v>
      </c>
      <c r="K73" s="16" t="s">
        <v>27</v>
      </c>
      <c r="L73" s="16">
        <v>10530</v>
      </c>
      <c r="M73" s="16" t="s">
        <v>32</v>
      </c>
      <c r="O73" s="16">
        <v>1</v>
      </c>
    </row>
    <row r="74" spans="1:15" s="16" customFormat="1" x14ac:dyDescent="0.25">
      <c r="A74" s="16">
        <v>8003879954</v>
      </c>
      <c r="B74" s="16">
        <v>4</v>
      </c>
      <c r="C74" s="16">
        <v>7052018</v>
      </c>
      <c r="D74" s="16">
        <v>323</v>
      </c>
      <c r="E74" s="16" t="s">
        <v>50</v>
      </c>
      <c r="F74" s="16">
        <v>0</v>
      </c>
      <c r="G74" s="16" t="s">
        <v>922</v>
      </c>
      <c r="H74" s="10">
        <v>2100000</v>
      </c>
      <c r="I74" s="16" t="s">
        <v>26</v>
      </c>
      <c r="J74" s="10">
        <v>44387.55</v>
      </c>
      <c r="K74" s="16" t="s">
        <v>27</v>
      </c>
      <c r="L74" s="16">
        <v>10530</v>
      </c>
      <c r="M74" s="16" t="s">
        <v>32</v>
      </c>
      <c r="O74" s="16">
        <v>1</v>
      </c>
    </row>
    <row r="75" spans="1:15" s="16" customFormat="1" x14ac:dyDescent="0.25">
      <c r="A75" s="16">
        <v>8003879954</v>
      </c>
      <c r="B75" s="16">
        <v>3</v>
      </c>
      <c r="C75" s="16">
        <v>7052018</v>
      </c>
      <c r="D75" s="16">
        <v>321</v>
      </c>
      <c r="E75" s="16" t="s">
        <v>36</v>
      </c>
      <c r="F75" s="16">
        <v>0</v>
      </c>
      <c r="G75" s="16" t="s">
        <v>923</v>
      </c>
      <c r="H75" s="10">
        <v>4608.8500000000004</v>
      </c>
      <c r="I75" s="16" t="s">
        <v>26</v>
      </c>
      <c r="J75" s="10">
        <v>2144387.5499999998</v>
      </c>
      <c r="K75" s="16" t="s">
        <v>27</v>
      </c>
      <c r="L75" s="16">
        <v>10530</v>
      </c>
      <c r="M75" s="16" t="s">
        <v>32</v>
      </c>
      <c r="O75" s="16">
        <v>1</v>
      </c>
    </row>
    <row r="76" spans="1:15" s="16" customFormat="1" x14ac:dyDescent="0.25">
      <c r="A76" s="16">
        <v>8003879954</v>
      </c>
      <c r="B76" s="16">
        <v>2</v>
      </c>
      <c r="C76" s="16">
        <v>7052018</v>
      </c>
      <c r="D76" s="16">
        <v>323</v>
      </c>
      <c r="E76" s="16" t="s">
        <v>50</v>
      </c>
      <c r="F76" s="16">
        <v>0</v>
      </c>
      <c r="G76" s="16" t="s">
        <v>924</v>
      </c>
      <c r="H76" s="10">
        <v>21688</v>
      </c>
      <c r="I76" s="16" t="s">
        <v>26</v>
      </c>
      <c r="J76" s="10">
        <v>2148996.4</v>
      </c>
      <c r="K76" s="16" t="s">
        <v>27</v>
      </c>
      <c r="L76" s="16">
        <v>10530</v>
      </c>
      <c r="M76" s="16" t="s">
        <v>32</v>
      </c>
      <c r="O76" s="16">
        <v>1</v>
      </c>
    </row>
    <row r="77" spans="1:15" s="16" customFormat="1" x14ac:dyDescent="0.25">
      <c r="A77" s="16">
        <v>8003879954</v>
      </c>
      <c r="B77" s="16">
        <v>1</v>
      </c>
      <c r="C77" s="16">
        <v>7052018</v>
      </c>
      <c r="D77" s="16">
        <v>341</v>
      </c>
      <c r="E77" s="16" t="s">
        <v>925</v>
      </c>
      <c r="F77" s="16">
        <v>722</v>
      </c>
      <c r="G77" s="16" t="s">
        <v>926</v>
      </c>
      <c r="H77" s="10">
        <v>79.92</v>
      </c>
      <c r="I77" s="16" t="s">
        <v>26</v>
      </c>
      <c r="J77" s="10">
        <v>2170684.4</v>
      </c>
      <c r="K77" s="16" t="s">
        <v>27</v>
      </c>
      <c r="L77" s="16">
        <v>155550</v>
      </c>
      <c r="M77" s="16" t="s">
        <v>32</v>
      </c>
      <c r="O77" s="16">
        <v>1</v>
      </c>
    </row>
    <row r="78" spans="1:15" s="16" customFormat="1" x14ac:dyDescent="0.25">
      <c r="A78" s="16">
        <v>8003879954</v>
      </c>
      <c r="B78" s="16">
        <v>58</v>
      </c>
      <c r="C78" s="16">
        <v>4052018</v>
      </c>
      <c r="D78" s="16">
        <v>299</v>
      </c>
      <c r="E78" s="16" t="s">
        <v>30</v>
      </c>
      <c r="H78" s="10">
        <v>0.03</v>
      </c>
      <c r="I78" s="16" t="s">
        <v>26</v>
      </c>
      <c r="J78" s="10">
        <v>2170764.3199999998</v>
      </c>
      <c r="K78" s="16" t="s">
        <v>27</v>
      </c>
      <c r="L78" s="16">
        <v>5541</v>
      </c>
      <c r="M78" s="16" t="s">
        <v>32</v>
      </c>
      <c r="O78" s="16">
        <v>1</v>
      </c>
    </row>
    <row r="79" spans="1:15" s="16" customFormat="1" x14ac:dyDescent="0.25">
      <c r="A79" s="16">
        <v>8003879954</v>
      </c>
      <c r="B79" s="16">
        <v>57</v>
      </c>
      <c r="C79" s="16">
        <v>4052018</v>
      </c>
      <c r="D79" s="16">
        <v>819</v>
      </c>
      <c r="E79" s="16" t="s">
        <v>35</v>
      </c>
      <c r="H79" s="10">
        <v>0.5</v>
      </c>
      <c r="I79" s="16" t="s">
        <v>26</v>
      </c>
      <c r="J79" s="10">
        <v>2170764.35</v>
      </c>
      <c r="K79" s="16" t="s">
        <v>27</v>
      </c>
      <c r="L79" s="16">
        <v>5541</v>
      </c>
      <c r="M79" s="16" t="s">
        <v>32</v>
      </c>
      <c r="O79" s="16">
        <v>1</v>
      </c>
    </row>
    <row r="80" spans="1:15" s="16" customFormat="1" x14ac:dyDescent="0.25">
      <c r="A80" s="16">
        <v>8003879954</v>
      </c>
      <c r="B80" s="16">
        <v>56</v>
      </c>
      <c r="C80" s="16">
        <v>4052018</v>
      </c>
      <c r="D80" s="16">
        <v>299</v>
      </c>
      <c r="E80" s="16" t="s">
        <v>30</v>
      </c>
      <c r="H80" s="10">
        <v>0.03</v>
      </c>
      <c r="I80" s="16" t="s">
        <v>26</v>
      </c>
      <c r="J80" s="10">
        <v>2170764.85</v>
      </c>
      <c r="K80" s="16" t="s">
        <v>27</v>
      </c>
      <c r="L80" s="16">
        <v>5541</v>
      </c>
      <c r="M80" s="16" t="s">
        <v>32</v>
      </c>
      <c r="O80" s="16">
        <v>1</v>
      </c>
    </row>
    <row r="81" spans="1:18" s="16" customFormat="1" x14ac:dyDescent="0.25">
      <c r="A81" s="16">
        <v>8003879954</v>
      </c>
      <c r="B81" s="16">
        <v>55</v>
      </c>
      <c r="C81" s="16">
        <v>4052018</v>
      </c>
      <c r="D81" s="16">
        <v>819</v>
      </c>
      <c r="E81" s="16" t="s">
        <v>35</v>
      </c>
      <c r="H81" s="10">
        <v>0.5</v>
      </c>
      <c r="I81" s="16" t="s">
        <v>26</v>
      </c>
      <c r="J81" s="10">
        <v>2170764.88</v>
      </c>
      <c r="K81" s="16" t="s">
        <v>27</v>
      </c>
      <c r="L81" s="16">
        <v>5541</v>
      </c>
      <c r="M81" s="16" t="s">
        <v>32</v>
      </c>
      <c r="O81" s="16">
        <v>1</v>
      </c>
    </row>
    <row r="82" spans="1:18" s="16" customFormat="1" x14ac:dyDescent="0.25">
      <c r="A82" s="16">
        <v>8003879954</v>
      </c>
      <c r="B82" s="16">
        <v>54</v>
      </c>
      <c r="C82" s="16">
        <v>4052018</v>
      </c>
      <c r="D82" s="16">
        <v>323</v>
      </c>
      <c r="E82" s="16" t="s">
        <v>50</v>
      </c>
      <c r="F82" s="16">
        <v>0</v>
      </c>
      <c r="G82" s="16" t="s">
        <v>927</v>
      </c>
      <c r="H82" s="10">
        <v>10667.84</v>
      </c>
      <c r="I82" s="16" t="s">
        <v>26</v>
      </c>
      <c r="J82" s="10">
        <v>2170765.38</v>
      </c>
      <c r="K82" s="16" t="s">
        <v>27</v>
      </c>
      <c r="L82" s="16">
        <v>5314</v>
      </c>
      <c r="M82" s="16" t="s">
        <v>32</v>
      </c>
      <c r="O82" s="16">
        <v>1</v>
      </c>
    </row>
    <row r="83" spans="1:18" s="16" customFormat="1" x14ac:dyDescent="0.25">
      <c r="A83" s="16">
        <v>8003879954</v>
      </c>
      <c r="B83" s="16">
        <v>53</v>
      </c>
      <c r="C83" s="16">
        <v>4052018</v>
      </c>
      <c r="D83" s="16">
        <v>321</v>
      </c>
      <c r="E83" s="16" t="s">
        <v>36</v>
      </c>
      <c r="F83" s="16">
        <v>0</v>
      </c>
      <c r="G83" s="16" t="s">
        <v>928</v>
      </c>
      <c r="H83" s="10">
        <v>495.55</v>
      </c>
      <c r="I83" s="16" t="s">
        <v>26</v>
      </c>
      <c r="J83" s="10">
        <v>2181433.2200000002</v>
      </c>
      <c r="K83" s="16" t="s">
        <v>27</v>
      </c>
      <c r="L83" s="16">
        <v>5314</v>
      </c>
      <c r="M83" s="16" t="s">
        <v>32</v>
      </c>
      <c r="O83" s="16">
        <v>1</v>
      </c>
    </row>
    <row r="84" spans="1:18" s="16" customFormat="1" x14ac:dyDescent="0.25">
      <c r="A84" s="16">
        <v>8003879954</v>
      </c>
      <c r="B84" s="16">
        <v>52</v>
      </c>
      <c r="C84" s="16">
        <v>4052018</v>
      </c>
      <c r="D84" s="16">
        <v>141</v>
      </c>
      <c r="E84" s="16" t="s">
        <v>53</v>
      </c>
      <c r="F84" s="16">
        <v>6379</v>
      </c>
      <c r="G84" s="16" t="s">
        <v>929</v>
      </c>
      <c r="H84" s="10">
        <v>231.7</v>
      </c>
      <c r="I84" s="16" t="s">
        <v>27</v>
      </c>
      <c r="J84" s="10">
        <v>2181928.77</v>
      </c>
      <c r="K84" s="16" t="s">
        <v>27</v>
      </c>
      <c r="L84" s="16">
        <v>180307</v>
      </c>
      <c r="M84" s="16" t="s">
        <v>32</v>
      </c>
      <c r="O84" s="16">
        <v>1</v>
      </c>
      <c r="P84" s="16" t="s">
        <v>930</v>
      </c>
      <c r="Q84" s="16" t="s">
        <v>931</v>
      </c>
      <c r="R84" s="16" t="s">
        <v>528</v>
      </c>
    </row>
    <row r="85" spans="1:18" s="16" customFormat="1" x14ac:dyDescent="0.25">
      <c r="A85" s="16">
        <v>8003879954</v>
      </c>
      <c r="B85" s="16">
        <v>51</v>
      </c>
      <c r="C85" s="16">
        <v>4052018</v>
      </c>
      <c r="D85" s="16">
        <v>341</v>
      </c>
      <c r="E85" s="16" t="s">
        <v>25</v>
      </c>
      <c r="F85" s="16">
        <v>9938</v>
      </c>
      <c r="G85" s="16" t="s">
        <v>932</v>
      </c>
      <c r="H85" s="10">
        <v>4020</v>
      </c>
      <c r="I85" s="16" t="s">
        <v>26</v>
      </c>
      <c r="J85" s="10">
        <v>2181697.0699999998</v>
      </c>
      <c r="K85" s="16" t="s">
        <v>27</v>
      </c>
      <c r="L85" s="16">
        <v>175718</v>
      </c>
      <c r="M85" s="16" t="s">
        <v>85</v>
      </c>
      <c r="O85" s="16">
        <v>1</v>
      </c>
      <c r="P85" s="16" t="s">
        <v>933</v>
      </c>
      <c r="Q85" s="16" t="s">
        <v>934</v>
      </c>
    </row>
    <row r="86" spans="1:18" s="16" customFormat="1" x14ac:dyDescent="0.25">
      <c r="A86" s="16">
        <v>8003879954</v>
      </c>
      <c r="B86" s="16">
        <v>50</v>
      </c>
      <c r="C86" s="16">
        <v>4052018</v>
      </c>
      <c r="D86" s="16">
        <v>299</v>
      </c>
      <c r="E86" s="16" t="s">
        <v>30</v>
      </c>
      <c r="F86" s="16">
        <v>9938</v>
      </c>
      <c r="G86" s="16" t="s">
        <v>932</v>
      </c>
      <c r="H86" s="10">
        <v>0.01</v>
      </c>
      <c r="I86" s="16" t="s">
        <v>26</v>
      </c>
      <c r="J86" s="10">
        <v>2185717.0699999998</v>
      </c>
      <c r="K86" s="16" t="s">
        <v>27</v>
      </c>
      <c r="L86" s="16">
        <v>175718</v>
      </c>
      <c r="M86" s="16" t="s">
        <v>935</v>
      </c>
      <c r="O86" s="16">
        <v>1</v>
      </c>
    </row>
    <row r="87" spans="1:18" s="16" customFormat="1" x14ac:dyDescent="0.25">
      <c r="A87" s="16">
        <v>8003879954</v>
      </c>
      <c r="B87" s="16">
        <v>49</v>
      </c>
      <c r="C87" s="16">
        <v>4052018</v>
      </c>
      <c r="D87" s="16">
        <v>489</v>
      </c>
      <c r="E87" s="16" t="s">
        <v>31</v>
      </c>
      <c r="F87" s="16">
        <v>9938</v>
      </c>
      <c r="G87" s="16" t="s">
        <v>932</v>
      </c>
      <c r="H87" s="10">
        <v>0.1</v>
      </c>
      <c r="I87" s="16" t="s">
        <v>26</v>
      </c>
      <c r="J87" s="10">
        <v>2185717.08</v>
      </c>
      <c r="K87" s="16" t="s">
        <v>27</v>
      </c>
      <c r="L87" s="16">
        <v>175718</v>
      </c>
      <c r="M87" s="16" t="s">
        <v>935</v>
      </c>
      <c r="O87" s="16">
        <v>1</v>
      </c>
    </row>
    <row r="88" spans="1:18" s="16" customFormat="1" x14ac:dyDescent="0.25">
      <c r="A88" s="16">
        <v>8003879954</v>
      </c>
      <c r="B88" s="16">
        <v>48</v>
      </c>
      <c r="C88" s="16">
        <v>4052018</v>
      </c>
      <c r="D88" s="16">
        <v>341</v>
      </c>
      <c r="E88" s="16" t="s">
        <v>25</v>
      </c>
      <c r="F88" s="16">
        <v>9938</v>
      </c>
      <c r="G88" s="16" t="s">
        <v>936</v>
      </c>
      <c r="H88" s="10">
        <v>241.04</v>
      </c>
      <c r="I88" s="16" t="s">
        <v>26</v>
      </c>
      <c r="J88" s="10">
        <v>2185717.1800000002</v>
      </c>
      <c r="K88" s="16" t="s">
        <v>27</v>
      </c>
      <c r="L88" s="16">
        <v>175716</v>
      </c>
      <c r="M88" s="16" t="s">
        <v>207</v>
      </c>
      <c r="O88" s="16">
        <v>1</v>
      </c>
      <c r="P88" s="16" t="s">
        <v>937</v>
      </c>
      <c r="Q88" s="16" t="s">
        <v>938</v>
      </c>
    </row>
    <row r="89" spans="1:18" s="16" customFormat="1" x14ac:dyDescent="0.25">
      <c r="A89" s="16">
        <v>8003879954</v>
      </c>
      <c r="B89" s="16">
        <v>47</v>
      </c>
      <c r="C89" s="16">
        <v>4052018</v>
      </c>
      <c r="D89" s="16">
        <v>299</v>
      </c>
      <c r="E89" s="16" t="s">
        <v>30</v>
      </c>
      <c r="F89" s="16">
        <v>9938</v>
      </c>
      <c r="G89" s="16" t="s">
        <v>936</v>
      </c>
      <c r="H89" s="10">
        <v>0.01</v>
      </c>
      <c r="I89" s="16" t="s">
        <v>26</v>
      </c>
      <c r="J89" s="10">
        <v>2185958.2200000002</v>
      </c>
      <c r="K89" s="16" t="s">
        <v>27</v>
      </c>
      <c r="L89" s="16">
        <v>175716</v>
      </c>
      <c r="M89" s="16" t="s">
        <v>939</v>
      </c>
      <c r="O89" s="16">
        <v>1</v>
      </c>
    </row>
    <row r="90" spans="1:18" s="16" customFormat="1" x14ac:dyDescent="0.25">
      <c r="A90" s="16">
        <v>8003879954</v>
      </c>
      <c r="B90" s="16">
        <v>46</v>
      </c>
      <c r="C90" s="16">
        <v>4052018</v>
      </c>
      <c r="D90" s="16">
        <v>489</v>
      </c>
      <c r="E90" s="16" t="s">
        <v>31</v>
      </c>
      <c r="F90" s="16">
        <v>9938</v>
      </c>
      <c r="G90" s="16" t="s">
        <v>936</v>
      </c>
      <c r="H90" s="10">
        <v>0.1</v>
      </c>
      <c r="I90" s="16" t="s">
        <v>26</v>
      </c>
      <c r="J90" s="10">
        <v>2185958.23</v>
      </c>
      <c r="K90" s="16" t="s">
        <v>27</v>
      </c>
      <c r="L90" s="16">
        <v>175716</v>
      </c>
      <c r="M90" s="16" t="s">
        <v>939</v>
      </c>
      <c r="O90" s="16">
        <v>1</v>
      </c>
    </row>
    <row r="91" spans="1:18" s="16" customFormat="1" x14ac:dyDescent="0.25">
      <c r="A91" s="16">
        <v>8003879954</v>
      </c>
      <c r="B91" s="16">
        <v>45</v>
      </c>
      <c r="C91" s="16">
        <v>4052018</v>
      </c>
      <c r="D91" s="16">
        <v>341</v>
      </c>
      <c r="E91" s="16" t="s">
        <v>25</v>
      </c>
      <c r="F91" s="16">
        <v>9938</v>
      </c>
      <c r="G91" s="16" t="s">
        <v>940</v>
      </c>
      <c r="H91" s="10">
        <v>1103</v>
      </c>
      <c r="I91" s="16" t="s">
        <v>26</v>
      </c>
      <c r="J91" s="10">
        <v>2185958.33</v>
      </c>
      <c r="K91" s="16" t="s">
        <v>27</v>
      </c>
      <c r="L91" s="16">
        <v>175716</v>
      </c>
      <c r="M91" s="16" t="s">
        <v>408</v>
      </c>
      <c r="O91" s="16">
        <v>1</v>
      </c>
      <c r="P91" s="16" t="s">
        <v>941</v>
      </c>
      <c r="Q91" s="16" t="s">
        <v>410</v>
      </c>
    </row>
    <row r="92" spans="1:18" s="16" customFormat="1" x14ac:dyDescent="0.25">
      <c r="A92" s="16">
        <v>8003879954</v>
      </c>
      <c r="B92" s="16">
        <v>44</v>
      </c>
      <c r="C92" s="16">
        <v>4052018</v>
      </c>
      <c r="D92" s="16">
        <v>299</v>
      </c>
      <c r="E92" s="16" t="s">
        <v>30</v>
      </c>
      <c r="F92" s="16">
        <v>9938</v>
      </c>
      <c r="G92" s="16" t="s">
        <v>940</v>
      </c>
      <c r="H92" s="10">
        <v>0.01</v>
      </c>
      <c r="I92" s="16" t="s">
        <v>26</v>
      </c>
      <c r="J92" s="10">
        <v>2187061.33</v>
      </c>
      <c r="K92" s="16" t="s">
        <v>27</v>
      </c>
      <c r="L92" s="16">
        <v>175716</v>
      </c>
      <c r="M92" s="16" t="s">
        <v>942</v>
      </c>
      <c r="O92" s="16">
        <v>1</v>
      </c>
    </row>
    <row r="93" spans="1:18" s="16" customFormat="1" x14ac:dyDescent="0.25">
      <c r="A93" s="16">
        <v>8003879954</v>
      </c>
      <c r="B93" s="16">
        <v>43</v>
      </c>
      <c r="C93" s="16">
        <v>4052018</v>
      </c>
      <c r="D93" s="16">
        <v>489</v>
      </c>
      <c r="E93" s="16" t="s">
        <v>31</v>
      </c>
      <c r="F93" s="16">
        <v>9938</v>
      </c>
      <c r="G93" s="16" t="s">
        <v>940</v>
      </c>
      <c r="H93" s="10">
        <v>0.1</v>
      </c>
      <c r="I93" s="16" t="s">
        <v>26</v>
      </c>
      <c r="J93" s="10">
        <v>2187061.34</v>
      </c>
      <c r="K93" s="16" t="s">
        <v>27</v>
      </c>
      <c r="L93" s="16">
        <v>175716</v>
      </c>
      <c r="M93" s="16" t="s">
        <v>942</v>
      </c>
      <c r="O93" s="16">
        <v>1</v>
      </c>
    </row>
    <row r="94" spans="1:18" s="16" customFormat="1" x14ac:dyDescent="0.25">
      <c r="A94" s="16">
        <v>8003879954</v>
      </c>
      <c r="B94" s="16">
        <v>42</v>
      </c>
      <c r="C94" s="16">
        <v>4052018</v>
      </c>
      <c r="D94" s="16">
        <v>60</v>
      </c>
      <c r="E94" s="16" t="s">
        <v>37</v>
      </c>
      <c r="F94" s="16">
        <v>9938</v>
      </c>
      <c r="G94" s="16" t="s">
        <v>943</v>
      </c>
      <c r="H94" s="10">
        <v>360</v>
      </c>
      <c r="I94" s="16" t="s">
        <v>26</v>
      </c>
      <c r="J94" s="10">
        <v>2187061.44</v>
      </c>
      <c r="K94" s="16" t="s">
        <v>27</v>
      </c>
      <c r="L94" s="16">
        <v>175512</v>
      </c>
      <c r="M94" s="16" t="s">
        <v>944</v>
      </c>
      <c r="O94" s="16">
        <v>1</v>
      </c>
      <c r="P94" s="16" t="s">
        <v>945</v>
      </c>
      <c r="Q94" s="16" t="s">
        <v>946</v>
      </c>
    </row>
    <row r="95" spans="1:18" s="16" customFormat="1" x14ac:dyDescent="0.25">
      <c r="A95" s="16">
        <v>8003879954</v>
      </c>
      <c r="B95" s="16">
        <v>41</v>
      </c>
      <c r="C95" s="16">
        <v>4052018</v>
      </c>
      <c r="D95" s="16">
        <v>341</v>
      </c>
      <c r="E95" s="16" t="s">
        <v>25</v>
      </c>
      <c r="F95" s="16">
        <v>9938</v>
      </c>
      <c r="G95" s="16" t="s">
        <v>947</v>
      </c>
      <c r="H95" s="10">
        <v>8131.21</v>
      </c>
      <c r="I95" s="16" t="s">
        <v>26</v>
      </c>
      <c r="J95" s="10">
        <v>2187421.44</v>
      </c>
      <c r="K95" s="16" t="s">
        <v>27</v>
      </c>
      <c r="L95" s="16">
        <v>175511</v>
      </c>
      <c r="M95" s="16" t="s">
        <v>240</v>
      </c>
      <c r="O95" s="16">
        <v>1</v>
      </c>
      <c r="P95" s="16" t="s">
        <v>948</v>
      </c>
      <c r="Q95" s="16" t="s">
        <v>949</v>
      </c>
    </row>
    <row r="96" spans="1:18" s="16" customFormat="1" x14ac:dyDescent="0.25">
      <c r="A96" s="16">
        <v>8003879954</v>
      </c>
      <c r="B96" s="16">
        <v>40</v>
      </c>
      <c r="C96" s="16">
        <v>4052018</v>
      </c>
      <c r="D96" s="16">
        <v>299</v>
      </c>
      <c r="E96" s="16" t="s">
        <v>30</v>
      </c>
      <c r="F96" s="16">
        <v>9938</v>
      </c>
      <c r="G96" s="16" t="s">
        <v>947</v>
      </c>
      <c r="H96" s="10">
        <v>0.01</v>
      </c>
      <c r="I96" s="16" t="s">
        <v>26</v>
      </c>
      <c r="J96" s="10">
        <v>2195552.65</v>
      </c>
      <c r="K96" s="16" t="s">
        <v>27</v>
      </c>
      <c r="L96" s="16">
        <v>175511</v>
      </c>
      <c r="M96" s="16" t="s">
        <v>950</v>
      </c>
      <c r="O96" s="16">
        <v>1</v>
      </c>
    </row>
    <row r="97" spans="1:17" s="16" customFormat="1" x14ac:dyDescent="0.25">
      <c r="A97" s="16">
        <v>8003879954</v>
      </c>
      <c r="B97" s="16">
        <v>39</v>
      </c>
      <c r="C97" s="16">
        <v>4052018</v>
      </c>
      <c r="D97" s="16">
        <v>489</v>
      </c>
      <c r="E97" s="16" t="s">
        <v>31</v>
      </c>
      <c r="F97" s="16">
        <v>9938</v>
      </c>
      <c r="G97" s="16" t="s">
        <v>947</v>
      </c>
      <c r="H97" s="10">
        <v>0.1</v>
      </c>
      <c r="I97" s="16" t="s">
        <v>26</v>
      </c>
      <c r="J97" s="10">
        <v>2195552.66</v>
      </c>
      <c r="K97" s="16" t="s">
        <v>27</v>
      </c>
      <c r="L97" s="16">
        <v>175511</v>
      </c>
      <c r="M97" s="16" t="s">
        <v>950</v>
      </c>
      <c r="O97" s="16">
        <v>1</v>
      </c>
    </row>
    <row r="98" spans="1:17" s="16" customFormat="1" x14ac:dyDescent="0.25">
      <c r="A98" s="16">
        <v>8003879954</v>
      </c>
      <c r="B98" s="16">
        <v>38</v>
      </c>
      <c r="C98" s="16">
        <v>4052018</v>
      </c>
      <c r="D98" s="16">
        <v>341</v>
      </c>
      <c r="E98" s="16" t="s">
        <v>25</v>
      </c>
      <c r="F98" s="16">
        <v>9938</v>
      </c>
      <c r="G98" s="16" t="s">
        <v>951</v>
      </c>
      <c r="H98" s="10">
        <v>6360</v>
      </c>
      <c r="I98" s="16" t="s">
        <v>26</v>
      </c>
      <c r="J98" s="10">
        <v>2195552.7599999998</v>
      </c>
      <c r="K98" s="16" t="s">
        <v>27</v>
      </c>
      <c r="L98" s="16">
        <v>175510</v>
      </c>
      <c r="M98" s="16" t="s">
        <v>952</v>
      </c>
      <c r="O98" s="16">
        <v>1</v>
      </c>
      <c r="P98" s="16" t="s">
        <v>953</v>
      </c>
      <c r="Q98" s="16" t="s">
        <v>954</v>
      </c>
    </row>
    <row r="99" spans="1:17" s="16" customFormat="1" x14ac:dyDescent="0.25">
      <c r="A99" s="16">
        <v>8003879954</v>
      </c>
      <c r="B99" s="16">
        <v>37</v>
      </c>
      <c r="C99" s="16">
        <v>4052018</v>
      </c>
      <c r="D99" s="16">
        <v>299</v>
      </c>
      <c r="E99" s="16" t="s">
        <v>30</v>
      </c>
      <c r="F99" s="16">
        <v>9938</v>
      </c>
      <c r="G99" s="16" t="s">
        <v>951</v>
      </c>
      <c r="H99" s="10">
        <v>0.01</v>
      </c>
      <c r="I99" s="16" t="s">
        <v>26</v>
      </c>
      <c r="J99" s="10">
        <v>2201912.7599999998</v>
      </c>
      <c r="K99" s="16" t="s">
        <v>27</v>
      </c>
      <c r="L99" s="16">
        <v>175510</v>
      </c>
      <c r="M99" s="16" t="s">
        <v>955</v>
      </c>
      <c r="O99" s="16">
        <v>1</v>
      </c>
    </row>
    <row r="100" spans="1:17" s="16" customFormat="1" x14ac:dyDescent="0.25">
      <c r="A100" s="16">
        <v>8003879954</v>
      </c>
      <c r="B100" s="16">
        <v>36</v>
      </c>
      <c r="C100" s="16">
        <v>4052018</v>
      </c>
      <c r="D100" s="16">
        <v>489</v>
      </c>
      <c r="E100" s="16" t="s">
        <v>31</v>
      </c>
      <c r="F100" s="16">
        <v>9938</v>
      </c>
      <c r="G100" s="16" t="s">
        <v>951</v>
      </c>
      <c r="H100" s="10">
        <v>0.1</v>
      </c>
      <c r="I100" s="16" t="s">
        <v>26</v>
      </c>
      <c r="J100" s="10">
        <v>2201912.77</v>
      </c>
      <c r="K100" s="16" t="s">
        <v>27</v>
      </c>
      <c r="L100" s="16">
        <v>175510</v>
      </c>
      <c r="M100" s="16" t="s">
        <v>955</v>
      </c>
      <c r="O100" s="16">
        <v>1</v>
      </c>
    </row>
    <row r="101" spans="1:17" s="16" customFormat="1" x14ac:dyDescent="0.25">
      <c r="A101" s="16">
        <v>8003879954</v>
      </c>
      <c r="B101" s="16">
        <v>35</v>
      </c>
      <c r="C101" s="16">
        <v>4052018</v>
      </c>
      <c r="D101" s="16">
        <v>345</v>
      </c>
      <c r="E101" s="16" t="s">
        <v>51</v>
      </c>
      <c r="F101" s="16">
        <v>9938</v>
      </c>
      <c r="G101" s="16" t="s">
        <v>956</v>
      </c>
      <c r="H101" s="10">
        <v>533.65</v>
      </c>
      <c r="I101" s="16" t="s">
        <v>26</v>
      </c>
      <c r="J101" s="10">
        <v>2201912.87</v>
      </c>
      <c r="K101" s="16" t="s">
        <v>27</v>
      </c>
      <c r="L101" s="16">
        <v>175511</v>
      </c>
      <c r="M101" s="16" t="s">
        <v>957</v>
      </c>
      <c r="O101" s="16">
        <v>1</v>
      </c>
      <c r="P101" s="16" t="s">
        <v>958</v>
      </c>
      <c r="Q101" s="16" t="s">
        <v>52</v>
      </c>
    </row>
    <row r="102" spans="1:17" s="16" customFormat="1" x14ac:dyDescent="0.25">
      <c r="A102" s="16">
        <v>8003879954</v>
      </c>
      <c r="B102" s="16">
        <v>34</v>
      </c>
      <c r="C102" s="16">
        <v>4052018</v>
      </c>
      <c r="D102" s="16">
        <v>345</v>
      </c>
      <c r="E102" s="16" t="s">
        <v>51</v>
      </c>
      <c r="F102" s="16">
        <v>9938</v>
      </c>
      <c r="G102" s="16" t="s">
        <v>959</v>
      </c>
      <c r="H102" s="10">
        <v>2300</v>
      </c>
      <c r="I102" s="16" t="s">
        <v>26</v>
      </c>
      <c r="J102" s="10">
        <v>2202446.52</v>
      </c>
      <c r="K102" s="16" t="s">
        <v>27</v>
      </c>
      <c r="L102" s="16">
        <v>175511</v>
      </c>
      <c r="M102" s="16" t="s">
        <v>960</v>
      </c>
      <c r="O102" s="16">
        <v>1</v>
      </c>
      <c r="P102" s="16" t="s">
        <v>961</v>
      </c>
      <c r="Q102" s="16" t="s">
        <v>962</v>
      </c>
    </row>
    <row r="103" spans="1:17" s="16" customFormat="1" x14ac:dyDescent="0.25">
      <c r="A103" s="16">
        <v>8003879954</v>
      </c>
      <c r="B103" s="16">
        <v>33</v>
      </c>
      <c r="C103" s="16">
        <v>4052018</v>
      </c>
      <c r="D103" s="16">
        <v>345</v>
      </c>
      <c r="E103" s="16" t="s">
        <v>51</v>
      </c>
      <c r="F103" s="16">
        <v>9938</v>
      </c>
      <c r="G103" s="16" t="s">
        <v>963</v>
      </c>
      <c r="H103" s="10">
        <v>859.48</v>
      </c>
      <c r="I103" s="16" t="s">
        <v>26</v>
      </c>
      <c r="J103" s="10">
        <v>2204746.52</v>
      </c>
      <c r="K103" s="16" t="s">
        <v>27</v>
      </c>
      <c r="L103" s="16">
        <v>175511</v>
      </c>
      <c r="M103" s="16" t="s">
        <v>964</v>
      </c>
      <c r="O103" s="16">
        <v>1</v>
      </c>
      <c r="P103" s="16" t="s">
        <v>965</v>
      </c>
      <c r="Q103" s="16" t="s">
        <v>52</v>
      </c>
    </row>
    <row r="104" spans="1:17" s="16" customFormat="1" x14ac:dyDescent="0.25">
      <c r="A104" s="16">
        <v>8003879954</v>
      </c>
      <c r="B104" s="16">
        <v>32</v>
      </c>
      <c r="C104" s="16">
        <v>4052018</v>
      </c>
      <c r="D104" s="16">
        <v>341</v>
      </c>
      <c r="E104" s="16" t="s">
        <v>25</v>
      </c>
      <c r="F104" s="16">
        <v>9938</v>
      </c>
      <c r="G104" s="16" t="s">
        <v>966</v>
      </c>
      <c r="H104" s="10">
        <v>531</v>
      </c>
      <c r="I104" s="16" t="s">
        <v>26</v>
      </c>
      <c r="J104" s="10">
        <v>2205606</v>
      </c>
      <c r="K104" s="16" t="s">
        <v>27</v>
      </c>
      <c r="L104" s="16">
        <v>175510</v>
      </c>
      <c r="M104" s="16" t="s">
        <v>967</v>
      </c>
      <c r="O104" s="16">
        <v>1</v>
      </c>
      <c r="P104" s="16" t="s">
        <v>968</v>
      </c>
      <c r="Q104" s="16" t="s">
        <v>969</v>
      </c>
    </row>
    <row r="105" spans="1:17" s="16" customFormat="1" x14ac:dyDescent="0.25">
      <c r="A105" s="16">
        <v>8003879954</v>
      </c>
      <c r="B105" s="16">
        <v>31</v>
      </c>
      <c r="C105" s="16">
        <v>4052018</v>
      </c>
      <c r="D105" s="16">
        <v>299</v>
      </c>
      <c r="E105" s="16" t="s">
        <v>30</v>
      </c>
      <c r="F105" s="16">
        <v>9938</v>
      </c>
      <c r="G105" s="16" t="s">
        <v>966</v>
      </c>
      <c r="H105" s="10">
        <v>0.01</v>
      </c>
      <c r="I105" s="16" t="s">
        <v>26</v>
      </c>
      <c r="J105" s="10">
        <v>2206137</v>
      </c>
      <c r="K105" s="16" t="s">
        <v>27</v>
      </c>
      <c r="L105" s="16">
        <v>175510</v>
      </c>
      <c r="M105" s="16" t="s">
        <v>970</v>
      </c>
      <c r="O105" s="16">
        <v>1</v>
      </c>
    </row>
    <row r="106" spans="1:17" s="16" customFormat="1" x14ac:dyDescent="0.25">
      <c r="A106" s="16">
        <v>8003879954</v>
      </c>
      <c r="B106" s="16">
        <v>30</v>
      </c>
      <c r="C106" s="16">
        <v>4052018</v>
      </c>
      <c r="D106" s="16">
        <v>489</v>
      </c>
      <c r="E106" s="16" t="s">
        <v>31</v>
      </c>
      <c r="F106" s="16">
        <v>9938</v>
      </c>
      <c r="G106" s="16" t="s">
        <v>966</v>
      </c>
      <c r="H106" s="10">
        <v>0.1</v>
      </c>
      <c r="I106" s="16" t="s">
        <v>26</v>
      </c>
      <c r="J106" s="10">
        <v>2206137.0099999998</v>
      </c>
      <c r="K106" s="16" t="s">
        <v>27</v>
      </c>
      <c r="L106" s="16">
        <v>175510</v>
      </c>
      <c r="M106" s="16" t="s">
        <v>970</v>
      </c>
      <c r="O106" s="16">
        <v>1</v>
      </c>
    </row>
    <row r="107" spans="1:17" s="16" customFormat="1" x14ac:dyDescent="0.25">
      <c r="A107" s="16">
        <v>8003879954</v>
      </c>
      <c r="B107" s="16">
        <v>29</v>
      </c>
      <c r="C107" s="16">
        <v>4052018</v>
      </c>
      <c r="D107" s="16">
        <v>341</v>
      </c>
      <c r="E107" s="16" t="s">
        <v>25</v>
      </c>
      <c r="F107" s="16">
        <v>9938</v>
      </c>
      <c r="G107" s="16" t="s">
        <v>971</v>
      </c>
      <c r="H107" s="10">
        <v>360</v>
      </c>
      <c r="I107" s="16" t="s">
        <v>26</v>
      </c>
      <c r="J107" s="10">
        <v>2206137.11</v>
      </c>
      <c r="K107" s="16" t="s">
        <v>27</v>
      </c>
      <c r="L107" s="16">
        <v>175510</v>
      </c>
      <c r="M107" s="16" t="s">
        <v>47</v>
      </c>
      <c r="O107" s="16">
        <v>1</v>
      </c>
      <c r="P107" s="16" t="s">
        <v>972</v>
      </c>
      <c r="Q107" s="16" t="s">
        <v>973</v>
      </c>
    </row>
    <row r="108" spans="1:17" s="16" customFormat="1" x14ac:dyDescent="0.25">
      <c r="A108" s="16">
        <v>8003879954</v>
      </c>
      <c r="B108" s="16">
        <v>28</v>
      </c>
      <c r="C108" s="16">
        <v>4052018</v>
      </c>
      <c r="D108" s="16">
        <v>299</v>
      </c>
      <c r="E108" s="16" t="s">
        <v>30</v>
      </c>
      <c r="F108" s="16">
        <v>9938</v>
      </c>
      <c r="G108" s="16" t="s">
        <v>971</v>
      </c>
      <c r="H108" s="10">
        <v>0.01</v>
      </c>
      <c r="I108" s="16" t="s">
        <v>26</v>
      </c>
      <c r="J108" s="10">
        <v>2206497.11</v>
      </c>
      <c r="K108" s="16" t="s">
        <v>27</v>
      </c>
      <c r="L108" s="16">
        <v>175510</v>
      </c>
      <c r="M108" s="16" t="s">
        <v>974</v>
      </c>
      <c r="O108" s="16">
        <v>1</v>
      </c>
    </row>
    <row r="109" spans="1:17" s="16" customFormat="1" x14ac:dyDescent="0.25">
      <c r="A109" s="16">
        <v>8003879954</v>
      </c>
      <c r="B109" s="16">
        <v>27</v>
      </c>
      <c r="C109" s="16">
        <v>4052018</v>
      </c>
      <c r="D109" s="16">
        <v>489</v>
      </c>
      <c r="E109" s="16" t="s">
        <v>31</v>
      </c>
      <c r="F109" s="16">
        <v>9938</v>
      </c>
      <c r="G109" s="16" t="s">
        <v>971</v>
      </c>
      <c r="H109" s="10">
        <v>0.1</v>
      </c>
      <c r="I109" s="16" t="s">
        <v>26</v>
      </c>
      <c r="J109" s="10">
        <v>2206497.12</v>
      </c>
      <c r="K109" s="16" t="s">
        <v>27</v>
      </c>
      <c r="L109" s="16">
        <v>175510</v>
      </c>
      <c r="M109" s="16" t="s">
        <v>974</v>
      </c>
      <c r="O109" s="16">
        <v>1</v>
      </c>
    </row>
    <row r="110" spans="1:17" s="16" customFormat="1" x14ac:dyDescent="0.25">
      <c r="A110" s="16">
        <v>8003879954</v>
      </c>
      <c r="B110" s="16">
        <v>26</v>
      </c>
      <c r="C110" s="16">
        <v>4052018</v>
      </c>
      <c r="D110" s="16">
        <v>345</v>
      </c>
      <c r="E110" s="16" t="s">
        <v>51</v>
      </c>
      <c r="F110" s="16">
        <v>9938</v>
      </c>
      <c r="G110" s="16" t="s">
        <v>975</v>
      </c>
      <c r="H110" s="10">
        <v>652.29999999999995</v>
      </c>
      <c r="I110" s="16" t="s">
        <v>26</v>
      </c>
      <c r="J110" s="10">
        <v>2206497.2200000002</v>
      </c>
      <c r="K110" s="16" t="s">
        <v>27</v>
      </c>
      <c r="L110" s="16">
        <v>175510</v>
      </c>
      <c r="M110" s="16" t="s">
        <v>976</v>
      </c>
      <c r="O110" s="16">
        <v>1</v>
      </c>
      <c r="P110" s="16" t="s">
        <v>977</v>
      </c>
      <c r="Q110" s="16" t="s">
        <v>52</v>
      </c>
    </row>
    <row r="111" spans="1:17" s="16" customFormat="1" x14ac:dyDescent="0.25">
      <c r="A111" s="16">
        <v>8003879954</v>
      </c>
      <c r="B111" s="16">
        <v>25</v>
      </c>
      <c r="C111" s="16">
        <v>4052018</v>
      </c>
      <c r="D111" s="16">
        <v>60</v>
      </c>
      <c r="E111" s="16" t="s">
        <v>37</v>
      </c>
      <c r="F111" s="16">
        <v>9938</v>
      </c>
      <c r="G111" s="16" t="s">
        <v>978</v>
      </c>
      <c r="H111" s="10">
        <v>9908.2800000000007</v>
      </c>
      <c r="I111" s="16" t="s">
        <v>26</v>
      </c>
      <c r="J111" s="10">
        <v>2207149.52</v>
      </c>
      <c r="K111" s="16" t="s">
        <v>27</v>
      </c>
      <c r="L111" s="16">
        <v>175510</v>
      </c>
      <c r="M111" s="16" t="s">
        <v>979</v>
      </c>
      <c r="O111" s="16">
        <v>1</v>
      </c>
      <c r="P111" s="16" t="s">
        <v>980</v>
      </c>
      <c r="Q111" s="16" t="s">
        <v>981</v>
      </c>
    </row>
    <row r="112" spans="1:17" s="16" customFormat="1" x14ac:dyDescent="0.25">
      <c r="A112" s="16">
        <v>8003879954</v>
      </c>
      <c r="B112" s="16">
        <v>24</v>
      </c>
      <c r="C112" s="16">
        <v>4052018</v>
      </c>
      <c r="D112" s="16">
        <v>341</v>
      </c>
      <c r="E112" s="16" t="s">
        <v>25</v>
      </c>
      <c r="F112" s="16">
        <v>9938</v>
      </c>
      <c r="G112" s="16" t="s">
        <v>982</v>
      </c>
      <c r="H112" s="10">
        <v>304</v>
      </c>
      <c r="I112" s="16" t="s">
        <v>26</v>
      </c>
      <c r="J112" s="10">
        <v>2217057.7999999998</v>
      </c>
      <c r="K112" s="16" t="s">
        <v>27</v>
      </c>
      <c r="L112" s="16">
        <v>174840</v>
      </c>
      <c r="M112" s="16" t="s">
        <v>119</v>
      </c>
      <c r="O112" s="16">
        <v>1</v>
      </c>
      <c r="P112" s="16" t="s">
        <v>983</v>
      </c>
      <c r="Q112" s="16" t="s">
        <v>984</v>
      </c>
    </row>
    <row r="113" spans="1:17" s="16" customFormat="1" x14ac:dyDescent="0.25">
      <c r="A113" s="16">
        <v>8003879954</v>
      </c>
      <c r="B113" s="16">
        <v>23</v>
      </c>
      <c r="C113" s="16">
        <v>4052018</v>
      </c>
      <c r="D113" s="16">
        <v>299</v>
      </c>
      <c r="E113" s="16" t="s">
        <v>30</v>
      </c>
      <c r="F113" s="16">
        <v>9938</v>
      </c>
      <c r="G113" s="16" t="s">
        <v>982</v>
      </c>
      <c r="H113" s="10">
        <v>0.01</v>
      </c>
      <c r="I113" s="16" t="s">
        <v>26</v>
      </c>
      <c r="J113" s="10">
        <v>2217361.7999999998</v>
      </c>
      <c r="K113" s="16" t="s">
        <v>27</v>
      </c>
      <c r="L113" s="16">
        <v>174840</v>
      </c>
      <c r="M113" s="16" t="s">
        <v>985</v>
      </c>
      <c r="O113" s="16">
        <v>1</v>
      </c>
    </row>
    <row r="114" spans="1:17" s="16" customFormat="1" x14ac:dyDescent="0.25">
      <c r="A114" s="16">
        <v>8003879954</v>
      </c>
      <c r="B114" s="16">
        <v>22</v>
      </c>
      <c r="C114" s="16">
        <v>4052018</v>
      </c>
      <c r="D114" s="16">
        <v>489</v>
      </c>
      <c r="E114" s="16" t="s">
        <v>31</v>
      </c>
      <c r="F114" s="16">
        <v>9938</v>
      </c>
      <c r="G114" s="16" t="s">
        <v>982</v>
      </c>
      <c r="H114" s="10">
        <v>0.1</v>
      </c>
      <c r="I114" s="16" t="s">
        <v>26</v>
      </c>
      <c r="J114" s="10">
        <v>2217361.81</v>
      </c>
      <c r="K114" s="16" t="s">
        <v>27</v>
      </c>
      <c r="L114" s="16">
        <v>174840</v>
      </c>
      <c r="M114" s="16" t="s">
        <v>985</v>
      </c>
      <c r="O114" s="16">
        <v>1</v>
      </c>
    </row>
    <row r="115" spans="1:17" s="16" customFormat="1" x14ac:dyDescent="0.25">
      <c r="A115" s="16">
        <v>8003879954</v>
      </c>
      <c r="B115" s="16">
        <v>21</v>
      </c>
      <c r="C115" s="16">
        <v>4052018</v>
      </c>
      <c r="D115" s="16">
        <v>341</v>
      </c>
      <c r="E115" s="16" t="s">
        <v>25</v>
      </c>
      <c r="F115" s="16">
        <v>9938</v>
      </c>
      <c r="G115" s="16" t="s">
        <v>986</v>
      </c>
      <c r="H115" s="10">
        <v>2500</v>
      </c>
      <c r="I115" s="16" t="s">
        <v>26</v>
      </c>
      <c r="J115" s="10">
        <v>2217361.91</v>
      </c>
      <c r="K115" s="16" t="s">
        <v>27</v>
      </c>
      <c r="L115" s="16">
        <v>174836</v>
      </c>
      <c r="M115" s="16" t="s">
        <v>658</v>
      </c>
      <c r="O115" s="16">
        <v>1</v>
      </c>
      <c r="P115" s="16" t="s">
        <v>987</v>
      </c>
      <c r="Q115" s="16" t="s">
        <v>988</v>
      </c>
    </row>
    <row r="116" spans="1:17" s="16" customFormat="1" x14ac:dyDescent="0.25">
      <c r="A116" s="16">
        <v>8003879954</v>
      </c>
      <c r="B116" s="16">
        <v>20</v>
      </c>
      <c r="C116" s="16">
        <v>4052018</v>
      </c>
      <c r="D116" s="16">
        <v>299</v>
      </c>
      <c r="E116" s="16" t="s">
        <v>30</v>
      </c>
      <c r="F116" s="16">
        <v>9938</v>
      </c>
      <c r="G116" s="16" t="s">
        <v>986</v>
      </c>
      <c r="H116" s="10">
        <v>0.01</v>
      </c>
      <c r="I116" s="16" t="s">
        <v>26</v>
      </c>
      <c r="J116" s="10">
        <v>2219861.91</v>
      </c>
      <c r="K116" s="16" t="s">
        <v>27</v>
      </c>
      <c r="L116" s="16">
        <v>174836</v>
      </c>
      <c r="M116" s="16" t="s">
        <v>989</v>
      </c>
      <c r="O116" s="16">
        <v>1</v>
      </c>
    </row>
    <row r="117" spans="1:17" s="16" customFormat="1" x14ac:dyDescent="0.25">
      <c r="A117" s="16">
        <v>8003879954</v>
      </c>
      <c r="B117" s="16">
        <v>19</v>
      </c>
      <c r="C117" s="16">
        <v>4052018</v>
      </c>
      <c r="D117" s="16">
        <v>489</v>
      </c>
      <c r="E117" s="16" t="s">
        <v>31</v>
      </c>
      <c r="F117" s="16">
        <v>9938</v>
      </c>
      <c r="G117" s="16" t="s">
        <v>986</v>
      </c>
      <c r="H117" s="10">
        <v>0.1</v>
      </c>
      <c r="I117" s="16" t="s">
        <v>26</v>
      </c>
      <c r="J117" s="10">
        <v>2219861.92</v>
      </c>
      <c r="K117" s="16" t="s">
        <v>27</v>
      </c>
      <c r="L117" s="16">
        <v>174836</v>
      </c>
      <c r="M117" s="16" t="s">
        <v>989</v>
      </c>
      <c r="O117" s="16">
        <v>1</v>
      </c>
    </row>
    <row r="118" spans="1:17" s="16" customFormat="1" x14ac:dyDescent="0.25">
      <c r="A118" s="16">
        <v>8003879954</v>
      </c>
      <c r="B118" s="16">
        <v>18</v>
      </c>
      <c r="C118" s="16">
        <v>4052018</v>
      </c>
      <c r="D118" s="16">
        <v>60</v>
      </c>
      <c r="E118" s="16" t="s">
        <v>37</v>
      </c>
      <c r="F118" s="16">
        <v>9938</v>
      </c>
      <c r="G118" s="16" t="s">
        <v>990</v>
      </c>
      <c r="H118" s="10">
        <v>598.5</v>
      </c>
      <c r="I118" s="16" t="s">
        <v>26</v>
      </c>
      <c r="J118" s="10">
        <v>2219862.02</v>
      </c>
      <c r="K118" s="16" t="s">
        <v>27</v>
      </c>
      <c r="L118" s="16">
        <v>174839</v>
      </c>
      <c r="M118" s="16" t="s">
        <v>991</v>
      </c>
      <c r="O118" s="16">
        <v>1</v>
      </c>
      <c r="P118" s="16" t="s">
        <v>992</v>
      </c>
      <c r="Q118" s="16" t="s">
        <v>993</v>
      </c>
    </row>
    <row r="119" spans="1:17" s="16" customFormat="1" x14ac:dyDescent="0.25">
      <c r="A119" s="16">
        <v>8003879954</v>
      </c>
      <c r="B119" s="16">
        <v>17</v>
      </c>
      <c r="C119" s="16">
        <v>4052018</v>
      </c>
      <c r="D119" s="16">
        <v>60</v>
      </c>
      <c r="E119" s="16" t="s">
        <v>37</v>
      </c>
      <c r="F119" s="16">
        <v>9938</v>
      </c>
      <c r="G119" s="16" t="s">
        <v>994</v>
      </c>
      <c r="H119" s="10">
        <v>390</v>
      </c>
      <c r="I119" s="16" t="s">
        <v>26</v>
      </c>
      <c r="J119" s="10">
        <v>2220460.52</v>
      </c>
      <c r="K119" s="16" t="s">
        <v>27</v>
      </c>
      <c r="L119" s="16">
        <v>174838</v>
      </c>
      <c r="M119" s="16" t="s">
        <v>995</v>
      </c>
      <c r="O119" s="16">
        <v>1</v>
      </c>
      <c r="P119" s="16" t="s">
        <v>996</v>
      </c>
      <c r="Q119" s="16" t="s">
        <v>997</v>
      </c>
    </row>
    <row r="120" spans="1:17" s="16" customFormat="1" x14ac:dyDescent="0.25">
      <c r="A120" s="16">
        <v>8003879954</v>
      </c>
      <c r="B120" s="16">
        <v>16</v>
      </c>
      <c r="C120" s="16">
        <v>4052018</v>
      </c>
      <c r="D120" s="16">
        <v>341</v>
      </c>
      <c r="E120" s="16" t="s">
        <v>25</v>
      </c>
      <c r="F120" s="16">
        <v>9938</v>
      </c>
      <c r="G120" s="16" t="s">
        <v>998</v>
      </c>
      <c r="H120" s="10">
        <v>36</v>
      </c>
      <c r="I120" s="16" t="s">
        <v>26</v>
      </c>
      <c r="J120" s="10">
        <v>2220850.52</v>
      </c>
      <c r="K120" s="16" t="s">
        <v>27</v>
      </c>
      <c r="L120" s="16">
        <v>174838</v>
      </c>
      <c r="M120" s="16" t="s">
        <v>999</v>
      </c>
      <c r="O120" s="16">
        <v>1</v>
      </c>
      <c r="P120" s="16" t="s">
        <v>1000</v>
      </c>
      <c r="Q120" s="16" t="s">
        <v>1001</v>
      </c>
    </row>
    <row r="121" spans="1:17" s="16" customFormat="1" x14ac:dyDescent="0.25">
      <c r="A121" s="16">
        <v>8003879954</v>
      </c>
      <c r="B121" s="16">
        <v>15</v>
      </c>
      <c r="C121" s="16">
        <v>4052018</v>
      </c>
      <c r="D121" s="16">
        <v>299</v>
      </c>
      <c r="E121" s="16" t="s">
        <v>30</v>
      </c>
      <c r="F121" s="16">
        <v>9938</v>
      </c>
      <c r="G121" s="16" t="s">
        <v>998</v>
      </c>
      <c r="H121" s="10">
        <v>0.01</v>
      </c>
      <c r="I121" s="16" t="s">
        <v>26</v>
      </c>
      <c r="J121" s="10">
        <v>2220886.52</v>
      </c>
      <c r="K121" s="16" t="s">
        <v>27</v>
      </c>
      <c r="L121" s="16">
        <v>174838</v>
      </c>
      <c r="M121" s="16" t="s">
        <v>1002</v>
      </c>
      <c r="O121" s="16">
        <v>1</v>
      </c>
    </row>
    <row r="122" spans="1:17" s="16" customFormat="1" x14ac:dyDescent="0.25">
      <c r="A122" s="16">
        <v>8003879954</v>
      </c>
      <c r="B122" s="16">
        <v>14</v>
      </c>
      <c r="C122" s="16">
        <v>4052018</v>
      </c>
      <c r="D122" s="16">
        <v>489</v>
      </c>
      <c r="E122" s="16" t="s">
        <v>31</v>
      </c>
      <c r="F122" s="16">
        <v>9938</v>
      </c>
      <c r="G122" s="16" t="s">
        <v>998</v>
      </c>
      <c r="H122" s="10">
        <v>0.1</v>
      </c>
      <c r="I122" s="16" t="s">
        <v>26</v>
      </c>
      <c r="J122" s="10">
        <v>2220886.5299999998</v>
      </c>
      <c r="K122" s="16" t="s">
        <v>27</v>
      </c>
      <c r="L122" s="16">
        <v>174838</v>
      </c>
      <c r="M122" s="16" t="s">
        <v>1002</v>
      </c>
      <c r="O122" s="16">
        <v>1</v>
      </c>
    </row>
    <row r="123" spans="1:17" s="16" customFormat="1" x14ac:dyDescent="0.25">
      <c r="A123" s="16">
        <v>8003879954</v>
      </c>
      <c r="B123" s="16">
        <v>13</v>
      </c>
      <c r="C123" s="16">
        <v>4052018</v>
      </c>
      <c r="D123" s="16">
        <v>341</v>
      </c>
      <c r="E123" s="16" t="s">
        <v>25</v>
      </c>
      <c r="F123" s="16">
        <v>9938</v>
      </c>
      <c r="G123" s="16" t="s">
        <v>1003</v>
      </c>
      <c r="H123" s="10">
        <v>318</v>
      </c>
      <c r="I123" s="16" t="s">
        <v>26</v>
      </c>
      <c r="J123" s="10">
        <v>2220886.63</v>
      </c>
      <c r="K123" s="16" t="s">
        <v>27</v>
      </c>
      <c r="L123" s="16">
        <v>174836</v>
      </c>
      <c r="M123" s="16" t="s">
        <v>1004</v>
      </c>
      <c r="O123" s="16">
        <v>1</v>
      </c>
      <c r="P123" s="16" t="s">
        <v>1005</v>
      </c>
      <c r="Q123" s="16" t="s">
        <v>1006</v>
      </c>
    </row>
    <row r="124" spans="1:17" s="16" customFormat="1" x14ac:dyDescent="0.25">
      <c r="A124" s="16">
        <v>8003879954</v>
      </c>
      <c r="B124" s="16">
        <v>12</v>
      </c>
      <c r="C124" s="16">
        <v>4052018</v>
      </c>
      <c r="D124" s="16">
        <v>299</v>
      </c>
      <c r="E124" s="16" t="s">
        <v>30</v>
      </c>
      <c r="F124" s="16">
        <v>9938</v>
      </c>
      <c r="G124" s="16" t="s">
        <v>1003</v>
      </c>
      <c r="H124" s="10">
        <v>0.01</v>
      </c>
      <c r="I124" s="16" t="s">
        <v>26</v>
      </c>
      <c r="J124" s="10">
        <v>2221204.63</v>
      </c>
      <c r="K124" s="16" t="s">
        <v>27</v>
      </c>
      <c r="L124" s="16">
        <v>174836</v>
      </c>
      <c r="M124" s="16" t="s">
        <v>1007</v>
      </c>
      <c r="O124" s="16">
        <v>1</v>
      </c>
    </row>
    <row r="125" spans="1:17" s="16" customFormat="1" x14ac:dyDescent="0.25">
      <c r="A125" s="16">
        <v>8003879954</v>
      </c>
      <c r="B125" s="16">
        <v>11</v>
      </c>
      <c r="C125" s="16">
        <v>4052018</v>
      </c>
      <c r="D125" s="16">
        <v>489</v>
      </c>
      <c r="E125" s="16" t="s">
        <v>31</v>
      </c>
      <c r="F125" s="16">
        <v>9938</v>
      </c>
      <c r="G125" s="16" t="s">
        <v>1003</v>
      </c>
      <c r="H125" s="10">
        <v>0.1</v>
      </c>
      <c r="I125" s="16" t="s">
        <v>26</v>
      </c>
      <c r="J125" s="10">
        <v>2221204.64</v>
      </c>
      <c r="K125" s="16" t="s">
        <v>27</v>
      </c>
      <c r="L125" s="16">
        <v>174836</v>
      </c>
      <c r="M125" s="16" t="s">
        <v>1007</v>
      </c>
      <c r="O125" s="16">
        <v>1</v>
      </c>
    </row>
    <row r="126" spans="1:17" s="16" customFormat="1" x14ac:dyDescent="0.25">
      <c r="A126" s="16">
        <v>8003879954</v>
      </c>
      <c r="B126" s="16">
        <v>10</v>
      </c>
      <c r="C126" s="16">
        <v>4052018</v>
      </c>
      <c r="D126" s="16">
        <v>346</v>
      </c>
      <c r="E126" s="16" t="s">
        <v>137</v>
      </c>
      <c r="F126" s="16">
        <v>9938</v>
      </c>
      <c r="G126" s="16" t="s">
        <v>1008</v>
      </c>
      <c r="H126" s="10">
        <v>4453.54</v>
      </c>
      <c r="I126" s="16" t="s">
        <v>26</v>
      </c>
      <c r="J126" s="10">
        <v>2221204.7400000002</v>
      </c>
      <c r="K126" s="16" t="s">
        <v>27</v>
      </c>
      <c r="L126" s="16">
        <v>174837</v>
      </c>
      <c r="M126" s="16" t="s">
        <v>139</v>
      </c>
      <c r="O126" s="16">
        <v>1</v>
      </c>
      <c r="P126" s="16" t="s">
        <v>1009</v>
      </c>
      <c r="Q126" s="16" t="s">
        <v>1010</v>
      </c>
    </row>
    <row r="127" spans="1:17" s="16" customFormat="1" x14ac:dyDescent="0.25">
      <c r="A127" s="16">
        <v>8003879954</v>
      </c>
      <c r="B127" s="16">
        <v>9</v>
      </c>
      <c r="C127" s="16">
        <v>4052018</v>
      </c>
      <c r="D127" s="16">
        <v>341</v>
      </c>
      <c r="E127" s="16" t="s">
        <v>25</v>
      </c>
      <c r="F127" s="16">
        <v>9938</v>
      </c>
      <c r="G127" s="16" t="s">
        <v>1011</v>
      </c>
      <c r="H127" s="10">
        <v>21</v>
      </c>
      <c r="I127" s="16" t="s">
        <v>26</v>
      </c>
      <c r="J127" s="10">
        <v>2225658.2799999998</v>
      </c>
      <c r="K127" s="16" t="s">
        <v>27</v>
      </c>
      <c r="L127" s="16">
        <v>174837</v>
      </c>
      <c r="M127" s="16" t="s">
        <v>1012</v>
      </c>
      <c r="O127" s="16">
        <v>1</v>
      </c>
      <c r="P127" s="16" t="s">
        <v>1013</v>
      </c>
      <c r="Q127" s="16" t="s">
        <v>1014</v>
      </c>
    </row>
    <row r="128" spans="1:17" s="16" customFormat="1" x14ac:dyDescent="0.25">
      <c r="A128" s="16">
        <v>8003879954</v>
      </c>
      <c r="B128" s="16">
        <v>8</v>
      </c>
      <c r="C128" s="16">
        <v>4052018</v>
      </c>
      <c r="D128" s="16">
        <v>299</v>
      </c>
      <c r="E128" s="16" t="s">
        <v>30</v>
      </c>
      <c r="F128" s="16">
        <v>9938</v>
      </c>
      <c r="G128" s="16" t="s">
        <v>1011</v>
      </c>
      <c r="H128" s="10">
        <v>0.01</v>
      </c>
      <c r="I128" s="16" t="s">
        <v>26</v>
      </c>
      <c r="J128" s="10">
        <v>2225679.2799999998</v>
      </c>
      <c r="K128" s="16" t="s">
        <v>27</v>
      </c>
      <c r="L128" s="16">
        <v>174837</v>
      </c>
      <c r="M128" s="16" t="s">
        <v>1015</v>
      </c>
      <c r="O128" s="16">
        <v>1</v>
      </c>
    </row>
    <row r="129" spans="1:17" s="16" customFormat="1" x14ac:dyDescent="0.25">
      <c r="A129" s="16">
        <v>8003879954</v>
      </c>
      <c r="B129" s="16">
        <v>7</v>
      </c>
      <c r="C129" s="16">
        <v>4052018</v>
      </c>
      <c r="D129" s="16">
        <v>489</v>
      </c>
      <c r="E129" s="16" t="s">
        <v>31</v>
      </c>
      <c r="F129" s="16">
        <v>9938</v>
      </c>
      <c r="G129" s="16" t="s">
        <v>1011</v>
      </c>
      <c r="H129" s="10">
        <v>0.1</v>
      </c>
      <c r="I129" s="16" t="s">
        <v>26</v>
      </c>
      <c r="J129" s="10">
        <v>2225679.29</v>
      </c>
      <c r="K129" s="16" t="s">
        <v>27</v>
      </c>
      <c r="L129" s="16">
        <v>174837</v>
      </c>
      <c r="M129" s="16" t="s">
        <v>1015</v>
      </c>
      <c r="O129" s="16">
        <v>1</v>
      </c>
    </row>
    <row r="130" spans="1:17" s="16" customFormat="1" x14ac:dyDescent="0.25">
      <c r="A130" s="16">
        <v>8003879954</v>
      </c>
      <c r="B130" s="16">
        <v>6</v>
      </c>
      <c r="C130" s="16">
        <v>4052018</v>
      </c>
      <c r="D130" s="16">
        <v>341</v>
      </c>
      <c r="E130" s="16" t="s">
        <v>25</v>
      </c>
      <c r="F130" s="16">
        <v>9938</v>
      </c>
      <c r="G130" s="16" t="s">
        <v>1016</v>
      </c>
      <c r="H130" s="10">
        <v>49</v>
      </c>
      <c r="I130" s="16" t="s">
        <v>26</v>
      </c>
      <c r="J130" s="10">
        <v>2225679.39</v>
      </c>
      <c r="K130" s="16" t="s">
        <v>27</v>
      </c>
      <c r="L130" s="16">
        <v>174836</v>
      </c>
      <c r="M130" s="16" t="s">
        <v>111</v>
      </c>
      <c r="O130" s="16">
        <v>1</v>
      </c>
      <c r="P130" s="16" t="s">
        <v>1017</v>
      </c>
      <c r="Q130" s="16" t="s">
        <v>1018</v>
      </c>
    </row>
    <row r="131" spans="1:17" s="16" customFormat="1" x14ac:dyDescent="0.25">
      <c r="A131" s="16">
        <v>8003879954</v>
      </c>
      <c r="B131" s="16">
        <v>5</v>
      </c>
      <c r="C131" s="16">
        <v>4052018</v>
      </c>
      <c r="D131" s="16">
        <v>299</v>
      </c>
      <c r="E131" s="16" t="s">
        <v>30</v>
      </c>
      <c r="F131" s="16">
        <v>9938</v>
      </c>
      <c r="G131" s="16" t="s">
        <v>1016</v>
      </c>
      <c r="H131" s="10">
        <v>0.01</v>
      </c>
      <c r="I131" s="16" t="s">
        <v>26</v>
      </c>
      <c r="J131" s="10">
        <v>2225728.39</v>
      </c>
      <c r="K131" s="16" t="s">
        <v>27</v>
      </c>
      <c r="L131" s="16">
        <v>174836</v>
      </c>
      <c r="M131" s="16" t="s">
        <v>1019</v>
      </c>
      <c r="O131" s="16">
        <v>1</v>
      </c>
    </row>
    <row r="132" spans="1:17" s="16" customFormat="1" x14ac:dyDescent="0.25">
      <c r="A132" s="16">
        <v>8003879954</v>
      </c>
      <c r="B132" s="16">
        <v>4</v>
      </c>
      <c r="C132" s="16">
        <v>4052018</v>
      </c>
      <c r="D132" s="16">
        <v>489</v>
      </c>
      <c r="E132" s="16" t="s">
        <v>31</v>
      </c>
      <c r="F132" s="16">
        <v>9938</v>
      </c>
      <c r="G132" s="16" t="s">
        <v>1016</v>
      </c>
      <c r="H132" s="10">
        <v>0.1</v>
      </c>
      <c r="I132" s="16" t="s">
        <v>26</v>
      </c>
      <c r="J132" s="10">
        <v>2225728.4</v>
      </c>
      <c r="K132" s="16" t="s">
        <v>27</v>
      </c>
      <c r="L132" s="16">
        <v>174836</v>
      </c>
      <c r="M132" s="16" t="s">
        <v>1019</v>
      </c>
      <c r="O132" s="16">
        <v>1</v>
      </c>
    </row>
    <row r="133" spans="1:17" s="16" customFormat="1" x14ac:dyDescent="0.25">
      <c r="A133" s="16">
        <v>8003879954</v>
      </c>
      <c r="B133" s="16">
        <v>3</v>
      </c>
      <c r="C133" s="16">
        <v>4052018</v>
      </c>
      <c r="D133" s="16">
        <v>341</v>
      </c>
      <c r="E133" s="16" t="s">
        <v>25</v>
      </c>
      <c r="F133" s="16">
        <v>9938</v>
      </c>
      <c r="G133" s="16" t="s">
        <v>1020</v>
      </c>
      <c r="H133" s="10">
        <v>6400</v>
      </c>
      <c r="I133" s="16" t="s">
        <v>26</v>
      </c>
      <c r="J133" s="10">
        <v>2225728.5</v>
      </c>
      <c r="K133" s="16" t="s">
        <v>27</v>
      </c>
      <c r="L133" s="16">
        <v>174836</v>
      </c>
      <c r="M133" s="16" t="s">
        <v>889</v>
      </c>
      <c r="O133" s="16">
        <v>1</v>
      </c>
      <c r="P133" s="16" t="s">
        <v>1021</v>
      </c>
      <c r="Q133" s="16" t="s">
        <v>1022</v>
      </c>
    </row>
    <row r="134" spans="1:17" s="16" customFormat="1" x14ac:dyDescent="0.25">
      <c r="A134" s="16">
        <v>8003879954</v>
      </c>
      <c r="B134" s="16">
        <v>2</v>
      </c>
      <c r="C134" s="16">
        <v>4052018</v>
      </c>
      <c r="D134" s="16">
        <v>299</v>
      </c>
      <c r="E134" s="16" t="s">
        <v>30</v>
      </c>
      <c r="F134" s="16">
        <v>9938</v>
      </c>
      <c r="G134" s="16" t="s">
        <v>1020</v>
      </c>
      <c r="H134" s="10">
        <v>0.01</v>
      </c>
      <c r="I134" s="16" t="s">
        <v>26</v>
      </c>
      <c r="J134" s="10">
        <v>2232128.5</v>
      </c>
      <c r="K134" s="16" t="s">
        <v>27</v>
      </c>
      <c r="L134" s="16">
        <v>174836</v>
      </c>
      <c r="M134" s="16" t="s">
        <v>1023</v>
      </c>
      <c r="O134" s="16">
        <v>1</v>
      </c>
    </row>
    <row r="135" spans="1:17" s="16" customFormat="1" x14ac:dyDescent="0.25">
      <c r="A135" s="16">
        <v>8003879954</v>
      </c>
      <c r="B135" s="16">
        <v>1</v>
      </c>
      <c r="C135" s="16">
        <v>4052018</v>
      </c>
      <c r="D135" s="16">
        <v>489</v>
      </c>
      <c r="E135" s="16" t="s">
        <v>31</v>
      </c>
      <c r="F135" s="16">
        <v>9938</v>
      </c>
      <c r="G135" s="16" t="s">
        <v>1020</v>
      </c>
      <c r="H135" s="10">
        <v>0.1</v>
      </c>
      <c r="I135" s="16" t="s">
        <v>26</v>
      </c>
      <c r="J135" s="10">
        <v>2232128.5099999998</v>
      </c>
      <c r="K135" s="16" t="s">
        <v>27</v>
      </c>
      <c r="L135" s="16">
        <v>174836</v>
      </c>
      <c r="M135" s="16" t="s">
        <v>1023</v>
      </c>
      <c r="O135" s="16">
        <v>1</v>
      </c>
    </row>
    <row r="136" spans="1:17" s="16" customFormat="1" x14ac:dyDescent="0.25">
      <c r="A136" s="16">
        <v>8003879954</v>
      </c>
      <c r="B136" s="16">
        <v>10</v>
      </c>
      <c r="C136" s="16">
        <v>3052018</v>
      </c>
      <c r="D136" s="16">
        <v>123</v>
      </c>
      <c r="E136" s="16" t="s">
        <v>64</v>
      </c>
      <c r="F136" s="16">
        <v>2007</v>
      </c>
      <c r="G136" s="16" t="s">
        <v>1024</v>
      </c>
      <c r="H136" s="10">
        <v>10</v>
      </c>
      <c r="I136" s="16" t="s">
        <v>27</v>
      </c>
      <c r="J136" s="10">
        <v>2232128.61</v>
      </c>
      <c r="K136" s="16" t="s">
        <v>27</v>
      </c>
      <c r="L136" s="16">
        <v>191248</v>
      </c>
      <c r="M136" s="16" t="s">
        <v>32</v>
      </c>
      <c r="O136" s="16">
        <v>1</v>
      </c>
    </row>
    <row r="137" spans="1:17" s="16" customFormat="1" x14ac:dyDescent="0.25">
      <c r="A137" s="16">
        <v>8003879954</v>
      </c>
      <c r="B137" s="16">
        <v>9</v>
      </c>
      <c r="C137" s="16">
        <v>3052018</v>
      </c>
      <c r="D137" s="16">
        <v>341</v>
      </c>
      <c r="E137" s="16" t="s">
        <v>25</v>
      </c>
      <c r="F137" s="16">
        <v>9938</v>
      </c>
      <c r="G137" s="16" t="s">
        <v>1025</v>
      </c>
      <c r="H137" s="10">
        <v>850</v>
      </c>
      <c r="I137" s="16" t="s">
        <v>26</v>
      </c>
      <c r="J137" s="10">
        <v>2232118.61</v>
      </c>
      <c r="K137" s="16" t="s">
        <v>27</v>
      </c>
      <c r="L137" s="16">
        <v>180216</v>
      </c>
      <c r="M137" s="16" t="s">
        <v>747</v>
      </c>
      <c r="O137" s="16">
        <v>1</v>
      </c>
      <c r="P137" s="16" t="s">
        <v>1026</v>
      </c>
      <c r="Q137" s="16" t="s">
        <v>749</v>
      </c>
    </row>
    <row r="138" spans="1:17" s="16" customFormat="1" x14ac:dyDescent="0.25">
      <c r="A138" s="16">
        <v>8003879954</v>
      </c>
      <c r="B138" s="16">
        <v>8</v>
      </c>
      <c r="C138" s="16">
        <v>3052018</v>
      </c>
      <c r="D138" s="16">
        <v>299</v>
      </c>
      <c r="E138" s="16" t="s">
        <v>30</v>
      </c>
      <c r="F138" s="16">
        <v>9938</v>
      </c>
      <c r="G138" s="16" t="s">
        <v>1025</v>
      </c>
      <c r="H138" s="10">
        <v>0.01</v>
      </c>
      <c r="I138" s="16" t="s">
        <v>26</v>
      </c>
      <c r="J138" s="10">
        <v>2232968.61</v>
      </c>
      <c r="K138" s="16" t="s">
        <v>27</v>
      </c>
      <c r="L138" s="16">
        <v>180216</v>
      </c>
      <c r="M138" s="16" t="s">
        <v>1027</v>
      </c>
      <c r="O138" s="16">
        <v>1</v>
      </c>
    </row>
    <row r="139" spans="1:17" s="16" customFormat="1" x14ac:dyDescent="0.25">
      <c r="A139" s="16">
        <v>8003879954</v>
      </c>
      <c r="B139" s="16">
        <v>7</v>
      </c>
      <c r="C139" s="16">
        <v>3052018</v>
      </c>
      <c r="D139" s="16">
        <v>489</v>
      </c>
      <c r="E139" s="16" t="s">
        <v>31</v>
      </c>
      <c r="F139" s="16">
        <v>9938</v>
      </c>
      <c r="G139" s="16" t="s">
        <v>1025</v>
      </c>
      <c r="H139" s="10">
        <v>0.1</v>
      </c>
      <c r="I139" s="16" t="s">
        <v>26</v>
      </c>
      <c r="J139" s="10">
        <v>2232968.62</v>
      </c>
      <c r="K139" s="16" t="s">
        <v>27</v>
      </c>
      <c r="L139" s="16">
        <v>180216</v>
      </c>
      <c r="M139" s="16" t="s">
        <v>1027</v>
      </c>
      <c r="O139" s="16">
        <v>1</v>
      </c>
    </row>
    <row r="140" spans="1:17" s="16" customFormat="1" x14ac:dyDescent="0.25">
      <c r="A140" s="16">
        <v>8003879954</v>
      </c>
      <c r="B140" s="16">
        <v>6</v>
      </c>
      <c r="C140" s="16">
        <v>3052018</v>
      </c>
      <c r="D140" s="16">
        <v>345</v>
      </c>
      <c r="E140" s="16" t="s">
        <v>51</v>
      </c>
      <c r="F140" s="16">
        <v>9938</v>
      </c>
      <c r="G140" s="16" t="s">
        <v>1028</v>
      </c>
      <c r="H140" s="10">
        <v>1500</v>
      </c>
      <c r="I140" s="16" t="s">
        <v>26</v>
      </c>
      <c r="J140" s="10">
        <v>2232968.7200000002</v>
      </c>
      <c r="K140" s="16" t="s">
        <v>27</v>
      </c>
      <c r="L140" s="16">
        <v>180215</v>
      </c>
      <c r="M140" s="16" t="s">
        <v>1029</v>
      </c>
      <c r="O140" s="16">
        <v>1</v>
      </c>
      <c r="P140" s="16" t="s">
        <v>1030</v>
      </c>
      <c r="Q140" s="16" t="s">
        <v>653</v>
      </c>
    </row>
    <row r="141" spans="1:17" s="16" customFormat="1" x14ac:dyDescent="0.25">
      <c r="A141" s="16">
        <v>8003879954</v>
      </c>
      <c r="B141" s="16">
        <v>5</v>
      </c>
      <c r="C141" s="16">
        <v>3052018</v>
      </c>
      <c r="D141" s="16">
        <v>341</v>
      </c>
      <c r="E141" s="16" t="s">
        <v>25</v>
      </c>
      <c r="F141" s="16">
        <v>9938</v>
      </c>
      <c r="G141" s="16" t="s">
        <v>1031</v>
      </c>
      <c r="H141" s="10">
        <v>362.09</v>
      </c>
      <c r="I141" s="16" t="s">
        <v>26</v>
      </c>
      <c r="J141" s="10">
        <v>2234468.7200000002</v>
      </c>
      <c r="K141" s="16" t="s">
        <v>27</v>
      </c>
      <c r="L141" s="16">
        <v>180215</v>
      </c>
      <c r="M141" s="16" t="s">
        <v>28</v>
      </c>
      <c r="O141" s="16">
        <v>1</v>
      </c>
      <c r="P141" s="16" t="s">
        <v>1032</v>
      </c>
      <c r="Q141" s="16" t="s">
        <v>29</v>
      </c>
    </row>
    <row r="142" spans="1:17" s="16" customFormat="1" x14ac:dyDescent="0.25">
      <c r="A142" s="16">
        <v>8003879954</v>
      </c>
      <c r="B142" s="16">
        <v>4</v>
      </c>
      <c r="C142" s="16">
        <v>3052018</v>
      </c>
      <c r="D142" s="16">
        <v>299</v>
      </c>
      <c r="E142" s="16" t="s">
        <v>30</v>
      </c>
      <c r="F142" s="16">
        <v>9938</v>
      </c>
      <c r="G142" s="16" t="s">
        <v>1031</v>
      </c>
      <c r="H142" s="10">
        <v>0.01</v>
      </c>
      <c r="I142" s="16" t="s">
        <v>26</v>
      </c>
      <c r="J142" s="10">
        <v>2234830.81</v>
      </c>
      <c r="K142" s="16" t="s">
        <v>27</v>
      </c>
      <c r="L142" s="16">
        <v>180215</v>
      </c>
      <c r="M142" s="16" t="s">
        <v>1033</v>
      </c>
      <c r="O142" s="16">
        <v>1</v>
      </c>
    </row>
    <row r="143" spans="1:17" s="16" customFormat="1" x14ac:dyDescent="0.25">
      <c r="A143" s="16">
        <v>8003879954</v>
      </c>
      <c r="B143" s="16">
        <v>3</v>
      </c>
      <c r="C143" s="16">
        <v>3052018</v>
      </c>
      <c r="D143" s="16">
        <v>489</v>
      </c>
      <c r="E143" s="16" t="s">
        <v>31</v>
      </c>
      <c r="F143" s="16">
        <v>9938</v>
      </c>
      <c r="G143" s="16" t="s">
        <v>1031</v>
      </c>
      <c r="H143" s="10">
        <v>0.1</v>
      </c>
      <c r="I143" s="16" t="s">
        <v>26</v>
      </c>
      <c r="J143" s="10">
        <v>2234830.8199999998</v>
      </c>
      <c r="K143" s="16" t="s">
        <v>27</v>
      </c>
      <c r="L143" s="16">
        <v>180215</v>
      </c>
      <c r="M143" s="16" t="s">
        <v>1033</v>
      </c>
      <c r="O143" s="16">
        <v>1</v>
      </c>
    </row>
    <row r="144" spans="1:17" s="16" customFormat="1" x14ac:dyDescent="0.25">
      <c r="A144" s="16">
        <v>8003879954</v>
      </c>
      <c r="B144" s="16">
        <v>2</v>
      </c>
      <c r="C144" s="16">
        <v>3052018</v>
      </c>
      <c r="D144" s="16">
        <v>60</v>
      </c>
      <c r="E144" s="16" t="s">
        <v>37</v>
      </c>
      <c r="F144" s="16">
        <v>9938</v>
      </c>
      <c r="G144" s="16" t="s">
        <v>1034</v>
      </c>
      <c r="H144" s="10">
        <v>155</v>
      </c>
      <c r="I144" s="16" t="s">
        <v>26</v>
      </c>
      <c r="J144" s="10">
        <v>2234830.92</v>
      </c>
      <c r="K144" s="16" t="s">
        <v>27</v>
      </c>
      <c r="L144" s="16">
        <v>180215</v>
      </c>
      <c r="M144" s="16" t="s">
        <v>1035</v>
      </c>
      <c r="O144" s="16">
        <v>1</v>
      </c>
      <c r="P144" s="16" t="s">
        <v>1036</v>
      </c>
      <c r="Q144" s="16" t="s">
        <v>378</v>
      </c>
    </row>
    <row r="145" spans="1:18" s="16" customFormat="1" x14ac:dyDescent="0.25">
      <c r="A145" s="16">
        <v>8003879954</v>
      </c>
      <c r="B145" s="16">
        <v>1</v>
      </c>
      <c r="C145" s="16">
        <v>3052018</v>
      </c>
      <c r="D145" s="16">
        <v>102</v>
      </c>
      <c r="E145" s="16" t="s">
        <v>186</v>
      </c>
      <c r="F145" s="16">
        <v>9815</v>
      </c>
      <c r="G145" s="16" t="s">
        <v>1037</v>
      </c>
      <c r="H145" s="10">
        <v>1500</v>
      </c>
      <c r="I145" s="16" t="s">
        <v>27</v>
      </c>
      <c r="J145" s="10">
        <v>2234985.92</v>
      </c>
      <c r="K145" s="16" t="s">
        <v>27</v>
      </c>
      <c r="L145" s="16">
        <v>145630</v>
      </c>
      <c r="M145" s="16" t="s">
        <v>32</v>
      </c>
      <c r="O145" s="16">
        <v>1</v>
      </c>
    </row>
    <row r="146" spans="1:18" s="16" customFormat="1" x14ac:dyDescent="0.25">
      <c r="A146" s="16">
        <v>8003879954</v>
      </c>
      <c r="B146" s="16">
        <v>5</v>
      </c>
      <c r="C146" s="16">
        <v>2052018</v>
      </c>
      <c r="D146" s="16">
        <v>123</v>
      </c>
      <c r="E146" s="16" t="s">
        <v>64</v>
      </c>
      <c r="F146" s="16">
        <v>2007</v>
      </c>
      <c r="G146" s="16" t="s">
        <v>1038</v>
      </c>
      <c r="H146" s="10">
        <v>1050</v>
      </c>
      <c r="I146" s="16" t="s">
        <v>27</v>
      </c>
      <c r="J146" s="10">
        <v>2233485.92</v>
      </c>
      <c r="K146" s="16" t="s">
        <v>27</v>
      </c>
      <c r="L146" s="16">
        <v>191149</v>
      </c>
      <c r="M146" s="16" t="s">
        <v>32</v>
      </c>
      <c r="O146" s="16">
        <v>1</v>
      </c>
    </row>
    <row r="147" spans="1:18" s="16" customFormat="1" x14ac:dyDescent="0.25">
      <c r="A147" s="16">
        <v>8003879954</v>
      </c>
      <c r="B147" s="16">
        <v>4</v>
      </c>
      <c r="C147" s="16">
        <v>2052018</v>
      </c>
      <c r="D147" s="16">
        <v>299</v>
      </c>
      <c r="E147" s="16" t="s">
        <v>508</v>
      </c>
      <c r="F147" s="16">
        <v>72</v>
      </c>
      <c r="G147" s="16" t="s">
        <v>1039</v>
      </c>
      <c r="H147" s="10">
        <v>1.8</v>
      </c>
      <c r="I147" s="16" t="s">
        <v>26</v>
      </c>
      <c r="J147" s="10">
        <v>2232435.92</v>
      </c>
      <c r="K147" s="16" t="s">
        <v>27</v>
      </c>
      <c r="L147" s="16">
        <v>155624</v>
      </c>
      <c r="M147" s="16" t="s">
        <v>1040</v>
      </c>
      <c r="O147" s="16">
        <v>1</v>
      </c>
    </row>
    <row r="148" spans="1:18" s="16" customFormat="1" x14ac:dyDescent="0.25">
      <c r="A148" s="16">
        <v>8003879954</v>
      </c>
      <c r="B148" s="16">
        <v>3</v>
      </c>
      <c r="C148" s="16">
        <v>2052018</v>
      </c>
      <c r="D148" s="16">
        <v>415</v>
      </c>
      <c r="E148" s="16" t="s">
        <v>48</v>
      </c>
      <c r="F148" s="16">
        <v>72</v>
      </c>
      <c r="G148" s="16" t="s">
        <v>1039</v>
      </c>
      <c r="H148" s="10">
        <v>30</v>
      </c>
      <c r="I148" s="16" t="s">
        <v>26</v>
      </c>
      <c r="J148" s="10">
        <v>2232437.7200000002</v>
      </c>
      <c r="K148" s="16" t="s">
        <v>27</v>
      </c>
      <c r="L148" s="16">
        <v>155624</v>
      </c>
      <c r="M148" s="16" t="s">
        <v>1040</v>
      </c>
      <c r="O148" s="16">
        <v>1</v>
      </c>
    </row>
    <row r="149" spans="1:18" s="16" customFormat="1" x14ac:dyDescent="0.25">
      <c r="A149" s="16">
        <v>8003879954</v>
      </c>
      <c r="B149" s="16">
        <v>2</v>
      </c>
      <c r="C149" s="16">
        <v>2052018</v>
      </c>
      <c r="D149" s="16">
        <v>349</v>
      </c>
      <c r="E149" s="16" t="s">
        <v>49</v>
      </c>
      <c r="F149" s="16">
        <v>72</v>
      </c>
      <c r="G149" s="16" t="s">
        <v>1039</v>
      </c>
      <c r="H149" s="17">
        <v>198515</v>
      </c>
      <c r="I149" s="16" t="s">
        <v>26</v>
      </c>
      <c r="J149" s="10">
        <v>2232467.7200000002</v>
      </c>
      <c r="K149" s="16" t="s">
        <v>27</v>
      </c>
      <c r="L149" s="16">
        <v>155624</v>
      </c>
      <c r="M149" s="16" t="s">
        <v>1040</v>
      </c>
      <c r="O149" s="16">
        <v>1</v>
      </c>
    </row>
    <row r="150" spans="1:18" s="16" customFormat="1" x14ac:dyDescent="0.25">
      <c r="A150" s="16">
        <v>8003879954</v>
      </c>
      <c r="B150" s="16">
        <v>1</v>
      </c>
      <c r="C150" s="16">
        <v>2052018</v>
      </c>
      <c r="D150" s="16">
        <v>141</v>
      </c>
      <c r="E150" s="16" t="s">
        <v>53</v>
      </c>
      <c r="F150" s="16">
        <v>6363</v>
      </c>
      <c r="G150" s="16" t="s">
        <v>1041</v>
      </c>
      <c r="H150" s="10">
        <v>19.55</v>
      </c>
      <c r="I150" s="16" t="s">
        <v>27</v>
      </c>
      <c r="J150" s="10">
        <v>2430982.7200000002</v>
      </c>
      <c r="K150" s="16" t="s">
        <v>27</v>
      </c>
      <c r="L150" s="16">
        <v>95736</v>
      </c>
      <c r="M150" s="16" t="s">
        <v>32</v>
      </c>
      <c r="O150" s="16">
        <v>1</v>
      </c>
      <c r="P150" s="16" t="s">
        <v>1042</v>
      </c>
      <c r="Q150" s="16" t="s">
        <v>930</v>
      </c>
      <c r="R150" s="16" t="s">
        <v>528</v>
      </c>
    </row>
    <row r="151" spans="1:18" s="16" customFormat="1" x14ac:dyDescent="0.25">
      <c r="H151" s="10"/>
      <c r="J151" s="10"/>
    </row>
    <row r="152" spans="1:18" s="16" customFormat="1" x14ac:dyDescent="0.25">
      <c r="H152" s="10"/>
      <c r="J152" s="10"/>
    </row>
    <row r="154" spans="1:18" x14ac:dyDescent="0.25">
      <c r="H154" s="2">
        <f>SUBTOTAL(9,H9:H152)</f>
        <v>2937239.0999999964</v>
      </c>
    </row>
  </sheetData>
  <autoFilter ref="A8:Q152" xr:uid="{CF109FEB-3BE3-49F9-8C2D-13E34C3E637C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BF3B-DCAD-4269-986D-D81DEE25DD9B}">
  <dimension ref="A1:R189"/>
  <sheetViews>
    <sheetView topLeftCell="G1" workbookViewId="0">
      <selection activeCell="H12" sqref="H12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2" bestFit="1" customWidth="1"/>
    <col min="10" max="10" width="13.28515625" style="2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1107</v>
      </c>
    </row>
    <row r="5" spans="1:18" x14ac:dyDescent="0.25">
      <c r="A5" t="s">
        <v>1108</v>
      </c>
    </row>
    <row r="6" spans="1:18" x14ac:dyDescent="0.25">
      <c r="A6" t="s">
        <v>1109</v>
      </c>
    </row>
    <row r="8" spans="1:18" s="15" customFormat="1" ht="49.5" customHeight="1" x14ac:dyDescent="0.25">
      <c r="A8" s="15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4" t="s">
        <v>14</v>
      </c>
      <c r="I8" s="15" t="s">
        <v>15</v>
      </c>
      <c r="J8" s="4" t="s">
        <v>16</v>
      </c>
      <c r="K8" s="15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</row>
    <row r="10" spans="1:18" x14ac:dyDescent="0.25">
      <c r="A10">
        <v>8003879954</v>
      </c>
      <c r="B10">
        <v>2</v>
      </c>
      <c r="C10">
        <v>30062018</v>
      </c>
      <c r="D10">
        <v>489</v>
      </c>
      <c r="E10" s="14" t="str">
        <f>"AUTOPAY CHARGES"</f>
        <v>AUTOPAY CHARGES</v>
      </c>
      <c r="F10">
        <v>3471</v>
      </c>
      <c r="G10" t="str">
        <f>"31855794"</f>
        <v>31855794</v>
      </c>
      <c r="H10" s="2">
        <v>2.2999999999999998</v>
      </c>
      <c r="I10" t="s">
        <v>26</v>
      </c>
      <c r="J10" s="2">
        <v>1844289.96</v>
      </c>
      <c r="K10" t="s">
        <v>27</v>
      </c>
      <c r="L10">
        <v>73724</v>
      </c>
      <c r="M10" t="str">
        <f>""</f>
        <v/>
      </c>
      <c r="O10">
        <v>1</v>
      </c>
    </row>
    <row r="11" spans="1:18" x14ac:dyDescent="0.25">
      <c r="A11">
        <v>8003879954</v>
      </c>
      <c r="B11">
        <v>1</v>
      </c>
      <c r="C11">
        <v>30062018</v>
      </c>
      <c r="D11">
        <v>669</v>
      </c>
      <c r="E11" t="str">
        <f>"AUTOPAY DR"</f>
        <v>AUTOPAY DR</v>
      </c>
      <c r="F11">
        <v>1806</v>
      </c>
      <c r="G11" t="str">
        <f>"290031844926"</f>
        <v>290031844926</v>
      </c>
      <c r="H11" s="2">
        <v>87815.87</v>
      </c>
      <c r="I11" t="s">
        <v>26</v>
      </c>
      <c r="J11" s="2">
        <v>1844292.26</v>
      </c>
      <c r="K11" t="s">
        <v>27</v>
      </c>
      <c r="L11">
        <v>55029</v>
      </c>
      <c r="M11" t="str">
        <f>"U2018063000140 RTB1806290031844926.TXT"</f>
        <v>U2018063000140 RTB1806290031844926.TXT</v>
      </c>
      <c r="O11">
        <v>1</v>
      </c>
      <c r="P11" t="str">
        <f>"1806290031844926"</f>
        <v>1806290031844926</v>
      </c>
      <c r="R11" t="str">
        <f>"/"</f>
        <v>/</v>
      </c>
    </row>
    <row r="12" spans="1:18" x14ac:dyDescent="0.25">
      <c r="A12">
        <v>8003879954</v>
      </c>
      <c r="B12">
        <v>3</v>
      </c>
      <c r="C12">
        <v>29062018</v>
      </c>
      <c r="D12">
        <v>141</v>
      </c>
      <c r="E12" t="str">
        <f>"I-FUNDS TR FROM CA"</f>
        <v>I-FUNDS TR FROM CA</v>
      </c>
      <c r="F12">
        <v>6662</v>
      </c>
      <c r="G12" t="str">
        <f>"12708"</f>
        <v>12708</v>
      </c>
      <c r="H12" s="2">
        <v>35</v>
      </c>
      <c r="I12" t="s">
        <v>27</v>
      </c>
      <c r="J12" s="2">
        <v>1932108.13</v>
      </c>
      <c r="K12" t="s">
        <v>27</v>
      </c>
      <c r="L12">
        <v>160843</v>
      </c>
      <c r="M12" t="str">
        <f>""</f>
        <v/>
      </c>
      <c r="O12">
        <v>1</v>
      </c>
      <c r="P12" t="str">
        <f>"Refund back"</f>
        <v>Refund back</v>
      </c>
      <c r="Q12" t="str">
        <f>"Pay Extra"</f>
        <v>Pay Extra</v>
      </c>
      <c r="R12" t="str">
        <f>"E ZONE COMPUTER CENT"</f>
        <v>E ZONE COMPUTER CENT</v>
      </c>
    </row>
    <row r="13" spans="1:18" x14ac:dyDescent="0.25">
      <c r="A13">
        <v>8003879954</v>
      </c>
      <c r="B13">
        <v>2</v>
      </c>
      <c r="C13">
        <v>29062018</v>
      </c>
      <c r="D13">
        <v>415</v>
      </c>
      <c r="E13" t="str">
        <f>"TELEX/FAX"</f>
        <v>TELEX/FAX</v>
      </c>
      <c r="F13">
        <v>72</v>
      </c>
      <c r="G13" t="str">
        <f>"283473496"</f>
        <v>283473496</v>
      </c>
      <c r="H13" s="2">
        <v>10</v>
      </c>
      <c r="I13" t="s">
        <v>26</v>
      </c>
      <c r="J13" s="2">
        <v>1932073.13</v>
      </c>
      <c r="K13" t="s">
        <v>27</v>
      </c>
      <c r="L13">
        <v>160154</v>
      </c>
      <c r="M13" t="str">
        <f>"00722290618T5430                       I"</f>
        <v>00722290618T5430                       I</v>
      </c>
      <c r="O13">
        <v>1</v>
      </c>
    </row>
    <row r="14" spans="1:18" x14ac:dyDescent="0.25">
      <c r="A14">
        <v>8003879954</v>
      </c>
      <c r="B14">
        <v>1</v>
      </c>
      <c r="C14">
        <v>29062018</v>
      </c>
      <c r="D14">
        <v>349</v>
      </c>
      <c r="E14" t="str">
        <f>"TR TO REMITT"</f>
        <v>TR TO REMITT</v>
      </c>
      <c r="F14">
        <v>72</v>
      </c>
      <c r="G14" t="str">
        <f>"283473496"</f>
        <v>283473496</v>
      </c>
      <c r="H14" s="2">
        <v>39952.54</v>
      </c>
      <c r="I14" t="s">
        <v>26</v>
      </c>
      <c r="J14" s="2">
        <v>1932083.13</v>
      </c>
      <c r="K14" t="s">
        <v>27</v>
      </c>
      <c r="L14">
        <v>160154</v>
      </c>
      <c r="M14" t="str">
        <f>"00722290618T5430                       I"</f>
        <v>00722290618T5430                       I</v>
      </c>
      <c r="O14">
        <v>1</v>
      </c>
    </row>
    <row r="15" spans="1:18" x14ac:dyDescent="0.25">
      <c r="A15">
        <v>8003879954</v>
      </c>
      <c r="B15">
        <v>5</v>
      </c>
      <c r="C15">
        <v>28062018</v>
      </c>
      <c r="D15">
        <v>343</v>
      </c>
      <c r="E15" t="str">
        <f>"I-PAYMENT"</f>
        <v>I-PAYMENT</v>
      </c>
      <c r="F15">
        <v>9938</v>
      </c>
      <c r="G15" t="str">
        <f>"2018062825436309"</f>
        <v>2018062825436309</v>
      </c>
      <c r="H15" s="2">
        <v>595.65</v>
      </c>
      <c r="I15" t="s">
        <v>26</v>
      </c>
      <c r="J15" s="2">
        <v>1972035.67</v>
      </c>
      <c r="K15" t="s">
        <v>27</v>
      </c>
      <c r="L15">
        <v>153733</v>
      </c>
      <c r="M15" t="str">
        <f>"Pay to CELCOM: 191908888"</f>
        <v>Pay to CELCOM: 191908888</v>
      </c>
      <c r="O15">
        <v>1</v>
      </c>
    </row>
    <row r="16" spans="1:18" x14ac:dyDescent="0.25">
      <c r="A16">
        <v>8003879954</v>
      </c>
      <c r="B16">
        <v>4</v>
      </c>
      <c r="C16">
        <v>28062018</v>
      </c>
      <c r="D16">
        <v>341</v>
      </c>
      <c r="E16" t="str">
        <f>"TR IBG"</f>
        <v>TR IBG</v>
      </c>
      <c r="F16">
        <v>9938</v>
      </c>
      <c r="G16" t="str">
        <f>"31725423"</f>
        <v>31725423</v>
      </c>
      <c r="H16" s="2">
        <v>1500</v>
      </c>
      <c r="I16" t="s">
        <v>26</v>
      </c>
      <c r="J16" s="2">
        <v>1972631.32</v>
      </c>
      <c r="K16" t="s">
        <v>27</v>
      </c>
      <c r="L16">
        <v>153732</v>
      </c>
      <c r="M16" t="str">
        <f>"LOO CHEE KHUAN"</f>
        <v>LOO CHEE KHUAN</v>
      </c>
      <c r="O16">
        <v>1</v>
      </c>
      <c r="P16" t="str">
        <f>"PGTEFT3266"</f>
        <v>PGTEFT3266</v>
      </c>
      <c r="Q16" t="str">
        <f>"PHOTOGRAPHY SERVICES"</f>
        <v>PHOTOGRAPHY SERVICES</v>
      </c>
    </row>
    <row r="17" spans="1:18" x14ac:dyDescent="0.25">
      <c r="A17">
        <v>8003879954</v>
      </c>
      <c r="B17">
        <v>3</v>
      </c>
      <c r="C17">
        <v>28062018</v>
      </c>
      <c r="D17">
        <v>489</v>
      </c>
      <c r="E17" t="str">
        <f>"OTHER TRANSFER FEE"</f>
        <v>OTHER TRANSFER FEE</v>
      </c>
      <c r="F17">
        <v>9938</v>
      </c>
      <c r="G17" t="str">
        <f>"31725423"</f>
        <v>31725423</v>
      </c>
      <c r="H17" s="2">
        <v>0.1</v>
      </c>
      <c r="I17" t="s">
        <v>26</v>
      </c>
      <c r="J17" s="2">
        <v>1974131.32</v>
      </c>
      <c r="K17" t="s">
        <v>27</v>
      </c>
      <c r="L17">
        <v>153732</v>
      </c>
      <c r="M17" t="str">
        <f>"PGTEFT3266          PHOTOGRAPHY SERVICES"</f>
        <v>PGTEFT3266          PHOTOGRAPHY SERVICES</v>
      </c>
      <c r="O17">
        <v>1</v>
      </c>
    </row>
    <row r="18" spans="1:18" x14ac:dyDescent="0.25">
      <c r="A18">
        <v>8003879954</v>
      </c>
      <c r="B18">
        <v>2</v>
      </c>
      <c r="C18">
        <v>28062018</v>
      </c>
      <c r="D18">
        <v>5</v>
      </c>
      <c r="E18" t="str">
        <f>"REMITTANCE CR"</f>
        <v>REMITTANCE CR</v>
      </c>
      <c r="H18" s="2">
        <v>1700000</v>
      </c>
      <c r="I18" t="s">
        <v>27</v>
      </c>
      <c r="J18" s="2">
        <v>1974131.42</v>
      </c>
      <c r="K18" t="s">
        <v>27</v>
      </c>
      <c r="L18">
        <v>122759</v>
      </c>
      <c r="M18" t="str">
        <f>"/ROC/FROM RHB REFLE RHB ASSET MANAGEMENT"</f>
        <v>/ROC/FROM RHB REFLE RHB ASSET MANAGEMENT</v>
      </c>
      <c r="O18">
        <v>1</v>
      </c>
      <c r="P18" t="str">
        <f>"FROM RHB REFLEX"</f>
        <v>FROM RHB REFLEX</v>
      </c>
      <c r="Q18" t="str">
        <f>"RHB ASSET MGMT SB"</f>
        <v>RHB ASSET MGMT SB</v>
      </c>
      <c r="R18" t="str">
        <f>"RHB ASSET MANAGEMENT"</f>
        <v>RHB ASSET MANAGEMENT</v>
      </c>
    </row>
    <row r="19" spans="1:18" x14ac:dyDescent="0.25">
      <c r="A19">
        <v>8003879954</v>
      </c>
      <c r="B19">
        <v>1</v>
      </c>
      <c r="C19">
        <v>28062018</v>
      </c>
      <c r="D19">
        <v>174</v>
      </c>
      <c r="E19" t="str">
        <f>"IBG CREDIT"</f>
        <v>IBG CREDIT</v>
      </c>
      <c r="F19">
        <v>2001</v>
      </c>
      <c r="G19" t="str">
        <f>"618179711616567"</f>
        <v>618179711616567</v>
      </c>
      <c r="H19" s="2">
        <v>3000</v>
      </c>
      <c r="I19" t="s">
        <v>27</v>
      </c>
      <c r="J19" s="2">
        <v>274131.42</v>
      </c>
      <c r="K19" t="s">
        <v>27</v>
      </c>
      <c r="L19">
        <v>91622</v>
      </c>
      <c r="M19" t="str">
        <f>"OLIVE TREE"</f>
        <v>OLIVE TREE</v>
      </c>
      <c r="O19">
        <v>1</v>
      </c>
      <c r="P19" t="str">
        <f>"OLIVE TREE"</f>
        <v>OLIVE TREE</v>
      </c>
      <c r="Q19" t="str">
        <f>"IEBK062721545255"</f>
        <v>IEBK062721545255</v>
      </c>
      <c r="R19" t="str">
        <f>"OLIVE TREE CONCEPTS"</f>
        <v>OLIVE TREE CONCEPTS</v>
      </c>
    </row>
    <row r="20" spans="1:18" x14ac:dyDescent="0.25">
      <c r="A20">
        <v>8003879954</v>
      </c>
      <c r="B20">
        <v>58</v>
      </c>
      <c r="C20">
        <v>20062018</v>
      </c>
      <c r="D20">
        <v>341</v>
      </c>
      <c r="E20" t="str">
        <f>"TR IBG"</f>
        <v>TR IBG</v>
      </c>
      <c r="F20">
        <v>9938</v>
      </c>
      <c r="G20" t="str">
        <f>"31440218"</f>
        <v>31440218</v>
      </c>
      <c r="H20" s="2">
        <v>2509.02</v>
      </c>
      <c r="I20" t="s">
        <v>26</v>
      </c>
      <c r="J20" s="2">
        <v>271131.42</v>
      </c>
      <c r="K20" t="s">
        <v>27</v>
      </c>
      <c r="L20">
        <v>171309</v>
      </c>
      <c r="M20" t="str">
        <f>"TWO PRO PRINT SERVIC"</f>
        <v>TWO PRO PRINT SERVIC</v>
      </c>
      <c r="O20">
        <v>1</v>
      </c>
      <c r="P20" t="str">
        <f>"PGTEFT3285"</f>
        <v>PGTEFT3285</v>
      </c>
      <c r="Q20" t="str">
        <f>"HAB"</f>
        <v>HAB</v>
      </c>
    </row>
    <row r="21" spans="1:18" x14ac:dyDescent="0.25">
      <c r="A21">
        <v>8003879954</v>
      </c>
      <c r="B21">
        <v>57</v>
      </c>
      <c r="C21">
        <v>20062018</v>
      </c>
      <c r="D21">
        <v>489</v>
      </c>
      <c r="E21" t="str">
        <f>"OTHER TRANSFER FEE"</f>
        <v>OTHER TRANSFER FEE</v>
      </c>
      <c r="F21">
        <v>9938</v>
      </c>
      <c r="G21" t="str">
        <f>"31440218"</f>
        <v>31440218</v>
      </c>
      <c r="H21" s="2">
        <v>0.1</v>
      </c>
      <c r="I21" t="s">
        <v>26</v>
      </c>
      <c r="J21" s="2">
        <v>273640.44</v>
      </c>
      <c r="K21" t="s">
        <v>27</v>
      </c>
      <c r="L21">
        <v>171309</v>
      </c>
      <c r="M21" t="str">
        <f>"PGTEFT3285          HAB"</f>
        <v>PGTEFT3285          HAB</v>
      </c>
      <c r="O21">
        <v>1</v>
      </c>
    </row>
    <row r="22" spans="1:18" x14ac:dyDescent="0.25">
      <c r="A22">
        <v>8003879954</v>
      </c>
      <c r="B22">
        <v>56</v>
      </c>
      <c r="C22">
        <v>20062018</v>
      </c>
      <c r="D22">
        <v>345</v>
      </c>
      <c r="E22" t="str">
        <f>"TR TO SAVINGS"</f>
        <v>TR TO SAVINGS</v>
      </c>
      <c r="F22">
        <v>9938</v>
      </c>
      <c r="G22" t="str">
        <f>"31440086"</f>
        <v>31440086</v>
      </c>
      <c r="H22" s="2">
        <v>9033.33</v>
      </c>
      <c r="I22" t="s">
        <v>26</v>
      </c>
      <c r="J22" s="2">
        <v>273640.53999999998</v>
      </c>
      <c r="K22" t="s">
        <v>27</v>
      </c>
      <c r="L22">
        <v>171309</v>
      </c>
      <c r="M22" t="str">
        <f>"AA HANOI TRIP YOON PAULINE"</f>
        <v>AA HANOI TRIP YOON PAULINE</v>
      </c>
      <c r="O22">
        <v>1</v>
      </c>
      <c r="P22" t="str">
        <f>"PGTEFT3288"</f>
        <v>PGTEFT3288</v>
      </c>
      <c r="Q22" t="str">
        <f>"CLAIMS"</f>
        <v>CLAIMS</v>
      </c>
    </row>
    <row r="23" spans="1:18" x14ac:dyDescent="0.25">
      <c r="A23">
        <v>8003879954</v>
      </c>
      <c r="B23">
        <v>55</v>
      </c>
      <c r="C23">
        <v>20062018</v>
      </c>
      <c r="D23">
        <v>343</v>
      </c>
      <c r="E23" t="str">
        <f>"I-PAYMENT"</f>
        <v>I-PAYMENT</v>
      </c>
      <c r="F23">
        <v>9938</v>
      </c>
      <c r="G23" t="str">
        <f>"2018062023328842"</f>
        <v>2018062023328842</v>
      </c>
      <c r="H23" s="2">
        <v>1391.7</v>
      </c>
      <c r="I23" t="s">
        <v>26</v>
      </c>
      <c r="J23" s="2">
        <v>282673.87</v>
      </c>
      <c r="K23" t="s">
        <v>27</v>
      </c>
      <c r="L23">
        <v>171308</v>
      </c>
      <c r="M23" t="str">
        <f>"Pay to TNB: 220543726302"</f>
        <v>Pay to TNB: 220543726302</v>
      </c>
      <c r="O23">
        <v>1</v>
      </c>
    </row>
    <row r="24" spans="1:18" x14ac:dyDescent="0.25">
      <c r="A24">
        <v>8003879954</v>
      </c>
      <c r="B24">
        <v>54</v>
      </c>
      <c r="C24">
        <v>20062018</v>
      </c>
      <c r="D24">
        <v>341</v>
      </c>
      <c r="E24" t="str">
        <f>"TR IBG"</f>
        <v>TR IBG</v>
      </c>
      <c r="F24">
        <v>9938</v>
      </c>
      <c r="G24" t="str">
        <f>"31440157"</f>
        <v>31440157</v>
      </c>
      <c r="H24" s="2">
        <v>240</v>
      </c>
      <c r="I24" t="s">
        <v>26</v>
      </c>
      <c r="J24" s="2">
        <v>284065.57</v>
      </c>
      <c r="K24" t="s">
        <v>27</v>
      </c>
      <c r="L24">
        <v>171308</v>
      </c>
      <c r="M24" t="str">
        <f>"YONG SUH YEN"</f>
        <v>YONG SUH YEN</v>
      </c>
      <c r="O24">
        <v>1</v>
      </c>
      <c r="P24" t="str">
        <f>"PGTEFT3286"</f>
        <v>PGTEFT3286</v>
      </c>
      <c r="Q24" t="str">
        <f>"WELCOMING RECEPTION"</f>
        <v>WELCOMING RECEPTION</v>
      </c>
    </row>
    <row r="25" spans="1:18" x14ac:dyDescent="0.25">
      <c r="A25">
        <v>8003879954</v>
      </c>
      <c r="B25">
        <v>53</v>
      </c>
      <c r="C25">
        <v>20062018</v>
      </c>
      <c r="D25">
        <v>489</v>
      </c>
      <c r="E25" t="str">
        <f>"OTHER TRANSFER FEE"</f>
        <v>OTHER TRANSFER FEE</v>
      </c>
      <c r="F25">
        <v>9938</v>
      </c>
      <c r="G25" t="str">
        <f>"31440157"</f>
        <v>31440157</v>
      </c>
      <c r="H25" s="2">
        <v>0.1</v>
      </c>
      <c r="I25" t="s">
        <v>26</v>
      </c>
      <c r="J25" s="2">
        <v>284305.57</v>
      </c>
      <c r="K25" t="s">
        <v>27</v>
      </c>
      <c r="L25">
        <v>171308</v>
      </c>
      <c r="M25" t="str">
        <f>"PGTEFT3286          WELCOMING RECEPTION"</f>
        <v>PGTEFT3286          WELCOMING RECEPTION</v>
      </c>
      <c r="O25">
        <v>1</v>
      </c>
    </row>
    <row r="26" spans="1:18" x14ac:dyDescent="0.25">
      <c r="A26">
        <v>8003879954</v>
      </c>
      <c r="B26">
        <v>52</v>
      </c>
      <c r="C26">
        <v>20062018</v>
      </c>
      <c r="D26">
        <v>60</v>
      </c>
      <c r="E26" t="str">
        <f>"TR TO C/A"</f>
        <v>TR TO C/A</v>
      </c>
      <c r="F26">
        <v>9938</v>
      </c>
      <c r="G26" t="str">
        <f>"31440662"</f>
        <v>31440662</v>
      </c>
      <c r="H26" s="2">
        <v>630</v>
      </c>
      <c r="I26" t="s">
        <v>26</v>
      </c>
      <c r="J26" s="2">
        <v>284305.67</v>
      </c>
      <c r="K26" t="s">
        <v>27</v>
      </c>
      <c r="L26">
        <v>171308</v>
      </c>
      <c r="M26" t="str">
        <f>"GUIDE FEE FOR MAY&amp;JU TOH KIM HOCK"</f>
        <v>GUIDE FEE FOR MAY&amp;JU TOH KIM HOCK</v>
      </c>
      <c r="O26">
        <v>1</v>
      </c>
      <c r="P26" t="str">
        <f>"PGTEFT3284"</f>
        <v>PGTEFT3284</v>
      </c>
      <c r="Q26" t="str">
        <f>"INV153T 154T 155T"</f>
        <v>INV153T 154T 155T</v>
      </c>
    </row>
    <row r="27" spans="1:18" x14ac:dyDescent="0.25">
      <c r="A27">
        <v>8003879954</v>
      </c>
      <c r="B27">
        <v>51</v>
      </c>
      <c r="C27">
        <v>20062018</v>
      </c>
      <c r="D27">
        <v>341</v>
      </c>
      <c r="E27" t="str">
        <f>"TR IBG"</f>
        <v>TR IBG</v>
      </c>
      <c r="F27">
        <v>9938</v>
      </c>
      <c r="G27" t="str">
        <f>"31444473"</f>
        <v>31444473</v>
      </c>
      <c r="H27" s="2">
        <v>120</v>
      </c>
      <c r="I27" t="s">
        <v>26</v>
      </c>
      <c r="J27" s="2">
        <v>284935.67</v>
      </c>
      <c r="K27" t="s">
        <v>27</v>
      </c>
      <c r="L27">
        <v>171034</v>
      </c>
      <c r="M27" t="str">
        <f>"ROD CREATIVE SDN BHD"</f>
        <v>ROD CREATIVE SDN BHD</v>
      </c>
      <c r="O27">
        <v>1</v>
      </c>
      <c r="P27" t="str">
        <f>"PGTEFT3276"</f>
        <v>PGTEFT3276</v>
      </c>
      <c r="Q27" t="str">
        <f>"INV152217 152204"</f>
        <v>INV152217 152204</v>
      </c>
    </row>
    <row r="28" spans="1:18" x14ac:dyDescent="0.25">
      <c r="A28">
        <v>8003879954</v>
      </c>
      <c r="B28">
        <v>50</v>
      </c>
      <c r="C28">
        <v>20062018</v>
      </c>
      <c r="D28">
        <v>489</v>
      </c>
      <c r="E28" t="str">
        <f>"OTHER TRANSFER FEE"</f>
        <v>OTHER TRANSFER FEE</v>
      </c>
      <c r="F28">
        <v>9938</v>
      </c>
      <c r="G28" t="str">
        <f>"31444473"</f>
        <v>31444473</v>
      </c>
      <c r="H28" s="2">
        <v>0.1</v>
      </c>
      <c r="I28" t="s">
        <v>26</v>
      </c>
      <c r="J28" s="2">
        <v>285055.67</v>
      </c>
      <c r="K28" t="s">
        <v>27</v>
      </c>
      <c r="L28">
        <v>171034</v>
      </c>
      <c r="M28" t="str">
        <f>"PGTEFT3276          INV152217 152204"</f>
        <v>PGTEFT3276          INV152217 152204</v>
      </c>
      <c r="O28">
        <v>1</v>
      </c>
    </row>
    <row r="29" spans="1:18" x14ac:dyDescent="0.25">
      <c r="A29">
        <v>8003879954</v>
      </c>
      <c r="B29">
        <v>49</v>
      </c>
      <c r="C29">
        <v>20062018</v>
      </c>
      <c r="D29">
        <v>341</v>
      </c>
      <c r="E29" t="str">
        <f>"TR IBG"</f>
        <v>TR IBG</v>
      </c>
      <c r="F29">
        <v>9938</v>
      </c>
      <c r="G29" t="str">
        <f>"31440827"</f>
        <v>31440827</v>
      </c>
      <c r="H29" s="2">
        <v>301.39</v>
      </c>
      <c r="I29" t="s">
        <v>26</v>
      </c>
      <c r="J29" s="2">
        <v>285055.77</v>
      </c>
      <c r="K29" t="s">
        <v>27</v>
      </c>
      <c r="L29">
        <v>171035</v>
      </c>
      <c r="M29" t="str">
        <f>"TNT EXPRESS WORLDWID"</f>
        <v>TNT EXPRESS WORLDWID</v>
      </c>
      <c r="O29">
        <v>1</v>
      </c>
      <c r="P29" t="str">
        <f>"PGTEFT3282"</f>
        <v>PGTEFT3282</v>
      </c>
      <c r="Q29" t="str">
        <f>"ACC233560"</f>
        <v>ACC233560</v>
      </c>
    </row>
    <row r="30" spans="1:18" x14ac:dyDescent="0.25">
      <c r="A30">
        <v>8003879954</v>
      </c>
      <c r="B30">
        <v>48</v>
      </c>
      <c r="C30">
        <v>20062018</v>
      </c>
      <c r="D30">
        <v>489</v>
      </c>
      <c r="E30" t="str">
        <f>"OTHER TRANSFER FEE"</f>
        <v>OTHER TRANSFER FEE</v>
      </c>
      <c r="F30">
        <v>9938</v>
      </c>
      <c r="G30" t="str">
        <f>"31440827"</f>
        <v>31440827</v>
      </c>
      <c r="H30" s="2">
        <v>0.1</v>
      </c>
      <c r="I30" t="s">
        <v>26</v>
      </c>
      <c r="J30" s="2">
        <v>285357.15999999997</v>
      </c>
      <c r="K30" t="s">
        <v>27</v>
      </c>
      <c r="L30">
        <v>171035</v>
      </c>
      <c r="M30" t="str">
        <f>"PGTEFT3282          ACC233560"</f>
        <v>PGTEFT3282          ACC233560</v>
      </c>
      <c r="O30">
        <v>1</v>
      </c>
    </row>
    <row r="31" spans="1:18" x14ac:dyDescent="0.25">
      <c r="A31">
        <v>8003879954</v>
      </c>
      <c r="B31">
        <v>47</v>
      </c>
      <c r="C31">
        <v>20062018</v>
      </c>
      <c r="D31">
        <v>341</v>
      </c>
      <c r="E31" t="str">
        <f>"TR IBG"</f>
        <v>TR IBG</v>
      </c>
      <c r="F31">
        <v>9938</v>
      </c>
      <c r="G31" t="str">
        <f>"31444376"</f>
        <v>31444376</v>
      </c>
      <c r="H31" s="2">
        <v>400</v>
      </c>
      <c r="I31" t="s">
        <v>26</v>
      </c>
      <c r="J31" s="2">
        <v>285357.26</v>
      </c>
      <c r="K31" t="s">
        <v>27</v>
      </c>
      <c r="L31">
        <v>171034</v>
      </c>
      <c r="M31" t="str">
        <f>"SHERWYND KESSLER STU"</f>
        <v>SHERWYND KESSLER STU</v>
      </c>
      <c r="O31">
        <v>1</v>
      </c>
      <c r="P31" t="str">
        <f>"PGTEFT3278"</f>
        <v>PGTEFT3278</v>
      </c>
      <c r="Q31" t="str">
        <f>"INV001163"</f>
        <v>INV001163</v>
      </c>
    </row>
    <row r="32" spans="1:18" x14ac:dyDescent="0.25">
      <c r="A32">
        <v>8003879954</v>
      </c>
      <c r="B32">
        <v>46</v>
      </c>
      <c r="C32">
        <v>20062018</v>
      </c>
      <c r="D32">
        <v>489</v>
      </c>
      <c r="E32" t="str">
        <f>"OTHER TRANSFER FEE"</f>
        <v>OTHER TRANSFER FEE</v>
      </c>
      <c r="F32">
        <v>9938</v>
      </c>
      <c r="G32" t="str">
        <f>"31444376"</f>
        <v>31444376</v>
      </c>
      <c r="H32" s="2">
        <v>0.1</v>
      </c>
      <c r="I32" t="s">
        <v>26</v>
      </c>
      <c r="J32" s="2">
        <v>285757.26</v>
      </c>
      <c r="K32" t="s">
        <v>27</v>
      </c>
      <c r="L32">
        <v>171034</v>
      </c>
      <c r="M32" t="str">
        <f>"PGTEFT3278          INV001163"</f>
        <v>PGTEFT3278          INV001163</v>
      </c>
      <c r="O32">
        <v>1</v>
      </c>
    </row>
    <row r="33" spans="1:17" x14ac:dyDescent="0.25">
      <c r="A33">
        <v>8003879954</v>
      </c>
      <c r="B33">
        <v>45</v>
      </c>
      <c r="C33">
        <v>20062018</v>
      </c>
      <c r="D33">
        <v>341</v>
      </c>
      <c r="E33" t="str">
        <f>"TR IBG"</f>
        <v>TR IBG</v>
      </c>
      <c r="F33">
        <v>9938</v>
      </c>
      <c r="G33" t="str">
        <f>"31441568"</f>
        <v>31441568</v>
      </c>
      <c r="H33" s="2">
        <v>470</v>
      </c>
      <c r="I33" t="s">
        <v>26</v>
      </c>
      <c r="J33" s="2">
        <v>285757.36</v>
      </c>
      <c r="K33" t="s">
        <v>27</v>
      </c>
      <c r="L33">
        <v>171034</v>
      </c>
      <c r="M33" t="str">
        <f>"SAGE SOFTWARE SDN BH"</f>
        <v>SAGE SOFTWARE SDN BH</v>
      </c>
      <c r="O33">
        <v>1</v>
      </c>
      <c r="P33" t="str">
        <f>"PGTEFT3280"</f>
        <v>PGTEFT3280</v>
      </c>
      <c r="Q33" t="str">
        <f>"PRO112303"</f>
        <v>PRO112303</v>
      </c>
    </row>
    <row r="34" spans="1:17" x14ac:dyDescent="0.25">
      <c r="A34">
        <v>8003879954</v>
      </c>
      <c r="B34">
        <v>44</v>
      </c>
      <c r="C34">
        <v>20062018</v>
      </c>
      <c r="D34">
        <v>489</v>
      </c>
      <c r="E34" t="str">
        <f>"OTHER TRANSFER FEE"</f>
        <v>OTHER TRANSFER FEE</v>
      </c>
      <c r="F34">
        <v>9938</v>
      </c>
      <c r="G34" t="str">
        <f>"31441568"</f>
        <v>31441568</v>
      </c>
      <c r="H34" s="2">
        <v>0.1</v>
      </c>
      <c r="I34" t="s">
        <v>26</v>
      </c>
      <c r="J34" s="2">
        <v>286227.36</v>
      </c>
      <c r="K34" t="s">
        <v>27</v>
      </c>
      <c r="L34">
        <v>171034</v>
      </c>
      <c r="M34" t="str">
        <f>"PGTEFT3280          PRO112303"</f>
        <v>PGTEFT3280          PRO112303</v>
      </c>
      <c r="O34">
        <v>1</v>
      </c>
    </row>
    <row r="35" spans="1:17" x14ac:dyDescent="0.25">
      <c r="A35">
        <v>8003879954</v>
      </c>
      <c r="B35">
        <v>43</v>
      </c>
      <c r="C35">
        <v>20062018</v>
      </c>
      <c r="D35">
        <v>341</v>
      </c>
      <c r="E35" t="str">
        <f>"TR IBG"</f>
        <v>TR IBG</v>
      </c>
      <c r="F35">
        <v>9938</v>
      </c>
      <c r="G35" t="str">
        <f>"31444566"</f>
        <v>31444566</v>
      </c>
      <c r="H35" s="2">
        <v>3500</v>
      </c>
      <c r="I35" t="s">
        <v>26</v>
      </c>
      <c r="J35" s="2">
        <v>286227.46000000002</v>
      </c>
      <c r="K35" t="s">
        <v>27</v>
      </c>
      <c r="L35">
        <v>171034</v>
      </c>
      <c r="M35" t="str">
        <f>"OPTIMAL MEDIA SDN BH"</f>
        <v>OPTIMAL MEDIA SDN BH</v>
      </c>
      <c r="O35">
        <v>1</v>
      </c>
      <c r="P35" t="str">
        <f>"PGTEFT3274"</f>
        <v>PGTEFT3274</v>
      </c>
      <c r="Q35" t="str">
        <f>"INV456"</f>
        <v>INV456</v>
      </c>
    </row>
    <row r="36" spans="1:17" x14ac:dyDescent="0.25">
      <c r="A36">
        <v>8003879954</v>
      </c>
      <c r="B36">
        <v>42</v>
      </c>
      <c r="C36">
        <v>20062018</v>
      </c>
      <c r="D36">
        <v>489</v>
      </c>
      <c r="E36" t="str">
        <f>"OTHER TRANSFER FEE"</f>
        <v>OTHER TRANSFER FEE</v>
      </c>
      <c r="F36">
        <v>9938</v>
      </c>
      <c r="G36" t="str">
        <f>"31444566"</f>
        <v>31444566</v>
      </c>
      <c r="H36" s="2">
        <v>0.1</v>
      </c>
      <c r="I36" t="s">
        <v>26</v>
      </c>
      <c r="J36" s="2">
        <v>289727.46000000002</v>
      </c>
      <c r="K36" t="s">
        <v>27</v>
      </c>
      <c r="L36">
        <v>171034</v>
      </c>
      <c r="M36" t="str">
        <f>"PGTEFT3274          INV456"</f>
        <v>PGTEFT3274          INV456</v>
      </c>
      <c r="O36">
        <v>1</v>
      </c>
    </row>
    <row r="37" spans="1:17" x14ac:dyDescent="0.25">
      <c r="A37">
        <v>8003879954</v>
      </c>
      <c r="B37">
        <v>41</v>
      </c>
      <c r="C37">
        <v>20062018</v>
      </c>
      <c r="D37">
        <v>341</v>
      </c>
      <c r="E37" t="str">
        <f>"TR IBG"</f>
        <v>TR IBG</v>
      </c>
      <c r="F37">
        <v>9938</v>
      </c>
      <c r="G37" t="str">
        <f>"31444418"</f>
        <v>31444418</v>
      </c>
      <c r="H37" s="2">
        <v>748.3</v>
      </c>
      <c r="I37" t="s">
        <v>26</v>
      </c>
      <c r="J37" s="2">
        <v>289727.56</v>
      </c>
      <c r="K37" t="s">
        <v>27</v>
      </c>
      <c r="L37">
        <v>171033</v>
      </c>
      <c r="M37" t="str">
        <f>"KANESAN A/L RAMOO"</f>
        <v>KANESAN A/L RAMOO</v>
      </c>
      <c r="O37">
        <v>1</v>
      </c>
      <c r="P37" t="str">
        <f>"PGTEFT3277"</f>
        <v>PGTEFT3277</v>
      </c>
      <c r="Q37" t="str">
        <f>"NEWSPAPER"</f>
        <v>NEWSPAPER</v>
      </c>
    </row>
    <row r="38" spans="1:17" x14ac:dyDescent="0.25">
      <c r="A38">
        <v>8003879954</v>
      </c>
      <c r="B38">
        <v>40</v>
      </c>
      <c r="C38">
        <v>20062018</v>
      </c>
      <c r="D38">
        <v>489</v>
      </c>
      <c r="E38" t="str">
        <f>"OTHER TRANSFER FEE"</f>
        <v>OTHER TRANSFER FEE</v>
      </c>
      <c r="F38">
        <v>9938</v>
      </c>
      <c r="G38" t="str">
        <f>"31444418"</f>
        <v>31444418</v>
      </c>
      <c r="H38" s="2">
        <v>0.1</v>
      </c>
      <c r="I38" t="s">
        <v>26</v>
      </c>
      <c r="J38" s="2">
        <v>290475.86</v>
      </c>
      <c r="K38" t="s">
        <v>27</v>
      </c>
      <c r="L38">
        <v>171033</v>
      </c>
      <c r="M38" t="str">
        <f>"PGTEFT3277          NEWSPAPER"</f>
        <v>PGTEFT3277          NEWSPAPER</v>
      </c>
      <c r="O38">
        <v>1</v>
      </c>
    </row>
    <row r="39" spans="1:17" x14ac:dyDescent="0.25">
      <c r="A39">
        <v>8003879954</v>
      </c>
      <c r="B39">
        <v>39</v>
      </c>
      <c r="C39">
        <v>20062018</v>
      </c>
      <c r="D39">
        <v>341</v>
      </c>
      <c r="E39" t="str">
        <f>"TR IBG"</f>
        <v>TR IBG</v>
      </c>
      <c r="F39">
        <v>9938</v>
      </c>
      <c r="G39" t="str">
        <f>"31441405"</f>
        <v>31441405</v>
      </c>
      <c r="H39" s="2">
        <v>151.4</v>
      </c>
      <c r="I39" t="s">
        <v>26</v>
      </c>
      <c r="J39" s="2">
        <v>290475.96000000002</v>
      </c>
      <c r="K39" t="s">
        <v>27</v>
      </c>
      <c r="L39">
        <v>171033</v>
      </c>
      <c r="M39" t="str">
        <f>"TOONG LI STATIONERY"</f>
        <v>TOONG LI STATIONERY</v>
      </c>
      <c r="O39">
        <v>1</v>
      </c>
      <c r="P39" t="str">
        <f>"PGTEFT3281"</f>
        <v>PGTEFT3281</v>
      </c>
      <c r="Q39" t="str">
        <f>"IV-138362"</f>
        <v>IV-138362</v>
      </c>
    </row>
    <row r="40" spans="1:17" x14ac:dyDescent="0.25">
      <c r="A40">
        <v>8003879954</v>
      </c>
      <c r="B40">
        <v>38</v>
      </c>
      <c r="C40">
        <v>20062018</v>
      </c>
      <c r="D40">
        <v>489</v>
      </c>
      <c r="E40" t="str">
        <f>"OTHER TRANSFER FEE"</f>
        <v>OTHER TRANSFER FEE</v>
      </c>
      <c r="F40">
        <v>9938</v>
      </c>
      <c r="G40" t="str">
        <f>"31441405"</f>
        <v>31441405</v>
      </c>
      <c r="H40" s="2">
        <v>0.1</v>
      </c>
      <c r="I40" t="s">
        <v>26</v>
      </c>
      <c r="J40" s="2">
        <v>290627.36</v>
      </c>
      <c r="K40" t="s">
        <v>27</v>
      </c>
      <c r="L40">
        <v>171033</v>
      </c>
      <c r="M40" t="str">
        <f>"PGTEFT3281          IV-138362"</f>
        <v>PGTEFT3281          IV-138362</v>
      </c>
      <c r="O40">
        <v>1</v>
      </c>
    </row>
    <row r="41" spans="1:17" x14ac:dyDescent="0.25">
      <c r="A41">
        <v>8003879954</v>
      </c>
      <c r="B41">
        <v>37</v>
      </c>
      <c r="C41">
        <v>20062018</v>
      </c>
      <c r="D41">
        <v>341</v>
      </c>
      <c r="E41" t="str">
        <f>"TR IBG"</f>
        <v>TR IBG</v>
      </c>
      <c r="F41">
        <v>9938</v>
      </c>
      <c r="G41" t="str">
        <f>"31441972"</f>
        <v>31441972</v>
      </c>
      <c r="H41" s="2">
        <v>300</v>
      </c>
      <c r="I41" t="s">
        <v>26</v>
      </c>
      <c r="J41" s="2">
        <v>290627.46000000002</v>
      </c>
      <c r="K41" t="s">
        <v>27</v>
      </c>
      <c r="L41">
        <v>171033</v>
      </c>
      <c r="M41" t="str">
        <f>"STAR MEDIA GROUP BER"</f>
        <v>STAR MEDIA GROUP BER</v>
      </c>
      <c r="O41">
        <v>1</v>
      </c>
      <c r="P41" t="str">
        <f>"PGTEFT3279"</f>
        <v>PGTEFT3279</v>
      </c>
      <c r="Q41" t="str">
        <f>"STAR ID 209266"</f>
        <v>STAR ID 209266</v>
      </c>
    </row>
    <row r="42" spans="1:17" x14ac:dyDescent="0.25">
      <c r="A42">
        <v>8003879954</v>
      </c>
      <c r="B42">
        <v>36</v>
      </c>
      <c r="C42">
        <v>20062018</v>
      </c>
      <c r="D42">
        <v>489</v>
      </c>
      <c r="E42" t="str">
        <f>"OTHER TRANSFER FEE"</f>
        <v>OTHER TRANSFER FEE</v>
      </c>
      <c r="F42">
        <v>9938</v>
      </c>
      <c r="G42" t="str">
        <f>"31441972"</f>
        <v>31441972</v>
      </c>
      <c r="H42" s="2">
        <v>0.1</v>
      </c>
      <c r="I42" t="s">
        <v>26</v>
      </c>
      <c r="J42" s="2">
        <v>290927.46000000002</v>
      </c>
      <c r="K42" t="s">
        <v>27</v>
      </c>
      <c r="L42">
        <v>171033</v>
      </c>
      <c r="M42" t="str">
        <f>"PGTEFT3279          STAR ID 209266"</f>
        <v>PGTEFT3279          STAR ID 209266</v>
      </c>
      <c r="O42">
        <v>1</v>
      </c>
    </row>
    <row r="43" spans="1:17" x14ac:dyDescent="0.25">
      <c r="A43">
        <v>8003879954</v>
      </c>
      <c r="B43">
        <v>35</v>
      </c>
      <c r="C43">
        <v>20062018</v>
      </c>
      <c r="D43">
        <v>60</v>
      </c>
      <c r="E43" t="str">
        <f>"TR TO C/A"</f>
        <v>TR TO C/A</v>
      </c>
      <c r="F43">
        <v>9938</v>
      </c>
      <c r="G43" t="str">
        <f>"31444665"</f>
        <v>31444665</v>
      </c>
      <c r="H43" s="2">
        <v>540</v>
      </c>
      <c r="I43" t="s">
        <v>26</v>
      </c>
      <c r="J43" s="2">
        <v>290927.56</v>
      </c>
      <c r="K43" t="s">
        <v>27</v>
      </c>
      <c r="L43">
        <v>171033</v>
      </c>
      <c r="M43" t="str">
        <f>"RO WATER 60 DRUMS OMEGA SPARKLES SDN"</f>
        <v>RO WATER 60 DRUMS OMEGA SPARKLES SDN</v>
      </c>
      <c r="O43">
        <v>1</v>
      </c>
      <c r="P43" t="str">
        <f>"PGTEFT3273"</f>
        <v>PGTEFT3273</v>
      </c>
      <c r="Q43" t="str">
        <f>"I-46953"</f>
        <v>I-46953</v>
      </c>
    </row>
    <row r="44" spans="1:17" x14ac:dyDescent="0.25">
      <c r="A44">
        <v>8003879954</v>
      </c>
      <c r="B44">
        <v>34</v>
      </c>
      <c r="C44">
        <v>20062018</v>
      </c>
      <c r="D44">
        <v>60</v>
      </c>
      <c r="E44" t="str">
        <f>"TR TO C/A"</f>
        <v>TR TO C/A</v>
      </c>
      <c r="F44">
        <v>9938</v>
      </c>
      <c r="G44" t="str">
        <f>"31444517"</f>
        <v>31444517</v>
      </c>
      <c r="H44" s="2">
        <v>5300</v>
      </c>
      <c r="I44" t="s">
        <v>26</v>
      </c>
      <c r="J44" s="2">
        <v>291467.56</v>
      </c>
      <c r="K44" t="s">
        <v>27</v>
      </c>
      <c r="L44">
        <v>171033</v>
      </c>
      <c r="M44" t="str">
        <f>"LED-JUNE'18 PERFORMANCE PLUS MA"</f>
        <v>LED-JUNE'18 PERFORMANCE PLUS MA</v>
      </c>
      <c r="O44">
        <v>1</v>
      </c>
      <c r="P44" t="str">
        <f>"PGTEFT3275"</f>
        <v>PGTEFT3275</v>
      </c>
      <c r="Q44" t="str">
        <f>"PPM18-06-01"</f>
        <v>PPM18-06-01</v>
      </c>
    </row>
    <row r="45" spans="1:17" x14ac:dyDescent="0.25">
      <c r="A45">
        <v>8003879954</v>
      </c>
      <c r="B45">
        <v>33</v>
      </c>
      <c r="C45">
        <v>20062018</v>
      </c>
      <c r="D45">
        <v>60</v>
      </c>
      <c r="E45" t="str">
        <f>"TR TO C/A"</f>
        <v>TR TO C/A</v>
      </c>
      <c r="F45">
        <v>9938</v>
      </c>
      <c r="G45" t="str">
        <f>"31445516"</f>
        <v>31445516</v>
      </c>
      <c r="H45" s="2">
        <v>1190</v>
      </c>
      <c r="I45" t="s">
        <v>26</v>
      </c>
      <c r="J45" s="2">
        <v>296767.56</v>
      </c>
      <c r="K45" t="s">
        <v>27</v>
      </c>
      <c r="L45">
        <v>170804</v>
      </c>
      <c r="M45" t="str">
        <f>"DINNER MUNTRI MEWS SDN BHD"</f>
        <v>DINNER MUNTRI MEWS SDN BHD</v>
      </c>
      <c r="O45">
        <v>1</v>
      </c>
      <c r="P45" t="str">
        <f>"PGTEFT3270"</f>
        <v>PGTEFT3270</v>
      </c>
      <c r="Q45" t="str">
        <f>"QATAR AND SG FRANCE"</f>
        <v>QATAR AND SG FRANCE</v>
      </c>
    </row>
    <row r="46" spans="1:17" x14ac:dyDescent="0.25">
      <c r="A46">
        <v>8003879954</v>
      </c>
      <c r="B46">
        <v>32</v>
      </c>
      <c r="C46">
        <v>20062018</v>
      </c>
      <c r="D46">
        <v>341</v>
      </c>
      <c r="E46" t="str">
        <f>"TR IBG"</f>
        <v>TR IBG</v>
      </c>
      <c r="F46">
        <v>9938</v>
      </c>
      <c r="G46" t="str">
        <f>"31446052"</f>
        <v>31446052</v>
      </c>
      <c r="H46" s="2">
        <v>660</v>
      </c>
      <c r="I46" t="s">
        <v>26</v>
      </c>
      <c r="J46" s="2">
        <v>297957.56</v>
      </c>
      <c r="K46" t="s">
        <v>27</v>
      </c>
      <c r="L46">
        <v>170803</v>
      </c>
      <c r="M46" t="str">
        <f>"LIANG CHOW MING"</f>
        <v>LIANG CHOW MING</v>
      </c>
      <c r="O46">
        <v>1</v>
      </c>
      <c r="P46" t="str">
        <f>"PGTEFT3268"</f>
        <v>PGTEFT3268</v>
      </c>
      <c r="Q46" t="str">
        <f>"INV19583 584 586"</f>
        <v>INV19583 584 586</v>
      </c>
    </row>
    <row r="47" spans="1:17" x14ac:dyDescent="0.25">
      <c r="A47">
        <v>8003879954</v>
      </c>
      <c r="B47">
        <v>31</v>
      </c>
      <c r="C47">
        <v>20062018</v>
      </c>
      <c r="D47">
        <v>489</v>
      </c>
      <c r="E47" t="str">
        <f>"OTHER TRANSFER FEE"</f>
        <v>OTHER TRANSFER FEE</v>
      </c>
      <c r="F47">
        <v>9938</v>
      </c>
      <c r="G47" t="str">
        <f>"31446052"</f>
        <v>31446052</v>
      </c>
      <c r="H47" s="2">
        <v>0.1</v>
      </c>
      <c r="I47" t="s">
        <v>26</v>
      </c>
      <c r="J47" s="2">
        <v>298617.56</v>
      </c>
      <c r="K47" t="s">
        <v>27</v>
      </c>
      <c r="L47">
        <v>170803</v>
      </c>
      <c r="M47" t="str">
        <f>"PGTEFT3268          INV19583 584 586"</f>
        <v>PGTEFT3268          INV19583 584 586</v>
      </c>
      <c r="O47">
        <v>1</v>
      </c>
    </row>
    <row r="48" spans="1:17" x14ac:dyDescent="0.25">
      <c r="A48">
        <v>8003879954</v>
      </c>
      <c r="B48">
        <v>30</v>
      </c>
      <c r="C48">
        <v>20062018</v>
      </c>
      <c r="D48">
        <v>341</v>
      </c>
      <c r="E48" t="str">
        <f>"TR IBG"</f>
        <v>TR IBG</v>
      </c>
      <c r="F48">
        <v>9938</v>
      </c>
      <c r="G48" t="str">
        <f>"31445923"</f>
        <v>31445923</v>
      </c>
      <c r="H48" s="2">
        <v>1500</v>
      </c>
      <c r="I48" t="s">
        <v>26</v>
      </c>
      <c r="J48" s="2">
        <v>298617.65999999997</v>
      </c>
      <c r="K48" t="s">
        <v>27</v>
      </c>
      <c r="L48">
        <v>170802</v>
      </c>
      <c r="M48" t="str">
        <f>"MAJLIS KEBUDAYAAN NE"</f>
        <v>MAJLIS KEBUDAYAAN NE</v>
      </c>
      <c r="O48">
        <v>1</v>
      </c>
      <c r="P48" t="str">
        <f>"PGTEFT3269"</f>
        <v>PGTEFT3269</v>
      </c>
      <c r="Q48" t="str">
        <f>"KKNPP-2018-03-02-10"</f>
        <v>KKNPP-2018-03-02-10</v>
      </c>
    </row>
    <row r="49" spans="1:17" x14ac:dyDescent="0.25">
      <c r="A49">
        <v>8003879954</v>
      </c>
      <c r="B49">
        <v>29</v>
      </c>
      <c r="C49">
        <v>20062018</v>
      </c>
      <c r="D49">
        <v>489</v>
      </c>
      <c r="E49" t="str">
        <f>"OTHER TRANSFER FEE"</f>
        <v>OTHER TRANSFER FEE</v>
      </c>
      <c r="F49">
        <v>9938</v>
      </c>
      <c r="G49" t="str">
        <f>"31445923"</f>
        <v>31445923</v>
      </c>
      <c r="H49" s="2">
        <v>0.1</v>
      </c>
      <c r="I49" t="s">
        <v>26</v>
      </c>
      <c r="J49" s="2">
        <v>300117.65999999997</v>
      </c>
      <c r="K49" t="s">
        <v>27</v>
      </c>
      <c r="L49">
        <v>170802</v>
      </c>
      <c r="M49" t="str">
        <f>"PGTEFT3269          KKNPP-2018-03-02-10"</f>
        <v>PGTEFT3269          KKNPP-2018-03-02-10</v>
      </c>
      <c r="O49">
        <v>1</v>
      </c>
    </row>
    <row r="50" spans="1:17" x14ac:dyDescent="0.25">
      <c r="A50">
        <v>8003879954</v>
      </c>
      <c r="B50">
        <v>28</v>
      </c>
      <c r="C50">
        <v>20062018</v>
      </c>
      <c r="D50">
        <v>341</v>
      </c>
      <c r="E50" t="str">
        <f>"TR IBG"</f>
        <v>TR IBG</v>
      </c>
      <c r="F50">
        <v>9938</v>
      </c>
      <c r="G50" t="str">
        <f>"31446179"</f>
        <v>31446179</v>
      </c>
      <c r="H50" s="2">
        <v>18</v>
      </c>
      <c r="I50" t="s">
        <v>26</v>
      </c>
      <c r="J50" s="2">
        <v>300117.76000000001</v>
      </c>
      <c r="K50" t="s">
        <v>27</v>
      </c>
      <c r="L50">
        <v>170802</v>
      </c>
      <c r="M50" t="str">
        <f>"EDITORIAL ASSOCIATES"</f>
        <v>EDITORIAL ASSOCIATES</v>
      </c>
      <c r="O50">
        <v>1</v>
      </c>
      <c r="P50" t="str">
        <f>"PGTEFT3265"</f>
        <v>PGTEFT3265</v>
      </c>
    </row>
    <row r="51" spans="1:17" x14ac:dyDescent="0.25">
      <c r="A51">
        <v>8003879954</v>
      </c>
      <c r="B51">
        <v>27</v>
      </c>
      <c r="C51">
        <v>20062018</v>
      </c>
      <c r="D51">
        <v>489</v>
      </c>
      <c r="E51" t="str">
        <f>"OTHER TRANSFER FEE"</f>
        <v>OTHER TRANSFER FEE</v>
      </c>
      <c r="F51">
        <v>9938</v>
      </c>
      <c r="G51" t="str">
        <f>"31446179"</f>
        <v>31446179</v>
      </c>
      <c r="H51" s="2">
        <v>0.1</v>
      </c>
      <c r="I51" t="s">
        <v>26</v>
      </c>
      <c r="J51" s="2">
        <v>300135.76</v>
      </c>
      <c r="K51" t="s">
        <v>27</v>
      </c>
      <c r="L51">
        <v>170802</v>
      </c>
      <c r="M51" t="str">
        <f>"PGTEFT3265"</f>
        <v>PGTEFT3265</v>
      </c>
      <c r="O51">
        <v>1</v>
      </c>
    </row>
    <row r="52" spans="1:17" x14ac:dyDescent="0.25">
      <c r="A52">
        <v>8003879954</v>
      </c>
      <c r="B52">
        <v>26</v>
      </c>
      <c r="C52">
        <v>20062018</v>
      </c>
      <c r="D52">
        <v>341</v>
      </c>
      <c r="E52" t="str">
        <f>"TR IBG"</f>
        <v>TR IBG</v>
      </c>
      <c r="F52">
        <v>9938</v>
      </c>
      <c r="G52" t="str">
        <f>"31444774"</f>
        <v>31444774</v>
      </c>
      <c r="H52" s="2">
        <v>9082</v>
      </c>
      <c r="I52" t="s">
        <v>26</v>
      </c>
      <c r="J52" s="2">
        <v>300135.86</v>
      </c>
      <c r="K52" t="s">
        <v>27</v>
      </c>
      <c r="L52">
        <v>170802</v>
      </c>
      <c r="M52" t="str">
        <f>"MAGNIFICENT EMPIRE S"</f>
        <v>MAGNIFICENT EMPIRE S</v>
      </c>
      <c r="O52">
        <v>1</v>
      </c>
      <c r="P52" t="str">
        <f>"PGTEFT3272"</f>
        <v>PGTEFT3272</v>
      </c>
      <c r="Q52" t="str">
        <f>"TW TACTICAL CAMPAIGN"</f>
        <v>TW TACTICAL CAMPAIGN</v>
      </c>
    </row>
    <row r="53" spans="1:17" x14ac:dyDescent="0.25">
      <c r="A53">
        <v>8003879954</v>
      </c>
      <c r="B53">
        <v>25</v>
      </c>
      <c r="C53">
        <v>20062018</v>
      </c>
      <c r="D53">
        <v>489</v>
      </c>
      <c r="E53" t="str">
        <f>"OTHER TRANSFER FEE"</f>
        <v>OTHER TRANSFER FEE</v>
      </c>
      <c r="F53">
        <v>9938</v>
      </c>
      <c r="G53" t="str">
        <f>"31444774"</f>
        <v>31444774</v>
      </c>
      <c r="H53" s="2">
        <v>0.1</v>
      </c>
      <c r="I53" t="s">
        <v>26</v>
      </c>
      <c r="J53" s="2">
        <v>309217.86</v>
      </c>
      <c r="K53" t="s">
        <v>27</v>
      </c>
      <c r="L53">
        <v>170802</v>
      </c>
      <c r="M53" t="str">
        <f>"PGTEFT3272          TW TACTICAL CAMPAIGN"</f>
        <v>PGTEFT3272          TW TACTICAL CAMPAIGN</v>
      </c>
      <c r="O53">
        <v>1</v>
      </c>
    </row>
    <row r="54" spans="1:17" x14ac:dyDescent="0.25">
      <c r="A54">
        <v>8003879954</v>
      </c>
      <c r="B54">
        <v>24</v>
      </c>
      <c r="C54">
        <v>20062018</v>
      </c>
      <c r="D54">
        <v>341</v>
      </c>
      <c r="E54" t="str">
        <f>"TR IBG"</f>
        <v>TR IBG</v>
      </c>
      <c r="F54">
        <v>9938</v>
      </c>
      <c r="G54" t="str">
        <f>"31446365"</f>
        <v>31446365</v>
      </c>
      <c r="H54" s="2">
        <v>960.61</v>
      </c>
      <c r="I54" t="s">
        <v>26</v>
      </c>
      <c r="J54" s="2">
        <v>309217.96000000002</v>
      </c>
      <c r="K54" t="s">
        <v>27</v>
      </c>
      <c r="L54">
        <v>170802</v>
      </c>
      <c r="M54" t="str">
        <f>"FUJI XEROX ASIA PACI"</f>
        <v>FUJI XEROX ASIA PACI</v>
      </c>
      <c r="O54">
        <v>1</v>
      </c>
      <c r="P54" t="str">
        <f>"PGTEFT3263"</f>
        <v>PGTEFT3263</v>
      </c>
      <c r="Q54" t="str">
        <f>"ACC316057"</f>
        <v>ACC316057</v>
      </c>
    </row>
    <row r="55" spans="1:17" x14ac:dyDescent="0.25">
      <c r="A55">
        <v>8003879954</v>
      </c>
      <c r="B55">
        <v>23</v>
      </c>
      <c r="C55">
        <v>20062018</v>
      </c>
      <c r="D55">
        <v>489</v>
      </c>
      <c r="E55" t="str">
        <f>"OTHER TRANSFER FEE"</f>
        <v>OTHER TRANSFER FEE</v>
      </c>
      <c r="F55">
        <v>9938</v>
      </c>
      <c r="G55" t="str">
        <f>"31446365"</f>
        <v>31446365</v>
      </c>
      <c r="H55" s="2">
        <v>0.1</v>
      </c>
      <c r="I55" t="s">
        <v>26</v>
      </c>
      <c r="J55" s="2">
        <v>310178.57</v>
      </c>
      <c r="K55" t="s">
        <v>27</v>
      </c>
      <c r="L55">
        <v>170802</v>
      </c>
      <c r="M55" t="str">
        <f>"PGTEFT3263          ACC316057"</f>
        <v>PGTEFT3263          ACC316057</v>
      </c>
      <c r="O55">
        <v>1</v>
      </c>
    </row>
    <row r="56" spans="1:17" x14ac:dyDescent="0.25">
      <c r="A56">
        <v>8003879954</v>
      </c>
      <c r="B56">
        <v>22</v>
      </c>
      <c r="C56">
        <v>20062018</v>
      </c>
      <c r="D56">
        <v>341</v>
      </c>
      <c r="E56" t="str">
        <f>"TR IBG"</f>
        <v>TR IBG</v>
      </c>
      <c r="F56">
        <v>9938</v>
      </c>
      <c r="G56" t="str">
        <f>"31446116"</f>
        <v>31446116</v>
      </c>
      <c r="H56" s="2">
        <v>90</v>
      </c>
      <c r="I56" t="s">
        <v>26</v>
      </c>
      <c r="J56" s="2">
        <v>310178.67</v>
      </c>
      <c r="K56" t="s">
        <v>27</v>
      </c>
      <c r="L56">
        <v>170802</v>
      </c>
      <c r="M56" t="str">
        <f>"LIM WOI HONG"</f>
        <v>LIM WOI HONG</v>
      </c>
      <c r="O56">
        <v>1</v>
      </c>
      <c r="P56" t="str">
        <f>"PGTEFT3267"</f>
        <v>PGTEFT3267</v>
      </c>
      <c r="Q56" t="str">
        <f>"INV00010"</f>
        <v>INV00010</v>
      </c>
    </row>
    <row r="57" spans="1:17" x14ac:dyDescent="0.25">
      <c r="A57">
        <v>8003879954</v>
      </c>
      <c r="B57">
        <v>21</v>
      </c>
      <c r="C57">
        <v>20062018</v>
      </c>
      <c r="D57">
        <v>489</v>
      </c>
      <c r="E57" t="str">
        <f>"OTHER TRANSFER FEE"</f>
        <v>OTHER TRANSFER FEE</v>
      </c>
      <c r="F57">
        <v>9938</v>
      </c>
      <c r="G57" t="str">
        <f>"31446116"</f>
        <v>31446116</v>
      </c>
      <c r="H57" s="2">
        <v>0.1</v>
      </c>
      <c r="I57" t="s">
        <v>26</v>
      </c>
      <c r="J57" s="2">
        <v>310268.67</v>
      </c>
      <c r="K57" t="s">
        <v>27</v>
      </c>
      <c r="L57">
        <v>170802</v>
      </c>
      <c r="M57" t="str">
        <f>"PGTEFT3267          INV00010"</f>
        <v>PGTEFT3267          INV00010</v>
      </c>
      <c r="O57">
        <v>1</v>
      </c>
    </row>
    <row r="58" spans="1:17" x14ac:dyDescent="0.25">
      <c r="A58">
        <v>8003879954</v>
      </c>
      <c r="B58">
        <v>20</v>
      </c>
      <c r="C58">
        <v>20062018</v>
      </c>
      <c r="D58">
        <v>341</v>
      </c>
      <c r="E58" t="str">
        <f>"TR IBG"</f>
        <v>TR IBG</v>
      </c>
      <c r="F58">
        <v>9938</v>
      </c>
      <c r="G58" t="str">
        <f>"31446247"</f>
        <v>31446247</v>
      </c>
      <c r="H58" s="2">
        <v>5738.3</v>
      </c>
      <c r="I58" t="s">
        <v>26</v>
      </c>
      <c r="J58" s="2">
        <v>310268.77</v>
      </c>
      <c r="K58" t="s">
        <v>27</v>
      </c>
      <c r="L58">
        <v>170801</v>
      </c>
      <c r="M58" t="str">
        <f>"HARPERS TRAVEL (M) S"</f>
        <v>HARPERS TRAVEL (M) S</v>
      </c>
      <c r="O58">
        <v>1</v>
      </c>
      <c r="P58" t="str">
        <f>"PGTEFT3264"</f>
        <v>PGTEFT3264</v>
      </c>
      <c r="Q58" t="str">
        <f>"HPF0000417"</f>
        <v>HPF0000417</v>
      </c>
    </row>
    <row r="59" spans="1:17" x14ac:dyDescent="0.25">
      <c r="A59">
        <v>8003879954</v>
      </c>
      <c r="B59">
        <v>19</v>
      </c>
      <c r="C59">
        <v>20062018</v>
      </c>
      <c r="D59">
        <v>489</v>
      </c>
      <c r="E59" t="str">
        <f>"OTHER TRANSFER FEE"</f>
        <v>OTHER TRANSFER FEE</v>
      </c>
      <c r="F59">
        <v>9938</v>
      </c>
      <c r="G59" t="str">
        <f>"31446247"</f>
        <v>31446247</v>
      </c>
      <c r="H59" s="2">
        <v>0.1</v>
      </c>
      <c r="I59" t="s">
        <v>26</v>
      </c>
      <c r="J59" s="2">
        <v>316007.07</v>
      </c>
      <c r="K59" t="s">
        <v>27</v>
      </c>
      <c r="L59">
        <v>170801</v>
      </c>
      <c r="M59" t="str">
        <f>"PGTEFT3264          HPF0000417"</f>
        <v>PGTEFT3264          HPF0000417</v>
      </c>
      <c r="O59">
        <v>1</v>
      </c>
    </row>
    <row r="60" spans="1:17" x14ac:dyDescent="0.25">
      <c r="A60">
        <v>8003879954</v>
      </c>
      <c r="B60">
        <v>18</v>
      </c>
      <c r="C60">
        <v>20062018</v>
      </c>
      <c r="D60">
        <v>341</v>
      </c>
      <c r="E60" t="str">
        <f>"TR IBG"</f>
        <v>TR IBG</v>
      </c>
      <c r="F60">
        <v>9938</v>
      </c>
      <c r="G60" t="str">
        <f>"31446566"</f>
        <v>31446566</v>
      </c>
      <c r="H60" s="2">
        <v>4000</v>
      </c>
      <c r="I60" t="s">
        <v>26</v>
      </c>
      <c r="J60" s="2">
        <v>316007.17</v>
      </c>
      <c r="K60" t="s">
        <v>27</v>
      </c>
      <c r="L60">
        <v>170801</v>
      </c>
      <c r="M60" t="str">
        <f>"ET HOSPITALITY VENTU"</f>
        <v>ET HOSPITALITY VENTU</v>
      </c>
      <c r="O60">
        <v>1</v>
      </c>
      <c r="P60" t="str">
        <f>"PGTEFT3262"</f>
        <v>PGTEFT3262</v>
      </c>
      <c r="Q60" t="str">
        <f>"12018GST1402"</f>
        <v>12018GST1402</v>
      </c>
    </row>
    <row r="61" spans="1:17" x14ac:dyDescent="0.25">
      <c r="A61">
        <v>8003879954</v>
      </c>
      <c r="B61">
        <v>17</v>
      </c>
      <c r="C61">
        <v>20062018</v>
      </c>
      <c r="D61">
        <v>489</v>
      </c>
      <c r="E61" t="str">
        <f>"OTHER TRANSFER FEE"</f>
        <v>OTHER TRANSFER FEE</v>
      </c>
      <c r="F61">
        <v>9938</v>
      </c>
      <c r="G61" t="str">
        <f>"31446566"</f>
        <v>31446566</v>
      </c>
      <c r="H61" s="2">
        <v>0.1</v>
      </c>
      <c r="I61" t="s">
        <v>26</v>
      </c>
      <c r="J61" s="2">
        <v>320007.17</v>
      </c>
      <c r="K61" t="s">
        <v>27</v>
      </c>
      <c r="L61">
        <v>170801</v>
      </c>
      <c r="M61" t="str">
        <f>"PGTEFT3262          12018GST1402"</f>
        <v>PGTEFT3262          12018GST1402</v>
      </c>
      <c r="O61">
        <v>1</v>
      </c>
    </row>
    <row r="62" spans="1:17" x14ac:dyDescent="0.25">
      <c r="A62">
        <v>8003879954</v>
      </c>
      <c r="B62">
        <v>16</v>
      </c>
      <c r="C62">
        <v>20062018</v>
      </c>
      <c r="D62">
        <v>345</v>
      </c>
      <c r="E62" t="str">
        <f>"TR TO SAVINGS"</f>
        <v>TR TO SAVINGS</v>
      </c>
      <c r="F62">
        <v>9938</v>
      </c>
      <c r="G62" t="str">
        <f>"31445041"</f>
        <v>31445041</v>
      </c>
      <c r="H62" s="2">
        <v>700</v>
      </c>
      <c r="I62" t="s">
        <v>26</v>
      </c>
      <c r="J62" s="2">
        <v>320007.27</v>
      </c>
      <c r="K62" t="s">
        <v>27</v>
      </c>
      <c r="L62">
        <v>170801</v>
      </c>
      <c r="M62" t="str">
        <f>"LUNCHEON 12/6/2018 NG CHUN HOW"</f>
        <v>LUNCHEON 12/6/2018 NG CHUN HOW</v>
      </c>
      <c r="O62">
        <v>1</v>
      </c>
      <c r="P62" t="str">
        <f>"PGTEFT3271"</f>
        <v>PGTEFT3271</v>
      </c>
      <c r="Q62" t="str">
        <f>"CLAIMS"</f>
        <v>CLAIMS</v>
      </c>
    </row>
    <row r="63" spans="1:17" x14ac:dyDescent="0.25">
      <c r="A63">
        <v>8003879954</v>
      </c>
      <c r="B63">
        <v>15</v>
      </c>
      <c r="C63">
        <v>20062018</v>
      </c>
      <c r="D63">
        <v>60</v>
      </c>
      <c r="E63" t="str">
        <f>"TR TO C/A"</f>
        <v>TR TO C/A</v>
      </c>
      <c r="F63">
        <v>9938</v>
      </c>
      <c r="G63" t="str">
        <f>"31447762"</f>
        <v>31447762</v>
      </c>
      <c r="H63" s="2">
        <v>340</v>
      </c>
      <c r="I63" t="s">
        <v>26</v>
      </c>
      <c r="J63" s="2">
        <v>320707.27</v>
      </c>
      <c r="K63" t="s">
        <v>27</v>
      </c>
      <c r="L63">
        <v>170444</v>
      </c>
      <c r="M63" t="str">
        <f>"ACCOUNTS-MAY'18 CORPORATENET SDN BH"</f>
        <v>ACCOUNTS-MAY'18 CORPORATENET SDN BH</v>
      </c>
      <c r="O63">
        <v>1</v>
      </c>
      <c r="P63" t="str">
        <f>"PGTEFT3258"</f>
        <v>PGTEFT3258</v>
      </c>
      <c r="Q63" t="str">
        <f>"CNET-18-1780"</f>
        <v>CNET-18-1780</v>
      </c>
    </row>
    <row r="64" spans="1:17" x14ac:dyDescent="0.25">
      <c r="A64">
        <v>8003879954</v>
      </c>
      <c r="B64">
        <v>14</v>
      </c>
      <c r="C64">
        <v>20062018</v>
      </c>
      <c r="D64">
        <v>346</v>
      </c>
      <c r="E64" t="str">
        <f>"I-PYMT TO CCARD"</f>
        <v>I-PYMT TO CCARD</v>
      </c>
      <c r="F64">
        <v>9938</v>
      </c>
      <c r="G64" t="str">
        <f>"201806200031447864"</f>
        <v>201806200031447864</v>
      </c>
      <c r="H64" s="2">
        <v>1702.46</v>
      </c>
      <c r="I64" t="s">
        <v>26</v>
      </c>
      <c r="J64" s="2">
        <v>321047.27</v>
      </c>
      <c r="K64" t="s">
        <v>27</v>
      </c>
      <c r="L64">
        <v>170441</v>
      </c>
      <c r="M64" t="str">
        <f>"OOI CHOK YAN"</f>
        <v>OOI CHOK YAN</v>
      </c>
      <c r="O64">
        <v>1</v>
      </c>
      <c r="P64" t="str">
        <f>"PGTEFT3257"</f>
        <v>PGTEFT3257</v>
      </c>
      <c r="Q64" t="str">
        <f>"CREDIT CARD"</f>
        <v>CREDIT CARD</v>
      </c>
    </row>
    <row r="65" spans="1:17" x14ac:dyDescent="0.25">
      <c r="A65">
        <v>8003879954</v>
      </c>
      <c r="B65">
        <v>13</v>
      </c>
      <c r="C65">
        <v>20062018</v>
      </c>
      <c r="D65">
        <v>341</v>
      </c>
      <c r="E65" t="str">
        <f>"TR IBG"</f>
        <v>TR IBG</v>
      </c>
      <c r="F65">
        <v>9938</v>
      </c>
      <c r="G65" t="str">
        <f>"31447925"</f>
        <v>31447925</v>
      </c>
      <c r="H65" s="2">
        <v>139.19999999999999</v>
      </c>
      <c r="I65" t="s">
        <v>26</v>
      </c>
      <c r="J65" s="2">
        <v>322749.73</v>
      </c>
      <c r="K65" t="s">
        <v>27</v>
      </c>
      <c r="L65">
        <v>170442</v>
      </c>
      <c r="M65" t="str">
        <f>"CLARITY PUBLISHING S"</f>
        <v>CLARITY PUBLISHING S</v>
      </c>
      <c r="O65">
        <v>1</v>
      </c>
      <c r="P65" t="str">
        <f>"PGTEFT3256"</f>
        <v>PGTEFT3256</v>
      </c>
      <c r="Q65" t="str">
        <f>"PGT05-18INV"</f>
        <v>PGT05-18INV</v>
      </c>
    </row>
    <row r="66" spans="1:17" x14ac:dyDescent="0.25">
      <c r="A66">
        <v>8003879954</v>
      </c>
      <c r="B66">
        <v>12</v>
      </c>
      <c r="C66">
        <v>20062018</v>
      </c>
      <c r="D66">
        <v>489</v>
      </c>
      <c r="E66" t="str">
        <f>"OTHER TRANSFER FEE"</f>
        <v>OTHER TRANSFER FEE</v>
      </c>
      <c r="F66">
        <v>9938</v>
      </c>
      <c r="G66" t="str">
        <f>"31447925"</f>
        <v>31447925</v>
      </c>
      <c r="H66" s="2">
        <v>0.1</v>
      </c>
      <c r="I66" t="s">
        <v>26</v>
      </c>
      <c r="J66" s="2">
        <v>322888.93</v>
      </c>
      <c r="K66" t="s">
        <v>27</v>
      </c>
      <c r="L66">
        <v>170442</v>
      </c>
      <c r="M66" t="str">
        <f>"PGTEFT3256          PGT05-18INV"</f>
        <v>PGTEFT3256          PGT05-18INV</v>
      </c>
      <c r="O66">
        <v>1</v>
      </c>
    </row>
    <row r="67" spans="1:17" x14ac:dyDescent="0.25">
      <c r="A67">
        <v>8003879954</v>
      </c>
      <c r="B67">
        <v>11</v>
      </c>
      <c r="C67">
        <v>20062018</v>
      </c>
      <c r="D67">
        <v>341</v>
      </c>
      <c r="E67" t="str">
        <f>"TR IBG"</f>
        <v>TR IBG</v>
      </c>
      <c r="F67">
        <v>9938</v>
      </c>
      <c r="G67" t="str">
        <f>"31440135"</f>
        <v>31440135</v>
      </c>
      <c r="H67" s="2">
        <v>97.05</v>
      </c>
      <c r="I67" t="s">
        <v>26</v>
      </c>
      <c r="J67" s="2">
        <v>322889.03000000003</v>
      </c>
      <c r="K67" t="s">
        <v>27</v>
      </c>
      <c r="L67">
        <v>170443</v>
      </c>
      <c r="M67" t="str">
        <f>"WEB ASP SDN BHD"</f>
        <v>WEB ASP SDN BHD</v>
      </c>
      <c r="O67">
        <v>1</v>
      </c>
      <c r="P67" t="str">
        <f>"PGTEFT3287"</f>
        <v>PGTEFT3287</v>
      </c>
      <c r="Q67" t="str">
        <f>"ACC1618-3542"</f>
        <v>ACC1618-3542</v>
      </c>
    </row>
    <row r="68" spans="1:17" x14ac:dyDescent="0.25">
      <c r="A68">
        <v>8003879954</v>
      </c>
      <c r="B68">
        <v>10</v>
      </c>
      <c r="C68">
        <v>20062018</v>
      </c>
      <c r="D68">
        <v>489</v>
      </c>
      <c r="E68" t="str">
        <f>"OTHER TRANSFER FEE"</f>
        <v>OTHER TRANSFER FEE</v>
      </c>
      <c r="F68">
        <v>9938</v>
      </c>
      <c r="G68" t="str">
        <f>"31440135"</f>
        <v>31440135</v>
      </c>
      <c r="H68" s="2">
        <v>0.1</v>
      </c>
      <c r="I68" t="s">
        <v>26</v>
      </c>
      <c r="J68" s="2">
        <v>322986.08</v>
      </c>
      <c r="K68" t="s">
        <v>27</v>
      </c>
      <c r="L68">
        <v>170443</v>
      </c>
      <c r="M68" t="str">
        <f>"PGTEFT3287          ACC1618-3542"</f>
        <v>PGTEFT3287          ACC1618-3542</v>
      </c>
      <c r="O68">
        <v>1</v>
      </c>
    </row>
    <row r="69" spans="1:17" x14ac:dyDescent="0.25">
      <c r="A69">
        <v>8003879954</v>
      </c>
      <c r="B69">
        <v>9</v>
      </c>
      <c r="C69">
        <v>20062018</v>
      </c>
      <c r="D69">
        <v>341</v>
      </c>
      <c r="E69" t="str">
        <f>"TR IBG"</f>
        <v>TR IBG</v>
      </c>
      <c r="F69">
        <v>9938</v>
      </c>
      <c r="G69" t="str">
        <f>"31448095"</f>
        <v>31448095</v>
      </c>
      <c r="H69" s="2">
        <v>150</v>
      </c>
      <c r="I69" t="s">
        <v>26</v>
      </c>
      <c r="J69" s="2">
        <v>322986.18</v>
      </c>
      <c r="K69" t="s">
        <v>27</v>
      </c>
      <c r="L69">
        <v>170442</v>
      </c>
      <c r="M69" t="str">
        <f>"ADVANCED CREATIVE TE"</f>
        <v>ADVANCED CREATIVE TE</v>
      </c>
      <c r="O69">
        <v>1</v>
      </c>
      <c r="P69" t="str">
        <f>"PGTEFT3254"</f>
        <v>PGTEFT3254</v>
      </c>
      <c r="Q69" t="str">
        <f>"INV911453"</f>
        <v>INV911453</v>
      </c>
    </row>
    <row r="70" spans="1:17" x14ac:dyDescent="0.25">
      <c r="A70">
        <v>8003879954</v>
      </c>
      <c r="B70">
        <v>8</v>
      </c>
      <c r="C70">
        <v>20062018</v>
      </c>
      <c r="D70">
        <v>489</v>
      </c>
      <c r="E70" t="str">
        <f>"OTHER TRANSFER FEE"</f>
        <v>OTHER TRANSFER FEE</v>
      </c>
      <c r="F70">
        <v>9938</v>
      </c>
      <c r="G70" t="str">
        <f>"31448095"</f>
        <v>31448095</v>
      </c>
      <c r="H70" s="2">
        <v>0.1</v>
      </c>
      <c r="I70" t="s">
        <v>26</v>
      </c>
      <c r="J70" s="2">
        <v>323136.18</v>
      </c>
      <c r="K70" t="s">
        <v>27</v>
      </c>
      <c r="L70">
        <v>170442</v>
      </c>
      <c r="M70" t="str">
        <f>"PGTEFT3254          INV911453"</f>
        <v>PGTEFT3254          INV911453</v>
      </c>
      <c r="O70">
        <v>1</v>
      </c>
    </row>
    <row r="71" spans="1:17" x14ac:dyDescent="0.25">
      <c r="A71">
        <v>8003879954</v>
      </c>
      <c r="B71">
        <v>7</v>
      </c>
      <c r="C71">
        <v>20062018</v>
      </c>
      <c r="D71">
        <v>60</v>
      </c>
      <c r="E71" t="str">
        <f>"TR TO C/A"</f>
        <v>TR TO C/A</v>
      </c>
      <c r="F71">
        <v>9938</v>
      </c>
      <c r="G71" t="str">
        <f>"31446893"</f>
        <v>31446893</v>
      </c>
      <c r="H71" s="2">
        <v>640</v>
      </c>
      <c r="I71" t="s">
        <v>26</v>
      </c>
      <c r="J71" s="2">
        <v>323136.28000000003</v>
      </c>
      <c r="K71" t="s">
        <v>27</v>
      </c>
      <c r="L71">
        <v>170442</v>
      </c>
      <c r="M71" t="str">
        <f>"S09001337936 E ZONE COMPUTER CEN"</f>
        <v>S09001337936 E ZONE COMPUTER CEN</v>
      </c>
      <c r="O71">
        <v>1</v>
      </c>
      <c r="P71" t="str">
        <f>"PGTEFT3261"</f>
        <v>PGTEFT3261</v>
      </c>
      <c r="Q71" t="str">
        <f>"SAGE COVER RENEWAL"</f>
        <v>SAGE COVER RENEWAL</v>
      </c>
    </row>
    <row r="72" spans="1:17" x14ac:dyDescent="0.25">
      <c r="A72">
        <v>8003879954</v>
      </c>
      <c r="B72">
        <v>6</v>
      </c>
      <c r="C72">
        <v>20062018</v>
      </c>
      <c r="D72">
        <v>60</v>
      </c>
      <c r="E72" t="str">
        <f>"TR TO C/A"</f>
        <v>TR TO C/A</v>
      </c>
      <c r="F72">
        <v>9938</v>
      </c>
      <c r="G72" t="str">
        <f>"31448463"</f>
        <v>31448463</v>
      </c>
      <c r="H72" s="2">
        <v>390</v>
      </c>
      <c r="I72" t="s">
        <v>26</v>
      </c>
      <c r="J72" s="2">
        <v>323776.28000000003</v>
      </c>
      <c r="K72" t="s">
        <v>27</v>
      </c>
      <c r="L72">
        <v>170441</v>
      </c>
      <c r="M72" t="str">
        <f>"PAYROLL-MAY'18 CORPORATENET ADVISO"</f>
        <v>PAYROLL-MAY'18 CORPORATENET ADVISO</v>
      </c>
      <c r="O72">
        <v>1</v>
      </c>
      <c r="P72" t="str">
        <f>"PGTEFT3259"</f>
        <v>PGTEFT3259</v>
      </c>
      <c r="Q72" t="str">
        <f>"CA-18-0073"</f>
        <v>CA-18-0073</v>
      </c>
    </row>
    <row r="73" spans="1:17" x14ac:dyDescent="0.25">
      <c r="A73">
        <v>8003879954</v>
      </c>
      <c r="B73">
        <v>5</v>
      </c>
      <c r="C73">
        <v>20062018</v>
      </c>
      <c r="D73">
        <v>341</v>
      </c>
      <c r="E73" t="str">
        <f>"TR IBG"</f>
        <v>TR IBG</v>
      </c>
      <c r="F73">
        <v>9938</v>
      </c>
      <c r="G73" t="str">
        <f>"31448237"</f>
        <v>31448237</v>
      </c>
      <c r="H73" s="2">
        <v>2160</v>
      </c>
      <c r="I73" t="s">
        <v>26</v>
      </c>
      <c r="J73" s="2">
        <v>324166.28000000003</v>
      </c>
      <c r="K73" t="s">
        <v>27</v>
      </c>
      <c r="L73">
        <v>170441</v>
      </c>
      <c r="M73" t="str">
        <f>"M SUMMIT SDN BHD"</f>
        <v>M SUMMIT SDN BHD</v>
      </c>
      <c r="O73">
        <v>1</v>
      </c>
      <c r="P73" t="str">
        <f>"PGTEFT3253"</f>
        <v>PGTEFT3253</v>
      </c>
      <c r="Q73" t="str">
        <f>"INV048-5"</f>
        <v>INV048-5</v>
      </c>
    </row>
    <row r="74" spans="1:17" x14ac:dyDescent="0.25">
      <c r="A74">
        <v>8003879954</v>
      </c>
      <c r="B74">
        <v>4</v>
      </c>
      <c r="C74">
        <v>20062018</v>
      </c>
      <c r="D74">
        <v>489</v>
      </c>
      <c r="E74" t="str">
        <f>"OTHER TRANSFER FEE"</f>
        <v>OTHER TRANSFER FEE</v>
      </c>
      <c r="F74">
        <v>9938</v>
      </c>
      <c r="G74" t="str">
        <f>"31448237"</f>
        <v>31448237</v>
      </c>
      <c r="H74" s="2">
        <v>0.1</v>
      </c>
      <c r="I74" t="s">
        <v>26</v>
      </c>
      <c r="J74" s="2">
        <v>326326.28000000003</v>
      </c>
      <c r="K74" t="s">
        <v>27</v>
      </c>
      <c r="L74">
        <v>170441</v>
      </c>
      <c r="M74" t="str">
        <f>"PGTEFT3253          INV048-5"</f>
        <v>PGTEFT3253          INV048-5</v>
      </c>
      <c r="O74">
        <v>1</v>
      </c>
    </row>
    <row r="75" spans="1:17" x14ac:dyDescent="0.25">
      <c r="A75">
        <v>8003879954</v>
      </c>
      <c r="B75">
        <v>3</v>
      </c>
      <c r="C75">
        <v>20062018</v>
      </c>
      <c r="D75">
        <v>341</v>
      </c>
      <c r="E75" t="str">
        <f>"TR IBG"</f>
        <v>TR IBG</v>
      </c>
      <c r="F75">
        <v>9938</v>
      </c>
      <c r="G75" t="str">
        <f>"31446979"</f>
        <v>31446979</v>
      </c>
      <c r="H75" s="2">
        <v>6000</v>
      </c>
      <c r="I75" t="s">
        <v>26</v>
      </c>
      <c r="J75" s="2">
        <v>326326.38</v>
      </c>
      <c r="K75" t="s">
        <v>27</v>
      </c>
      <c r="L75">
        <v>170441</v>
      </c>
      <c r="M75" t="str">
        <f>"DESIGN ARK SDN BHD"</f>
        <v>DESIGN ARK SDN BHD</v>
      </c>
      <c r="O75">
        <v>1</v>
      </c>
      <c r="P75" t="str">
        <f>"PGTEFT3260"</f>
        <v>PGTEFT3260</v>
      </c>
      <c r="Q75" t="str">
        <f>"IV-09073"</f>
        <v>IV-09073</v>
      </c>
    </row>
    <row r="76" spans="1:17" x14ac:dyDescent="0.25">
      <c r="A76">
        <v>8003879954</v>
      </c>
      <c r="B76">
        <v>2</v>
      </c>
      <c r="C76">
        <v>20062018</v>
      </c>
      <c r="D76">
        <v>489</v>
      </c>
      <c r="E76" t="str">
        <f>"OTHER TRANSFER FEE"</f>
        <v>OTHER TRANSFER FEE</v>
      </c>
      <c r="F76">
        <v>9938</v>
      </c>
      <c r="G76" t="str">
        <f>"31446979"</f>
        <v>31446979</v>
      </c>
      <c r="H76" s="2">
        <v>0.1</v>
      </c>
      <c r="I76" t="s">
        <v>26</v>
      </c>
      <c r="J76" s="2">
        <v>332326.38</v>
      </c>
      <c r="K76" t="s">
        <v>27</v>
      </c>
      <c r="L76">
        <v>170441</v>
      </c>
      <c r="M76" t="str">
        <f>"PGTEFT3260          IV-09073"</f>
        <v>PGTEFT3260          IV-09073</v>
      </c>
      <c r="O76">
        <v>1</v>
      </c>
    </row>
    <row r="77" spans="1:17" x14ac:dyDescent="0.25">
      <c r="A77">
        <v>8003879954</v>
      </c>
      <c r="B77">
        <v>1</v>
      </c>
      <c r="C77">
        <v>20062018</v>
      </c>
      <c r="D77">
        <v>60</v>
      </c>
      <c r="E77" t="str">
        <f>"TR TO C/A"</f>
        <v>TR TO C/A</v>
      </c>
      <c r="F77">
        <v>9938</v>
      </c>
      <c r="G77" t="str">
        <f>"31447982"</f>
        <v>31447982</v>
      </c>
      <c r="H77" s="2">
        <v>2114.6999999999998</v>
      </c>
      <c r="I77" t="s">
        <v>26</v>
      </c>
      <c r="J77" s="2">
        <v>332326.48</v>
      </c>
      <c r="K77" t="s">
        <v>27</v>
      </c>
      <c r="L77">
        <v>170441</v>
      </c>
      <c r="M77" t="str">
        <f>"TW TAC CAMPAIGN BUTTERFLY HOUSE (PG"</f>
        <v>TW TAC CAMPAIGN BUTTERFLY HOUSE (PG</v>
      </c>
      <c r="O77">
        <v>1</v>
      </c>
      <c r="P77" t="str">
        <f>"PGTEFT3255"</f>
        <v>PGTEFT3255</v>
      </c>
      <c r="Q77" t="str">
        <f>"B039855 C034092"</f>
        <v>B039855 C034092</v>
      </c>
    </row>
    <row r="78" spans="1:17" x14ac:dyDescent="0.25">
      <c r="A78">
        <v>8003879954</v>
      </c>
      <c r="B78">
        <v>3</v>
      </c>
      <c r="C78">
        <v>19062018</v>
      </c>
      <c r="D78">
        <v>819</v>
      </c>
      <c r="E78" t="str">
        <f>"CHQ PROCESSING FEE"</f>
        <v>CHQ PROCESSING FEE</v>
      </c>
      <c r="H78" s="2">
        <v>1</v>
      </c>
      <c r="I78" t="s">
        <v>26</v>
      </c>
      <c r="J78" s="2">
        <v>334441.18</v>
      </c>
      <c r="K78" t="s">
        <v>27</v>
      </c>
      <c r="L78">
        <v>4855</v>
      </c>
      <c r="M78" t="str">
        <f>""</f>
        <v/>
      </c>
      <c r="O78">
        <v>1</v>
      </c>
    </row>
    <row r="79" spans="1:17" x14ac:dyDescent="0.25">
      <c r="A79">
        <v>8003879954</v>
      </c>
      <c r="B79">
        <v>2</v>
      </c>
      <c r="C79">
        <v>19062018</v>
      </c>
      <c r="D79">
        <v>323</v>
      </c>
      <c r="E79" t="str">
        <f>"CLRG CHQ DR"</f>
        <v>CLRG CHQ DR</v>
      </c>
      <c r="F79">
        <v>0</v>
      </c>
      <c r="G79" t="str">
        <f>"00688218"</f>
        <v>00688218</v>
      </c>
      <c r="H79" s="2">
        <v>98580</v>
      </c>
      <c r="I79" t="s">
        <v>26</v>
      </c>
      <c r="J79" s="2">
        <v>334442.18</v>
      </c>
      <c r="K79" t="s">
        <v>27</v>
      </c>
      <c r="L79">
        <v>4802</v>
      </c>
      <c r="M79" t="str">
        <f>""</f>
        <v/>
      </c>
      <c r="O79">
        <v>1</v>
      </c>
    </row>
    <row r="80" spans="1:17" x14ac:dyDescent="0.25">
      <c r="A80">
        <v>8003879954</v>
      </c>
      <c r="B80">
        <v>1</v>
      </c>
      <c r="C80">
        <v>19062018</v>
      </c>
      <c r="D80">
        <v>323</v>
      </c>
      <c r="E80" t="str">
        <f>"CLRG CHQ DR"</f>
        <v>CLRG CHQ DR</v>
      </c>
      <c r="F80">
        <v>0</v>
      </c>
      <c r="G80" t="str">
        <f>"00688214"</f>
        <v>00688214</v>
      </c>
      <c r="H80" s="2">
        <v>21730</v>
      </c>
      <c r="I80" t="s">
        <v>26</v>
      </c>
      <c r="J80" s="2">
        <v>433022.18</v>
      </c>
      <c r="K80" t="s">
        <v>27</v>
      </c>
      <c r="L80">
        <v>4802</v>
      </c>
      <c r="M80" t="str">
        <f>""</f>
        <v/>
      </c>
      <c r="O80">
        <v>1</v>
      </c>
    </row>
    <row r="81" spans="1:18" x14ac:dyDescent="0.25">
      <c r="A81">
        <v>8003879954</v>
      </c>
      <c r="B81">
        <v>2</v>
      </c>
      <c r="C81">
        <v>14062018</v>
      </c>
      <c r="D81">
        <v>819</v>
      </c>
      <c r="E81" t="str">
        <f>"CHQ PROCESSING FEE"</f>
        <v>CHQ PROCESSING FEE</v>
      </c>
      <c r="H81" s="2">
        <v>0.5</v>
      </c>
      <c r="I81" t="s">
        <v>26</v>
      </c>
      <c r="J81" s="2">
        <v>454752.18</v>
      </c>
      <c r="K81" t="s">
        <v>27</v>
      </c>
      <c r="L81">
        <v>5152</v>
      </c>
      <c r="M81" t="str">
        <f>""</f>
        <v/>
      </c>
      <c r="O81">
        <v>1</v>
      </c>
    </row>
    <row r="82" spans="1:18" x14ac:dyDescent="0.25">
      <c r="A82">
        <v>8003879954</v>
      </c>
      <c r="B82">
        <v>1</v>
      </c>
      <c r="C82">
        <v>14062018</v>
      </c>
      <c r="D82">
        <v>323</v>
      </c>
      <c r="E82" t="str">
        <f>"CLRG CHQ DR"</f>
        <v>CLRG CHQ DR</v>
      </c>
      <c r="F82">
        <v>0</v>
      </c>
      <c r="G82" t="str">
        <f>"00688224"</f>
        <v>00688224</v>
      </c>
      <c r="H82" s="2">
        <v>100</v>
      </c>
      <c r="I82" t="s">
        <v>26</v>
      </c>
      <c r="J82" s="2">
        <v>454752.68</v>
      </c>
      <c r="K82" t="s">
        <v>27</v>
      </c>
      <c r="L82">
        <v>5054</v>
      </c>
      <c r="M82" t="str">
        <f>""</f>
        <v/>
      </c>
      <c r="O82">
        <v>1</v>
      </c>
    </row>
    <row r="83" spans="1:18" x14ac:dyDescent="0.25">
      <c r="A83">
        <v>8003879954</v>
      </c>
      <c r="B83">
        <v>8</v>
      </c>
      <c r="C83">
        <v>13062018</v>
      </c>
      <c r="D83">
        <v>819</v>
      </c>
      <c r="E83" t="str">
        <f>"CHQ PROCESSING FEE"</f>
        <v>CHQ PROCESSING FEE</v>
      </c>
      <c r="H83" s="2">
        <v>1</v>
      </c>
      <c r="I83" t="s">
        <v>26</v>
      </c>
      <c r="J83" s="2">
        <v>454852.68</v>
      </c>
      <c r="K83" t="s">
        <v>27</v>
      </c>
      <c r="L83">
        <v>10256</v>
      </c>
      <c r="M83" t="str">
        <f>""</f>
        <v/>
      </c>
      <c r="O83">
        <v>1</v>
      </c>
    </row>
    <row r="84" spans="1:18" x14ac:dyDescent="0.25">
      <c r="A84">
        <v>8003879954</v>
      </c>
      <c r="B84">
        <v>7</v>
      </c>
      <c r="C84">
        <v>13062018</v>
      </c>
      <c r="D84">
        <v>323</v>
      </c>
      <c r="E84" t="str">
        <f>"CLRG CHQ DR"</f>
        <v>CLRG CHQ DR</v>
      </c>
      <c r="F84">
        <v>0</v>
      </c>
      <c r="G84" t="str">
        <f>"00688225"</f>
        <v>00688225</v>
      </c>
      <c r="H84" s="2">
        <v>4550</v>
      </c>
      <c r="I84" t="s">
        <v>26</v>
      </c>
      <c r="J84" s="2">
        <v>454853.68</v>
      </c>
      <c r="K84" t="s">
        <v>27</v>
      </c>
      <c r="L84">
        <v>10154</v>
      </c>
      <c r="M84" t="str">
        <f>""</f>
        <v/>
      </c>
      <c r="O84">
        <v>1</v>
      </c>
    </row>
    <row r="85" spans="1:18" x14ac:dyDescent="0.25">
      <c r="A85">
        <v>8003879954</v>
      </c>
      <c r="B85">
        <v>6</v>
      </c>
      <c r="C85">
        <v>13062018</v>
      </c>
      <c r="D85">
        <v>323</v>
      </c>
      <c r="E85" t="str">
        <f>"CLRG CHQ DR"</f>
        <v>CLRG CHQ DR</v>
      </c>
      <c r="F85">
        <v>0</v>
      </c>
      <c r="G85" t="str">
        <f>"00688209"</f>
        <v>00688209</v>
      </c>
      <c r="H85" s="2">
        <v>22002</v>
      </c>
      <c r="I85" t="s">
        <v>26</v>
      </c>
      <c r="J85" s="2">
        <v>459403.68</v>
      </c>
      <c r="K85" t="s">
        <v>27</v>
      </c>
      <c r="L85">
        <v>10154</v>
      </c>
      <c r="M85" t="str">
        <f>""</f>
        <v/>
      </c>
      <c r="O85">
        <v>1</v>
      </c>
    </row>
    <row r="86" spans="1:18" x14ac:dyDescent="0.25">
      <c r="A86">
        <v>8003879954</v>
      </c>
      <c r="B86">
        <v>5</v>
      </c>
      <c r="C86">
        <v>13062018</v>
      </c>
      <c r="D86">
        <v>489</v>
      </c>
      <c r="E86" t="str">
        <f>"OTHERS FEE"</f>
        <v>OTHERS FEE</v>
      </c>
      <c r="F86">
        <v>72</v>
      </c>
      <c r="G86" t="str">
        <f>"283424184"</f>
        <v>283424184</v>
      </c>
      <c r="H86" s="2">
        <v>125</v>
      </c>
      <c r="I86" t="s">
        <v>26</v>
      </c>
      <c r="J86" s="2">
        <v>481405.68</v>
      </c>
      <c r="K86" t="s">
        <v>27</v>
      </c>
      <c r="L86">
        <v>130347</v>
      </c>
      <c r="M86" t="str">
        <f>"00722130618T5218   /FULLPAY/           N"</f>
        <v>00722130618T5218   /FULLPAY/           N</v>
      </c>
      <c r="O86">
        <v>1</v>
      </c>
    </row>
    <row r="87" spans="1:18" x14ac:dyDescent="0.25">
      <c r="A87">
        <v>8003879954</v>
      </c>
      <c r="B87">
        <v>4</v>
      </c>
      <c r="C87">
        <v>13062018</v>
      </c>
      <c r="D87">
        <v>415</v>
      </c>
      <c r="E87" t="str">
        <f>"TELEX/FAX"</f>
        <v>TELEX/FAX</v>
      </c>
      <c r="F87">
        <v>72</v>
      </c>
      <c r="G87" t="str">
        <f>"283424184"</f>
        <v>283424184</v>
      </c>
      <c r="H87" s="2">
        <v>30</v>
      </c>
      <c r="I87" t="s">
        <v>26</v>
      </c>
      <c r="J87" s="2">
        <v>481530.68</v>
      </c>
      <c r="K87" t="s">
        <v>27</v>
      </c>
      <c r="L87">
        <v>130347</v>
      </c>
      <c r="M87" t="str">
        <f>"00722130618T5218   /FULLPAY/           N"</f>
        <v>00722130618T5218   /FULLPAY/           N</v>
      </c>
      <c r="O87">
        <v>1</v>
      </c>
    </row>
    <row r="88" spans="1:18" x14ac:dyDescent="0.25">
      <c r="A88">
        <v>8003879954</v>
      </c>
      <c r="B88">
        <v>3</v>
      </c>
      <c r="C88">
        <v>13062018</v>
      </c>
      <c r="D88">
        <v>349</v>
      </c>
      <c r="E88" t="str">
        <f>"TR TO REMITT"</f>
        <v>TR TO REMITT</v>
      </c>
      <c r="F88">
        <v>72</v>
      </c>
      <c r="G88" t="str">
        <f>"283424184"</f>
        <v>283424184</v>
      </c>
      <c r="H88" s="2">
        <v>14885.74</v>
      </c>
      <c r="I88" t="s">
        <v>26</v>
      </c>
      <c r="J88" s="2">
        <v>481560.68</v>
      </c>
      <c r="K88" t="s">
        <v>27</v>
      </c>
      <c r="L88">
        <v>130347</v>
      </c>
      <c r="M88" t="str">
        <f>"00722130618T5218   /FULLPAY/           N"</f>
        <v>00722130618T5218   /FULLPAY/           N</v>
      </c>
      <c r="O88">
        <v>1</v>
      </c>
    </row>
    <row r="89" spans="1:18" x14ac:dyDescent="0.25">
      <c r="A89">
        <v>8003879954</v>
      </c>
      <c r="B89">
        <v>2</v>
      </c>
      <c r="C89">
        <v>13062018</v>
      </c>
      <c r="D89">
        <v>489</v>
      </c>
      <c r="E89" t="str">
        <f>"AUTOPAY CHARGES"</f>
        <v>AUTOPAY CHARGES</v>
      </c>
      <c r="F89">
        <v>3471</v>
      </c>
      <c r="G89" t="str">
        <f>"30325129"</f>
        <v>30325129</v>
      </c>
      <c r="H89" s="2">
        <v>2</v>
      </c>
      <c r="I89" t="s">
        <v>26</v>
      </c>
      <c r="J89" s="2">
        <v>496446.42</v>
      </c>
      <c r="K89" t="s">
        <v>27</v>
      </c>
      <c r="L89">
        <v>122057</v>
      </c>
      <c r="M89" t="str">
        <f>""</f>
        <v/>
      </c>
      <c r="O89">
        <v>1</v>
      </c>
    </row>
    <row r="90" spans="1:18" x14ac:dyDescent="0.25">
      <c r="A90">
        <v>8003879954</v>
      </c>
      <c r="B90">
        <v>1</v>
      </c>
      <c r="C90">
        <v>13062018</v>
      </c>
      <c r="D90">
        <v>669</v>
      </c>
      <c r="E90" t="str">
        <f>"AUTOPAY DR"</f>
        <v>AUTOPAY DR</v>
      </c>
      <c r="F90">
        <v>1806</v>
      </c>
      <c r="G90" t="str">
        <f>"130031260824"</f>
        <v>130031260824</v>
      </c>
      <c r="H90" s="2">
        <v>19794.7</v>
      </c>
      <c r="I90" t="s">
        <v>26</v>
      </c>
      <c r="J90" s="2">
        <v>496448.42</v>
      </c>
      <c r="K90" t="s">
        <v>27</v>
      </c>
      <c r="L90">
        <v>121313</v>
      </c>
      <c r="M90" t="str">
        <f>"U2018061302060 RTB1806130031260824.TXT"</f>
        <v>U2018061302060 RTB1806130031260824.TXT</v>
      </c>
      <c r="O90">
        <v>1</v>
      </c>
      <c r="P90" t="str">
        <f>"1806130031260824"</f>
        <v>1806130031260824</v>
      </c>
      <c r="R90" t="str">
        <f>"/"</f>
        <v>/</v>
      </c>
    </row>
    <row r="91" spans="1:18" x14ac:dyDescent="0.25">
      <c r="A91">
        <v>8003879954</v>
      </c>
      <c r="B91">
        <v>1</v>
      </c>
      <c r="C91">
        <v>12062018</v>
      </c>
      <c r="D91">
        <v>599</v>
      </c>
      <c r="E91" t="str">
        <f>"ATM MEPS IBFT FROM OFI"</f>
        <v>ATM MEPS IBFT FROM OFI</v>
      </c>
      <c r="F91">
        <v>1400</v>
      </c>
      <c r="G91" t="str">
        <f>"A9993773"</f>
        <v>A9993773</v>
      </c>
      <c r="H91" s="2">
        <v>500</v>
      </c>
      <c r="I91" t="s">
        <v>27</v>
      </c>
      <c r="J91" s="2">
        <v>516243.12</v>
      </c>
      <c r="K91" t="s">
        <v>27</v>
      </c>
      <c r="L91">
        <v>121025</v>
      </c>
      <c r="M91" t="str">
        <f>"FT To Others"</f>
        <v>FT To Others</v>
      </c>
      <c r="O91">
        <v>1</v>
      </c>
      <c r="Q91" t="str">
        <f>"EDS"</f>
        <v>EDS</v>
      </c>
      <c r="R91" t="str">
        <f>"LEE SIEW SHYAN"</f>
        <v>LEE SIEW SHYAN</v>
      </c>
    </row>
    <row r="92" spans="1:18" x14ac:dyDescent="0.25">
      <c r="A92">
        <v>8003879954</v>
      </c>
      <c r="B92">
        <v>11</v>
      </c>
      <c r="C92">
        <v>11062018</v>
      </c>
      <c r="D92">
        <v>819</v>
      </c>
      <c r="E92" t="str">
        <f>"CHQ PROCESSING FEE"</f>
        <v>CHQ PROCESSING FEE</v>
      </c>
      <c r="H92" s="2">
        <v>1.5</v>
      </c>
      <c r="I92" t="s">
        <v>26</v>
      </c>
      <c r="J92" s="2">
        <v>515743.12</v>
      </c>
      <c r="K92" t="s">
        <v>27</v>
      </c>
      <c r="L92">
        <v>5430</v>
      </c>
      <c r="M92" t="str">
        <f>""</f>
        <v/>
      </c>
      <c r="O92">
        <v>1</v>
      </c>
    </row>
    <row r="93" spans="1:18" x14ac:dyDescent="0.25">
      <c r="A93">
        <v>8003879954</v>
      </c>
      <c r="B93">
        <v>10</v>
      </c>
      <c r="C93">
        <v>11062018</v>
      </c>
      <c r="D93">
        <v>323</v>
      </c>
      <c r="E93" t="str">
        <f>"CLRG CHQ DR"</f>
        <v>CLRG CHQ DR</v>
      </c>
      <c r="F93">
        <v>0</v>
      </c>
      <c r="G93" t="str">
        <f>"00688222"</f>
        <v>00688222</v>
      </c>
      <c r="H93" s="2">
        <v>170</v>
      </c>
      <c r="I93" t="s">
        <v>26</v>
      </c>
      <c r="J93" s="2">
        <v>515744.62</v>
      </c>
      <c r="K93" t="s">
        <v>27</v>
      </c>
      <c r="L93">
        <v>5223</v>
      </c>
      <c r="M93" t="str">
        <f>""</f>
        <v/>
      </c>
      <c r="O93">
        <v>1</v>
      </c>
    </row>
    <row r="94" spans="1:18" x14ac:dyDescent="0.25">
      <c r="A94">
        <v>8003879954</v>
      </c>
      <c r="B94">
        <v>9</v>
      </c>
      <c r="C94">
        <v>11062018</v>
      </c>
      <c r="D94">
        <v>323</v>
      </c>
      <c r="E94" t="str">
        <f>"CLRG CHQ DR"</f>
        <v>CLRG CHQ DR</v>
      </c>
      <c r="F94">
        <v>0</v>
      </c>
      <c r="G94" t="str">
        <f>"00688219"</f>
        <v>00688219</v>
      </c>
      <c r="H94" s="2">
        <v>12829.5</v>
      </c>
      <c r="I94" t="s">
        <v>26</v>
      </c>
      <c r="J94" s="2">
        <v>515914.62</v>
      </c>
      <c r="K94" t="s">
        <v>27</v>
      </c>
      <c r="L94">
        <v>5223</v>
      </c>
      <c r="M94" t="str">
        <f>""</f>
        <v/>
      </c>
      <c r="O94">
        <v>1</v>
      </c>
    </row>
    <row r="95" spans="1:18" x14ac:dyDescent="0.25">
      <c r="A95">
        <v>8003879954</v>
      </c>
      <c r="B95">
        <v>8</v>
      </c>
      <c r="C95">
        <v>11062018</v>
      </c>
      <c r="D95">
        <v>323</v>
      </c>
      <c r="E95" t="str">
        <f>"CLRG CHQ DR"</f>
        <v>CLRG CHQ DR</v>
      </c>
      <c r="F95">
        <v>0</v>
      </c>
      <c r="G95" t="str">
        <f>"00688213"</f>
        <v>00688213</v>
      </c>
      <c r="H95" s="2">
        <v>67943.88</v>
      </c>
      <c r="I95" t="s">
        <v>26</v>
      </c>
      <c r="J95" s="2">
        <v>528744.12</v>
      </c>
      <c r="K95" t="s">
        <v>27</v>
      </c>
      <c r="L95">
        <v>5223</v>
      </c>
      <c r="M95" t="str">
        <f>""</f>
        <v/>
      </c>
      <c r="O95">
        <v>1</v>
      </c>
    </row>
    <row r="96" spans="1:18" x14ac:dyDescent="0.25">
      <c r="A96">
        <v>8003879954</v>
      </c>
      <c r="B96">
        <v>7</v>
      </c>
      <c r="C96">
        <v>11062018</v>
      </c>
      <c r="D96">
        <v>341</v>
      </c>
      <c r="E96" t="str">
        <f>"DEBIT ADVICE"</f>
        <v>DEBIT ADVICE</v>
      </c>
      <c r="F96" t="s">
        <v>1110</v>
      </c>
      <c r="G96" t="str">
        <f>"362000"</f>
        <v>362000</v>
      </c>
      <c r="H96" s="2">
        <v>8195</v>
      </c>
      <c r="I96" t="s">
        <v>26</v>
      </c>
      <c r="J96" s="2">
        <v>596688</v>
      </c>
      <c r="K96" t="s">
        <v>27</v>
      </c>
      <c r="L96">
        <v>181323</v>
      </c>
      <c r="M96" t="str">
        <f>""</f>
        <v/>
      </c>
      <c r="O96">
        <v>1</v>
      </c>
    </row>
    <row r="97" spans="1:17" x14ac:dyDescent="0.25">
      <c r="A97">
        <v>8003879954</v>
      </c>
      <c r="B97">
        <v>6</v>
      </c>
      <c r="C97">
        <v>11062018</v>
      </c>
      <c r="D97">
        <v>341</v>
      </c>
      <c r="E97" t="str">
        <f>"TR IBG"</f>
        <v>TR IBG</v>
      </c>
      <c r="F97">
        <v>9938</v>
      </c>
      <c r="G97" t="str">
        <f>"31121871"</f>
        <v>31121871</v>
      </c>
      <c r="H97" s="2">
        <v>850</v>
      </c>
      <c r="I97" t="s">
        <v>26</v>
      </c>
      <c r="J97" s="2">
        <v>604883</v>
      </c>
      <c r="K97" t="s">
        <v>27</v>
      </c>
      <c r="L97">
        <v>181009</v>
      </c>
      <c r="M97" t="str">
        <f>"JAYKODI RESOURCES"</f>
        <v>JAYKODI RESOURCES</v>
      </c>
      <c r="O97">
        <v>1</v>
      </c>
      <c r="P97" t="str">
        <f>"PGTEFT3251"</f>
        <v>PGTEFT3251</v>
      </c>
      <c r="Q97" t="str">
        <f>"CLEANING SERVICES"</f>
        <v>CLEANING SERVICES</v>
      </c>
    </row>
    <row r="98" spans="1:17" x14ac:dyDescent="0.25">
      <c r="A98">
        <v>8003879954</v>
      </c>
      <c r="B98">
        <v>5</v>
      </c>
      <c r="C98">
        <v>11062018</v>
      </c>
      <c r="D98">
        <v>489</v>
      </c>
      <c r="E98" t="str">
        <f>"OTHER TRANSFER FEE"</f>
        <v>OTHER TRANSFER FEE</v>
      </c>
      <c r="F98">
        <v>9938</v>
      </c>
      <c r="G98" t="str">
        <f>"31121871"</f>
        <v>31121871</v>
      </c>
      <c r="H98" s="2">
        <v>0.1</v>
      </c>
      <c r="I98" t="s">
        <v>26</v>
      </c>
      <c r="J98" s="2">
        <v>605733</v>
      </c>
      <c r="K98" t="s">
        <v>27</v>
      </c>
      <c r="L98">
        <v>181009</v>
      </c>
      <c r="M98" t="str">
        <f>"PGTEFT3251          CLEANING SERVICES"</f>
        <v>PGTEFT3251          CLEANING SERVICES</v>
      </c>
      <c r="O98">
        <v>1</v>
      </c>
    </row>
    <row r="99" spans="1:17" x14ac:dyDescent="0.25">
      <c r="A99">
        <v>8003879954</v>
      </c>
      <c r="B99">
        <v>4</v>
      </c>
      <c r="C99">
        <v>11062018</v>
      </c>
      <c r="D99">
        <v>341</v>
      </c>
      <c r="E99" t="str">
        <f>"TR IBG"</f>
        <v>TR IBG</v>
      </c>
      <c r="F99">
        <v>9938</v>
      </c>
      <c r="G99" t="str">
        <f>"31121987"</f>
        <v>31121987</v>
      </c>
      <c r="H99" s="2">
        <v>8480</v>
      </c>
      <c r="I99" t="s">
        <v>26</v>
      </c>
      <c r="J99" s="2">
        <v>605733.1</v>
      </c>
      <c r="K99" t="s">
        <v>27</v>
      </c>
      <c r="L99">
        <v>181006</v>
      </c>
      <c r="M99" t="str">
        <f>"BOLD INSPIRATION SDN"</f>
        <v>BOLD INSPIRATION SDN</v>
      </c>
      <c r="O99">
        <v>1</v>
      </c>
      <c r="P99" t="str">
        <f>"PGTEFT3250"</f>
        <v>PGTEFT3250</v>
      </c>
      <c r="Q99" t="str">
        <f>"JN0425"</f>
        <v>JN0425</v>
      </c>
    </row>
    <row r="100" spans="1:17" x14ac:dyDescent="0.25">
      <c r="A100">
        <v>8003879954</v>
      </c>
      <c r="B100">
        <v>3</v>
      </c>
      <c r="C100">
        <v>11062018</v>
      </c>
      <c r="D100">
        <v>489</v>
      </c>
      <c r="E100" t="str">
        <f>"OTHER TRANSFER FEE"</f>
        <v>OTHER TRANSFER FEE</v>
      </c>
      <c r="F100">
        <v>9938</v>
      </c>
      <c r="G100" t="str">
        <f>"31121987"</f>
        <v>31121987</v>
      </c>
      <c r="H100" s="2">
        <v>0.1</v>
      </c>
      <c r="I100" t="s">
        <v>26</v>
      </c>
      <c r="J100" s="2">
        <v>614213.1</v>
      </c>
      <c r="K100" t="s">
        <v>27</v>
      </c>
      <c r="L100">
        <v>181006</v>
      </c>
      <c r="M100" t="str">
        <f>"PGTEFT3250          JN0425"</f>
        <v>PGTEFT3250          JN0425</v>
      </c>
      <c r="O100">
        <v>1</v>
      </c>
    </row>
    <row r="101" spans="1:17" x14ac:dyDescent="0.25">
      <c r="A101">
        <v>8003879954</v>
      </c>
      <c r="B101">
        <v>2</v>
      </c>
      <c r="C101">
        <v>11062018</v>
      </c>
      <c r="D101">
        <v>341</v>
      </c>
      <c r="E101" t="str">
        <f>"TR IBG"</f>
        <v>TR IBG</v>
      </c>
      <c r="F101">
        <v>9938</v>
      </c>
      <c r="G101" t="str">
        <f>"31121743"</f>
        <v>31121743</v>
      </c>
      <c r="H101" s="2">
        <v>4000</v>
      </c>
      <c r="I101" t="s">
        <v>26</v>
      </c>
      <c r="J101" s="2">
        <v>614213.19999999995</v>
      </c>
      <c r="K101" t="s">
        <v>27</v>
      </c>
      <c r="L101">
        <v>181006</v>
      </c>
      <c r="M101" t="str">
        <f>"NORIZEIGHT VENTURES"</f>
        <v>NORIZEIGHT VENTURES</v>
      </c>
      <c r="O101">
        <v>1</v>
      </c>
      <c r="P101" t="str">
        <f>"PGTEFT3252"</f>
        <v>PGTEFT3252</v>
      </c>
      <c r="Q101" t="str">
        <f>"NV2300"</f>
        <v>NV2300</v>
      </c>
    </row>
    <row r="102" spans="1:17" x14ac:dyDescent="0.25">
      <c r="A102">
        <v>8003879954</v>
      </c>
      <c r="B102">
        <v>1</v>
      </c>
      <c r="C102">
        <v>11062018</v>
      </c>
      <c r="D102">
        <v>489</v>
      </c>
      <c r="E102" t="str">
        <f>"OTHER TRANSFER FEE"</f>
        <v>OTHER TRANSFER FEE</v>
      </c>
      <c r="F102">
        <v>9938</v>
      </c>
      <c r="G102" t="str">
        <f>"31121743"</f>
        <v>31121743</v>
      </c>
      <c r="H102" s="2">
        <v>0.1</v>
      </c>
      <c r="I102" t="s">
        <v>26</v>
      </c>
      <c r="J102" s="2">
        <v>618213.19999999995</v>
      </c>
      <c r="K102" t="s">
        <v>27</v>
      </c>
      <c r="L102">
        <v>181006</v>
      </c>
      <c r="M102" t="str">
        <f>"PGTEFT3252          NV2300"</f>
        <v>PGTEFT3252          NV2300</v>
      </c>
      <c r="O102">
        <v>1</v>
      </c>
    </row>
    <row r="103" spans="1:17" x14ac:dyDescent="0.25">
      <c r="A103">
        <v>8003879954</v>
      </c>
      <c r="B103">
        <v>6</v>
      </c>
      <c r="C103">
        <v>8062018</v>
      </c>
      <c r="D103">
        <v>819</v>
      </c>
      <c r="E103" t="str">
        <f>"CHQ PROCESSING FEE"</f>
        <v>CHQ PROCESSING FEE</v>
      </c>
      <c r="H103" s="2">
        <v>2.5</v>
      </c>
      <c r="I103" t="s">
        <v>26</v>
      </c>
      <c r="J103" s="2">
        <v>618213.30000000005</v>
      </c>
      <c r="K103" t="s">
        <v>27</v>
      </c>
      <c r="L103">
        <v>5733</v>
      </c>
      <c r="M103" t="str">
        <f>""</f>
        <v/>
      </c>
      <c r="O103">
        <v>1</v>
      </c>
    </row>
    <row r="104" spans="1:17" x14ac:dyDescent="0.25">
      <c r="A104">
        <v>8003879954</v>
      </c>
      <c r="B104">
        <v>5</v>
      </c>
      <c r="C104">
        <v>8062018</v>
      </c>
      <c r="D104">
        <v>323</v>
      </c>
      <c r="E104" t="str">
        <f>"CLRG CHQ DR"</f>
        <v>CLRG CHQ DR</v>
      </c>
      <c r="F104">
        <v>0</v>
      </c>
      <c r="G104" t="str">
        <f>"00688221"</f>
        <v>00688221</v>
      </c>
      <c r="H104" s="2">
        <v>10667.84</v>
      </c>
      <c r="I104" t="s">
        <v>26</v>
      </c>
      <c r="J104" s="2">
        <v>618215.80000000005</v>
      </c>
      <c r="K104" t="s">
        <v>27</v>
      </c>
      <c r="L104">
        <v>5604</v>
      </c>
      <c r="M104" t="str">
        <f>""</f>
        <v/>
      </c>
      <c r="O104">
        <v>1</v>
      </c>
    </row>
    <row r="105" spans="1:17" x14ac:dyDescent="0.25">
      <c r="A105">
        <v>8003879954</v>
      </c>
      <c r="B105">
        <v>4</v>
      </c>
      <c r="C105">
        <v>8062018</v>
      </c>
      <c r="D105">
        <v>323</v>
      </c>
      <c r="E105" t="str">
        <f>"CLRG CHQ DR"</f>
        <v>CLRG CHQ DR</v>
      </c>
      <c r="F105">
        <v>0</v>
      </c>
      <c r="G105" t="str">
        <f>"00688217"</f>
        <v>00688217</v>
      </c>
      <c r="H105" s="2">
        <v>530</v>
      </c>
      <c r="I105" t="s">
        <v>26</v>
      </c>
      <c r="J105" s="2">
        <v>628883.64</v>
      </c>
      <c r="K105" t="s">
        <v>27</v>
      </c>
      <c r="L105">
        <v>5604</v>
      </c>
      <c r="M105" t="str">
        <f>""</f>
        <v/>
      </c>
      <c r="O105">
        <v>1</v>
      </c>
    </row>
    <row r="106" spans="1:17" x14ac:dyDescent="0.25">
      <c r="A106">
        <v>8003879954</v>
      </c>
      <c r="B106">
        <v>3</v>
      </c>
      <c r="C106">
        <v>8062018</v>
      </c>
      <c r="D106">
        <v>323</v>
      </c>
      <c r="E106" t="str">
        <f>"CLRG CHQ DR"</f>
        <v>CLRG CHQ DR</v>
      </c>
      <c r="F106">
        <v>0</v>
      </c>
      <c r="G106" t="str">
        <f>"00688211"</f>
        <v>00688211</v>
      </c>
      <c r="H106" s="2">
        <v>260.2</v>
      </c>
      <c r="I106" t="s">
        <v>26</v>
      </c>
      <c r="J106" s="2">
        <v>629413.64</v>
      </c>
      <c r="K106" t="s">
        <v>27</v>
      </c>
      <c r="L106">
        <v>5604</v>
      </c>
      <c r="M106" t="str">
        <f>""</f>
        <v/>
      </c>
      <c r="O106">
        <v>1</v>
      </c>
    </row>
    <row r="107" spans="1:17" x14ac:dyDescent="0.25">
      <c r="A107">
        <v>8003879954</v>
      </c>
      <c r="B107">
        <v>2</v>
      </c>
      <c r="C107">
        <v>8062018</v>
      </c>
      <c r="D107">
        <v>323</v>
      </c>
      <c r="E107" t="str">
        <f>"CLRG CHQ DR"</f>
        <v>CLRG CHQ DR</v>
      </c>
      <c r="F107">
        <v>0</v>
      </c>
      <c r="G107" t="str">
        <f>"00688210"</f>
        <v>00688210</v>
      </c>
      <c r="H107" s="2">
        <v>1532</v>
      </c>
      <c r="I107" t="s">
        <v>26</v>
      </c>
      <c r="J107" s="2">
        <v>629673.84</v>
      </c>
      <c r="K107" t="s">
        <v>27</v>
      </c>
      <c r="L107">
        <v>5604</v>
      </c>
      <c r="M107" t="str">
        <f>""</f>
        <v/>
      </c>
      <c r="O107">
        <v>1</v>
      </c>
    </row>
    <row r="108" spans="1:17" x14ac:dyDescent="0.25">
      <c r="A108">
        <v>8003879954</v>
      </c>
      <c r="B108">
        <v>1</v>
      </c>
      <c r="C108">
        <v>8062018</v>
      </c>
      <c r="D108">
        <v>323</v>
      </c>
      <c r="E108" t="str">
        <f>"CLRG CHQ DR"</f>
        <v>CLRG CHQ DR</v>
      </c>
      <c r="F108">
        <v>0</v>
      </c>
      <c r="G108" t="str">
        <f>"00688206"</f>
        <v>00688206</v>
      </c>
      <c r="H108" s="2">
        <v>530</v>
      </c>
      <c r="I108" t="s">
        <v>26</v>
      </c>
      <c r="J108" s="2">
        <v>631205.84</v>
      </c>
      <c r="K108" t="s">
        <v>27</v>
      </c>
      <c r="L108">
        <v>5604</v>
      </c>
      <c r="M108" t="str">
        <f>""</f>
        <v/>
      </c>
      <c r="O108">
        <v>1</v>
      </c>
    </row>
    <row r="109" spans="1:17" x14ac:dyDescent="0.25">
      <c r="A109">
        <v>8003879954</v>
      </c>
      <c r="B109">
        <v>4</v>
      </c>
      <c r="C109">
        <v>7062018</v>
      </c>
      <c r="D109">
        <v>819</v>
      </c>
      <c r="E109" t="str">
        <f>"CHQ PROCESSING FEE"</f>
        <v>CHQ PROCESSING FEE</v>
      </c>
      <c r="H109" s="2">
        <v>1</v>
      </c>
      <c r="I109" t="s">
        <v>26</v>
      </c>
      <c r="J109" s="2">
        <v>631735.84</v>
      </c>
      <c r="K109" t="s">
        <v>27</v>
      </c>
      <c r="L109">
        <v>5548</v>
      </c>
      <c r="M109" t="str">
        <f>""</f>
        <v/>
      </c>
      <c r="O109">
        <v>1</v>
      </c>
    </row>
    <row r="110" spans="1:17" x14ac:dyDescent="0.25">
      <c r="A110">
        <v>8003879954</v>
      </c>
      <c r="B110">
        <v>3</v>
      </c>
      <c r="C110">
        <v>7062018</v>
      </c>
      <c r="D110">
        <v>321</v>
      </c>
      <c r="E110" t="str">
        <f>"HOUSE CHQ DR"</f>
        <v>HOUSE CHQ DR</v>
      </c>
      <c r="F110">
        <v>0</v>
      </c>
      <c r="G110" t="str">
        <f>"00688215"</f>
        <v>00688215</v>
      </c>
      <c r="H110" s="2">
        <v>492.45</v>
      </c>
      <c r="I110" t="s">
        <v>26</v>
      </c>
      <c r="J110" s="2">
        <v>631736.84</v>
      </c>
      <c r="K110" t="s">
        <v>27</v>
      </c>
      <c r="L110">
        <v>5448</v>
      </c>
      <c r="M110" t="str">
        <f>""</f>
        <v/>
      </c>
      <c r="O110">
        <v>1</v>
      </c>
    </row>
    <row r="111" spans="1:17" x14ac:dyDescent="0.25">
      <c r="A111">
        <v>8003879954</v>
      </c>
      <c r="B111">
        <v>2</v>
      </c>
      <c r="C111">
        <v>7062018</v>
      </c>
      <c r="D111">
        <v>321</v>
      </c>
      <c r="E111" t="str">
        <f>"HOUSE CHQ DR"</f>
        <v>HOUSE CHQ DR</v>
      </c>
      <c r="F111">
        <v>0</v>
      </c>
      <c r="G111" t="str">
        <f>"00688212"</f>
        <v>00688212</v>
      </c>
      <c r="H111" s="2">
        <v>4608.95</v>
      </c>
      <c r="I111" t="s">
        <v>26</v>
      </c>
      <c r="J111" s="2">
        <v>632229.29</v>
      </c>
      <c r="K111" t="s">
        <v>27</v>
      </c>
      <c r="L111">
        <v>5448</v>
      </c>
      <c r="M111" t="str">
        <f>""</f>
        <v/>
      </c>
      <c r="O111">
        <v>1</v>
      </c>
    </row>
    <row r="112" spans="1:17" x14ac:dyDescent="0.25">
      <c r="A112">
        <v>8003879954</v>
      </c>
      <c r="B112">
        <v>1</v>
      </c>
      <c r="C112">
        <v>7062018</v>
      </c>
      <c r="D112">
        <v>321</v>
      </c>
      <c r="E112" t="str">
        <f>"HOUSE CHQ DR"</f>
        <v>HOUSE CHQ DR</v>
      </c>
      <c r="F112">
        <v>714</v>
      </c>
      <c r="G112" t="str">
        <f>"00688223"</f>
        <v>00688223</v>
      </c>
      <c r="H112" s="2">
        <v>12568</v>
      </c>
      <c r="I112" t="s">
        <v>26</v>
      </c>
      <c r="J112" s="2">
        <v>636838.24</v>
      </c>
      <c r="K112" t="s">
        <v>27</v>
      </c>
      <c r="L112">
        <v>103546</v>
      </c>
      <c r="M112" t="str">
        <f>"BCQ # 828936"</f>
        <v>BCQ # 828936</v>
      </c>
      <c r="O112">
        <v>1</v>
      </c>
    </row>
    <row r="113" spans="1:17" x14ac:dyDescent="0.25">
      <c r="A113">
        <v>8003879954</v>
      </c>
      <c r="B113">
        <v>1</v>
      </c>
      <c r="C113">
        <v>6062018</v>
      </c>
      <c r="D113">
        <v>60</v>
      </c>
      <c r="E113" t="str">
        <f>"TR TO C/A"</f>
        <v>TR TO C/A</v>
      </c>
      <c r="F113">
        <v>9938</v>
      </c>
      <c r="G113" t="str">
        <f>"30904247"</f>
        <v>30904247</v>
      </c>
      <c r="H113" s="2">
        <v>155</v>
      </c>
      <c r="I113" t="s">
        <v>26</v>
      </c>
      <c r="J113" s="2">
        <v>649406.24</v>
      </c>
      <c r="K113" t="s">
        <v>27</v>
      </c>
      <c r="L113">
        <v>145614</v>
      </c>
      <c r="M113" t="str">
        <f>"NO ANSURAN 6 CP204 2 AKAUN KJAAN MSIA PU"</f>
        <v>NO ANSURAN 6 CP204 2 AKAUN KJAAN MSIA PU</v>
      </c>
      <c r="O113">
        <v>1</v>
      </c>
      <c r="P113" t="str">
        <f>"PGTEFT3248"</f>
        <v>PGTEFT3248</v>
      </c>
      <c r="Q113" t="str">
        <f>"C285195105"</f>
        <v>C285195105</v>
      </c>
    </row>
    <row r="114" spans="1:17" x14ac:dyDescent="0.25">
      <c r="A114">
        <v>8003879954</v>
      </c>
      <c r="B114">
        <v>68</v>
      </c>
      <c r="C114">
        <v>5062018</v>
      </c>
      <c r="D114">
        <v>341</v>
      </c>
      <c r="E114" t="str">
        <f>"TR IBG"</f>
        <v>TR IBG</v>
      </c>
      <c r="F114">
        <v>9938</v>
      </c>
      <c r="G114" t="str">
        <f>"30809017"</f>
        <v>30809017</v>
      </c>
      <c r="H114" s="2">
        <v>763.2</v>
      </c>
      <c r="I114" t="s">
        <v>26</v>
      </c>
      <c r="J114" s="2">
        <v>649561.24</v>
      </c>
      <c r="K114" t="s">
        <v>27</v>
      </c>
      <c r="L114">
        <v>190922</v>
      </c>
      <c r="M114" t="str">
        <f>"VCREATE SDN BHD"</f>
        <v>VCREATE SDN BHD</v>
      </c>
      <c r="O114">
        <v>1</v>
      </c>
      <c r="P114" t="str">
        <f>"PGTEFT3244"</f>
        <v>PGTEFT3244</v>
      </c>
      <c r="Q114" t="str">
        <f>"10421-18"</f>
        <v>10421-18</v>
      </c>
    </row>
    <row r="115" spans="1:17" x14ac:dyDescent="0.25">
      <c r="A115">
        <v>8003879954</v>
      </c>
      <c r="B115">
        <v>67</v>
      </c>
      <c r="C115">
        <v>5062018</v>
      </c>
      <c r="D115">
        <v>489</v>
      </c>
      <c r="E115" t="str">
        <f>"OTHER TRANSFER FEE"</f>
        <v>OTHER TRANSFER FEE</v>
      </c>
      <c r="F115">
        <v>9938</v>
      </c>
      <c r="G115" t="str">
        <f>"30809017"</f>
        <v>30809017</v>
      </c>
      <c r="H115" s="2">
        <v>0.1</v>
      </c>
      <c r="I115" t="s">
        <v>26</v>
      </c>
      <c r="J115" s="2">
        <v>650324.43999999994</v>
      </c>
      <c r="K115" t="s">
        <v>27</v>
      </c>
      <c r="L115">
        <v>190922</v>
      </c>
      <c r="M115" t="str">
        <f>"PGTEFT3244          10421-18"</f>
        <v>PGTEFT3244          10421-18</v>
      </c>
      <c r="O115">
        <v>1</v>
      </c>
    </row>
    <row r="116" spans="1:17" x14ac:dyDescent="0.25">
      <c r="A116">
        <v>8003879954</v>
      </c>
      <c r="B116">
        <v>66</v>
      </c>
      <c r="C116">
        <v>5062018</v>
      </c>
      <c r="D116">
        <v>341</v>
      </c>
      <c r="E116" t="str">
        <f>"TR IBG"</f>
        <v>TR IBG</v>
      </c>
      <c r="F116">
        <v>9938</v>
      </c>
      <c r="G116" t="str">
        <f>"30809028"</f>
        <v>30809028</v>
      </c>
      <c r="H116" s="2">
        <v>52.15</v>
      </c>
      <c r="I116" t="s">
        <v>26</v>
      </c>
      <c r="J116" s="2">
        <v>650324.54</v>
      </c>
      <c r="K116" t="s">
        <v>27</v>
      </c>
      <c r="L116">
        <v>190918</v>
      </c>
      <c r="M116" t="str">
        <f>"WEB ASP SDN BHD"</f>
        <v>WEB ASP SDN BHD</v>
      </c>
      <c r="O116">
        <v>1</v>
      </c>
      <c r="P116" t="str">
        <f>"PGTEFT3243"</f>
        <v>PGTEFT3243</v>
      </c>
      <c r="Q116" t="str">
        <f>"ACC1618-3542"</f>
        <v>ACC1618-3542</v>
      </c>
    </row>
    <row r="117" spans="1:17" x14ac:dyDescent="0.25">
      <c r="A117">
        <v>8003879954</v>
      </c>
      <c r="B117">
        <v>65</v>
      </c>
      <c r="C117">
        <v>5062018</v>
      </c>
      <c r="D117">
        <v>489</v>
      </c>
      <c r="E117" t="str">
        <f>"OTHER TRANSFER FEE"</f>
        <v>OTHER TRANSFER FEE</v>
      </c>
      <c r="F117">
        <v>9938</v>
      </c>
      <c r="G117" t="str">
        <f>"30809028"</f>
        <v>30809028</v>
      </c>
      <c r="H117" s="2">
        <v>0.1</v>
      </c>
      <c r="I117" t="s">
        <v>26</v>
      </c>
      <c r="J117" s="2">
        <v>650376.68999999994</v>
      </c>
      <c r="K117" t="s">
        <v>27</v>
      </c>
      <c r="L117">
        <v>190918</v>
      </c>
      <c r="M117" t="str">
        <f>"PGTEFT3243          ACC1618-3542"</f>
        <v>PGTEFT3243          ACC1618-3542</v>
      </c>
      <c r="O117">
        <v>1</v>
      </c>
    </row>
    <row r="118" spans="1:17" x14ac:dyDescent="0.25">
      <c r="A118">
        <v>8003879954</v>
      </c>
      <c r="B118">
        <v>64</v>
      </c>
      <c r="C118">
        <v>5062018</v>
      </c>
      <c r="D118">
        <v>60</v>
      </c>
      <c r="E118" t="str">
        <f>"TR TO C/A"</f>
        <v>TR TO C/A</v>
      </c>
      <c r="F118">
        <v>9938</v>
      </c>
      <c r="G118" t="str">
        <f>"30809047"</f>
        <v>30809047</v>
      </c>
      <c r="H118" s="2">
        <v>270</v>
      </c>
      <c r="I118" t="s">
        <v>26</v>
      </c>
      <c r="J118" s="2">
        <v>650376.79</v>
      </c>
      <c r="K118" t="s">
        <v>27</v>
      </c>
      <c r="L118">
        <v>190919</v>
      </c>
      <c r="M118" t="str">
        <f>"GUIDE FEE MAY TOH KIM HOCK"</f>
        <v>GUIDE FEE MAY TOH KIM HOCK</v>
      </c>
      <c r="O118">
        <v>1</v>
      </c>
      <c r="P118" t="str">
        <f>"PGTEFT3242"</f>
        <v>PGTEFT3242</v>
      </c>
      <c r="Q118" t="str">
        <f>"INV151T 152T"</f>
        <v>INV151T 152T</v>
      </c>
    </row>
    <row r="119" spans="1:17" x14ac:dyDescent="0.25">
      <c r="A119">
        <v>8003879954</v>
      </c>
      <c r="B119">
        <v>63</v>
      </c>
      <c r="C119">
        <v>5062018</v>
      </c>
      <c r="D119">
        <v>341</v>
      </c>
      <c r="E119" t="str">
        <f>"TR IBG"</f>
        <v>TR IBG</v>
      </c>
      <c r="F119">
        <v>9938</v>
      </c>
      <c r="G119" t="str">
        <f>"30808946"</f>
        <v>30808946</v>
      </c>
      <c r="H119" s="2">
        <v>240</v>
      </c>
      <c r="I119" t="s">
        <v>26</v>
      </c>
      <c r="J119" s="2">
        <v>650646.79</v>
      </c>
      <c r="K119" t="s">
        <v>27</v>
      </c>
      <c r="L119">
        <v>190919</v>
      </c>
      <c r="M119" t="str">
        <f>"YEAP KAM MOEY"</f>
        <v>YEAP KAM MOEY</v>
      </c>
      <c r="O119">
        <v>1</v>
      </c>
      <c r="P119" t="str">
        <f>"PGTEFT3246"</f>
        <v>PGTEFT3246</v>
      </c>
      <c r="Q119" t="str">
        <f>"MAY302018"</f>
        <v>MAY302018</v>
      </c>
    </row>
    <row r="120" spans="1:17" x14ac:dyDescent="0.25">
      <c r="A120">
        <v>8003879954</v>
      </c>
      <c r="B120">
        <v>62</v>
      </c>
      <c r="C120">
        <v>5062018</v>
      </c>
      <c r="D120">
        <v>489</v>
      </c>
      <c r="E120" t="str">
        <f>"OTHER TRANSFER FEE"</f>
        <v>OTHER TRANSFER FEE</v>
      </c>
      <c r="F120">
        <v>9938</v>
      </c>
      <c r="G120" t="str">
        <f>"30808946"</f>
        <v>30808946</v>
      </c>
      <c r="H120" s="2">
        <v>0.1</v>
      </c>
      <c r="I120" t="s">
        <v>26</v>
      </c>
      <c r="J120" s="2">
        <v>650886.79</v>
      </c>
      <c r="K120" t="s">
        <v>27</v>
      </c>
      <c r="L120">
        <v>190919</v>
      </c>
      <c r="M120" t="str">
        <f>"PGTEFT3246          MAY302018"</f>
        <v>PGTEFT3246          MAY302018</v>
      </c>
      <c r="O120">
        <v>1</v>
      </c>
    </row>
    <row r="121" spans="1:17" x14ac:dyDescent="0.25">
      <c r="A121">
        <v>8003879954</v>
      </c>
      <c r="B121">
        <v>61</v>
      </c>
      <c r="C121">
        <v>5062018</v>
      </c>
      <c r="D121">
        <v>345</v>
      </c>
      <c r="E121" t="str">
        <f>"TR TO SAVINGS"</f>
        <v>TR TO SAVINGS</v>
      </c>
      <c r="F121">
        <v>9938</v>
      </c>
      <c r="G121" t="str">
        <f>"30809089"</f>
        <v>30809089</v>
      </c>
      <c r="H121" s="2">
        <v>1827.7</v>
      </c>
      <c r="I121" t="s">
        <v>26</v>
      </c>
      <c r="J121" s="2">
        <v>650886.89</v>
      </c>
      <c r="K121" t="s">
        <v>27</v>
      </c>
      <c r="L121">
        <v>190919</v>
      </c>
      <c r="M121" t="str">
        <f>"TM INDIA WEDDING FAM THOY SIEW PING"</f>
        <v>TM INDIA WEDDING FAM THOY SIEW PING</v>
      </c>
      <c r="O121">
        <v>1</v>
      </c>
      <c r="P121" t="str">
        <f>"PGTEFT3240"</f>
        <v>PGTEFT3240</v>
      </c>
      <c r="Q121" t="str">
        <f>"CLAIMS"</f>
        <v>CLAIMS</v>
      </c>
    </row>
    <row r="122" spans="1:17" x14ac:dyDescent="0.25">
      <c r="A122">
        <v>8003879954</v>
      </c>
      <c r="B122">
        <v>60</v>
      </c>
      <c r="C122">
        <v>5062018</v>
      </c>
      <c r="D122">
        <v>341</v>
      </c>
      <c r="E122" t="str">
        <f>"TR IBG"</f>
        <v>TR IBG</v>
      </c>
      <c r="F122">
        <v>9938</v>
      </c>
      <c r="G122" t="str">
        <f>"30809054"</f>
        <v>30809054</v>
      </c>
      <c r="H122" s="2">
        <v>9434</v>
      </c>
      <c r="I122" t="s">
        <v>26</v>
      </c>
      <c r="J122" s="2">
        <v>652714.59</v>
      </c>
      <c r="K122" t="s">
        <v>27</v>
      </c>
      <c r="L122">
        <v>190918</v>
      </c>
      <c r="M122" t="str">
        <f>"TLM EVENT SDN BHD"</f>
        <v>TLM EVENT SDN BHD</v>
      </c>
      <c r="O122">
        <v>1</v>
      </c>
      <c r="P122" t="str">
        <f>"PGTEFT3241"</f>
        <v>PGTEFT3241</v>
      </c>
      <c r="Q122" t="str">
        <f>"INV18-024"</f>
        <v>INV18-024</v>
      </c>
    </row>
    <row r="123" spans="1:17" x14ac:dyDescent="0.25">
      <c r="A123">
        <v>8003879954</v>
      </c>
      <c r="B123">
        <v>59</v>
      </c>
      <c r="C123">
        <v>5062018</v>
      </c>
      <c r="D123">
        <v>489</v>
      </c>
      <c r="E123" t="str">
        <f>"OTHER TRANSFER FEE"</f>
        <v>OTHER TRANSFER FEE</v>
      </c>
      <c r="F123">
        <v>9938</v>
      </c>
      <c r="G123" t="str">
        <f>"30809054"</f>
        <v>30809054</v>
      </c>
      <c r="H123" s="2">
        <v>0.1</v>
      </c>
      <c r="I123" t="s">
        <v>26</v>
      </c>
      <c r="J123" s="2">
        <v>662148.59</v>
      </c>
      <c r="K123" t="s">
        <v>27</v>
      </c>
      <c r="L123">
        <v>190918</v>
      </c>
      <c r="M123" t="str">
        <f>"PGTEFT3241          INV18-024"</f>
        <v>PGTEFT3241          INV18-024</v>
      </c>
      <c r="O123">
        <v>1</v>
      </c>
    </row>
    <row r="124" spans="1:17" x14ac:dyDescent="0.25">
      <c r="A124">
        <v>8003879954</v>
      </c>
      <c r="B124">
        <v>58</v>
      </c>
      <c r="C124">
        <v>5062018</v>
      </c>
      <c r="D124">
        <v>341</v>
      </c>
      <c r="E124" t="str">
        <f>"TR IBG"</f>
        <v>TR IBG</v>
      </c>
      <c r="F124">
        <v>9938</v>
      </c>
      <c r="G124" t="str">
        <f>"30809138"</f>
        <v>30809138</v>
      </c>
      <c r="H124" s="2">
        <v>371</v>
      </c>
      <c r="I124" t="s">
        <v>26</v>
      </c>
      <c r="J124" s="2">
        <v>662148.68999999994</v>
      </c>
      <c r="K124" t="s">
        <v>27</v>
      </c>
      <c r="L124">
        <v>190918</v>
      </c>
      <c r="M124" t="str">
        <f>"TITAN SYSTEM INTEGER"</f>
        <v>TITAN SYSTEM INTEGER</v>
      </c>
      <c r="O124">
        <v>1</v>
      </c>
      <c r="P124" t="str">
        <f>"PGTEFT3239"</f>
        <v>PGTEFT3239</v>
      </c>
      <c r="Q124" t="str">
        <f>"INV00003937"</f>
        <v>INV00003937</v>
      </c>
    </row>
    <row r="125" spans="1:17" x14ac:dyDescent="0.25">
      <c r="A125">
        <v>8003879954</v>
      </c>
      <c r="B125">
        <v>57</v>
      </c>
      <c r="C125">
        <v>5062018</v>
      </c>
      <c r="D125">
        <v>489</v>
      </c>
      <c r="E125" t="str">
        <f>"OTHER TRANSFER FEE"</f>
        <v>OTHER TRANSFER FEE</v>
      </c>
      <c r="F125">
        <v>9938</v>
      </c>
      <c r="G125" t="str">
        <f>"30809138"</f>
        <v>30809138</v>
      </c>
      <c r="H125" s="2">
        <v>0.1</v>
      </c>
      <c r="I125" t="s">
        <v>26</v>
      </c>
      <c r="J125" s="2">
        <v>662519.68999999994</v>
      </c>
      <c r="K125" t="s">
        <v>27</v>
      </c>
      <c r="L125">
        <v>190918</v>
      </c>
      <c r="M125" t="str">
        <f>"PGTEFT3239          INV00003937"</f>
        <v>PGTEFT3239          INV00003937</v>
      </c>
      <c r="O125">
        <v>1</v>
      </c>
    </row>
    <row r="126" spans="1:17" x14ac:dyDescent="0.25">
      <c r="A126">
        <v>8003879954</v>
      </c>
      <c r="B126">
        <v>56</v>
      </c>
      <c r="C126">
        <v>5062018</v>
      </c>
      <c r="D126">
        <v>341</v>
      </c>
      <c r="E126" t="str">
        <f>"TR IBG"</f>
        <v>TR IBG</v>
      </c>
      <c r="F126">
        <v>9938</v>
      </c>
      <c r="G126" t="str">
        <f>"30808974"</f>
        <v>30808974</v>
      </c>
      <c r="H126" s="2">
        <v>240</v>
      </c>
      <c r="I126" t="s">
        <v>26</v>
      </c>
      <c r="J126" s="2">
        <v>662519.79</v>
      </c>
      <c r="K126" t="s">
        <v>27</v>
      </c>
      <c r="L126">
        <v>190918</v>
      </c>
      <c r="M126" t="str">
        <f>"YONG SUH YEN"</f>
        <v>YONG SUH YEN</v>
      </c>
      <c r="O126">
        <v>1</v>
      </c>
      <c r="P126" t="str">
        <f>"PGTEFT3245"</f>
        <v>PGTEFT3245</v>
      </c>
      <c r="Q126" t="str">
        <f>"GUIDE FEE FOR MAY"</f>
        <v>GUIDE FEE FOR MAY</v>
      </c>
    </row>
    <row r="127" spans="1:17" x14ac:dyDescent="0.25">
      <c r="A127">
        <v>8003879954</v>
      </c>
      <c r="B127">
        <v>55</v>
      </c>
      <c r="C127">
        <v>5062018</v>
      </c>
      <c r="D127">
        <v>489</v>
      </c>
      <c r="E127" t="str">
        <f>"OTHER TRANSFER FEE"</f>
        <v>OTHER TRANSFER FEE</v>
      </c>
      <c r="F127">
        <v>9938</v>
      </c>
      <c r="G127" t="str">
        <f>"30808974"</f>
        <v>30808974</v>
      </c>
      <c r="H127" s="2">
        <v>0.1</v>
      </c>
      <c r="I127" t="s">
        <v>26</v>
      </c>
      <c r="J127" s="2">
        <v>662759.79</v>
      </c>
      <c r="K127" t="s">
        <v>27</v>
      </c>
      <c r="L127">
        <v>190918</v>
      </c>
      <c r="M127" t="str">
        <f>"PGTEFT3245          GUIDE FEE FOR MAY"</f>
        <v>PGTEFT3245          GUIDE FEE FOR MAY</v>
      </c>
      <c r="O127">
        <v>1</v>
      </c>
    </row>
    <row r="128" spans="1:17" x14ac:dyDescent="0.25">
      <c r="A128">
        <v>8003879954</v>
      </c>
      <c r="B128">
        <v>54</v>
      </c>
      <c r="C128">
        <v>5062018</v>
      </c>
      <c r="D128">
        <v>345</v>
      </c>
      <c r="E128" t="str">
        <f>"TR TO SAVINGS"</f>
        <v>TR TO SAVINGS</v>
      </c>
      <c r="F128">
        <v>9938</v>
      </c>
      <c r="G128" t="str">
        <f>"30808875"</f>
        <v>30808875</v>
      </c>
      <c r="H128" s="2">
        <v>495.85</v>
      </c>
      <c r="I128" t="s">
        <v>26</v>
      </c>
      <c r="J128" s="2">
        <v>662759.89</v>
      </c>
      <c r="K128" t="s">
        <v>27</v>
      </c>
      <c r="L128">
        <v>190918</v>
      </c>
      <c r="M128" t="str">
        <f>"POSTAGE YOON PAULINE"</f>
        <v>POSTAGE YOON PAULINE</v>
      </c>
      <c r="O128">
        <v>1</v>
      </c>
      <c r="P128" t="str">
        <f>"PGTEFT3247"</f>
        <v>PGTEFT3247</v>
      </c>
      <c r="Q128" t="str">
        <f>"CLAIMS"</f>
        <v>CLAIMS</v>
      </c>
    </row>
    <row r="129" spans="1:17" x14ac:dyDescent="0.25">
      <c r="A129">
        <v>8003879954</v>
      </c>
      <c r="B129">
        <v>53</v>
      </c>
      <c r="C129">
        <v>5062018</v>
      </c>
      <c r="D129">
        <v>341</v>
      </c>
      <c r="E129" t="str">
        <f>"TR IBG"</f>
        <v>TR IBG</v>
      </c>
      <c r="F129">
        <v>9938</v>
      </c>
      <c r="G129" t="str">
        <f>"30809285"</f>
        <v>30809285</v>
      </c>
      <c r="H129" s="2">
        <v>90</v>
      </c>
      <c r="I129" t="s">
        <v>26</v>
      </c>
      <c r="J129" s="2">
        <v>663255.74</v>
      </c>
      <c r="K129" t="s">
        <v>27</v>
      </c>
      <c r="L129">
        <v>190626</v>
      </c>
      <c r="M129" t="str">
        <f>"LIM WOI HONG"</f>
        <v>LIM WOI HONG</v>
      </c>
      <c r="O129">
        <v>1</v>
      </c>
      <c r="P129" t="str">
        <f>"PGTEFT3232"</f>
        <v>PGTEFT3232</v>
      </c>
      <c r="Q129" t="str">
        <f>"INV0009"</f>
        <v>INV0009</v>
      </c>
    </row>
    <row r="130" spans="1:17" x14ac:dyDescent="0.25">
      <c r="A130">
        <v>8003879954</v>
      </c>
      <c r="B130">
        <v>52</v>
      </c>
      <c r="C130">
        <v>5062018</v>
      </c>
      <c r="D130">
        <v>489</v>
      </c>
      <c r="E130" t="str">
        <f>"OTHER TRANSFER FEE"</f>
        <v>OTHER TRANSFER FEE</v>
      </c>
      <c r="F130">
        <v>9938</v>
      </c>
      <c r="G130" t="str">
        <f>"30809285"</f>
        <v>30809285</v>
      </c>
      <c r="H130" s="2">
        <v>0.1</v>
      </c>
      <c r="I130" t="s">
        <v>26</v>
      </c>
      <c r="J130" s="2">
        <v>663345.74</v>
      </c>
      <c r="K130" t="s">
        <v>27</v>
      </c>
      <c r="L130">
        <v>190626</v>
      </c>
      <c r="M130" t="str">
        <f>"PGTEFT3232          INV0009"</f>
        <v>PGTEFT3232          INV0009</v>
      </c>
      <c r="O130">
        <v>1</v>
      </c>
    </row>
    <row r="131" spans="1:17" x14ac:dyDescent="0.25">
      <c r="A131">
        <v>8003879954</v>
      </c>
      <c r="B131">
        <v>51</v>
      </c>
      <c r="C131">
        <v>5062018</v>
      </c>
      <c r="D131">
        <v>341</v>
      </c>
      <c r="E131" t="str">
        <f>"TR IBG"</f>
        <v>TR IBG</v>
      </c>
      <c r="F131">
        <v>9938</v>
      </c>
      <c r="G131" t="str">
        <f>"30809496"</f>
        <v>30809496</v>
      </c>
      <c r="H131" s="2">
        <v>6868.8</v>
      </c>
      <c r="I131" t="s">
        <v>26</v>
      </c>
      <c r="J131" s="2">
        <v>663345.84</v>
      </c>
      <c r="K131" t="s">
        <v>27</v>
      </c>
      <c r="L131">
        <v>190623</v>
      </c>
      <c r="M131" t="str">
        <f>"ROD CREATIVE SDN BHD"</f>
        <v>ROD CREATIVE SDN BHD</v>
      </c>
      <c r="O131">
        <v>1</v>
      </c>
      <c r="P131" t="str">
        <f>"PGTEFT3231"</f>
        <v>PGTEFT3231</v>
      </c>
      <c r="Q131" t="str">
        <f>"INV152146 152160"</f>
        <v>INV152146 152160</v>
      </c>
    </row>
    <row r="132" spans="1:17" x14ac:dyDescent="0.25">
      <c r="A132">
        <v>8003879954</v>
      </c>
      <c r="B132">
        <v>50</v>
      </c>
      <c r="C132">
        <v>5062018</v>
      </c>
      <c r="D132">
        <v>489</v>
      </c>
      <c r="E132" t="str">
        <f>"OTHER TRANSFER FEE"</f>
        <v>OTHER TRANSFER FEE</v>
      </c>
      <c r="F132">
        <v>9938</v>
      </c>
      <c r="G132" t="str">
        <f>"30809496"</f>
        <v>30809496</v>
      </c>
      <c r="H132" s="2">
        <v>0.1</v>
      </c>
      <c r="I132" t="s">
        <v>26</v>
      </c>
      <c r="J132" s="2">
        <v>670214.64</v>
      </c>
      <c r="K132" t="s">
        <v>27</v>
      </c>
      <c r="L132">
        <v>190623</v>
      </c>
      <c r="M132" t="str">
        <f>"PGTEFT3231          INV152146 152160"</f>
        <v>PGTEFT3231          INV152146 152160</v>
      </c>
      <c r="O132">
        <v>1</v>
      </c>
    </row>
    <row r="133" spans="1:17" x14ac:dyDescent="0.25">
      <c r="A133">
        <v>8003879954</v>
      </c>
      <c r="B133">
        <v>49</v>
      </c>
      <c r="C133">
        <v>5062018</v>
      </c>
      <c r="D133">
        <v>341</v>
      </c>
      <c r="E133" t="str">
        <f>"TR IBG"</f>
        <v>TR IBG</v>
      </c>
      <c r="F133">
        <v>9938</v>
      </c>
      <c r="G133" t="str">
        <f>"30809508"</f>
        <v>30809508</v>
      </c>
      <c r="H133" s="2">
        <v>3710</v>
      </c>
      <c r="I133" t="s">
        <v>26</v>
      </c>
      <c r="J133" s="2">
        <v>670214.74</v>
      </c>
      <c r="K133" t="s">
        <v>27</v>
      </c>
      <c r="L133">
        <v>190625</v>
      </c>
      <c r="M133" t="str">
        <f>"OPTIMAL MEDIA SDN BH"</f>
        <v>OPTIMAL MEDIA SDN BH</v>
      </c>
      <c r="O133">
        <v>1</v>
      </c>
      <c r="P133" t="str">
        <f>"PGTEFT3230"</f>
        <v>PGTEFT3230</v>
      </c>
      <c r="Q133" t="str">
        <f>"INV445"</f>
        <v>INV445</v>
      </c>
    </row>
    <row r="134" spans="1:17" x14ac:dyDescent="0.25">
      <c r="A134">
        <v>8003879954</v>
      </c>
      <c r="B134">
        <v>48</v>
      </c>
      <c r="C134">
        <v>5062018</v>
      </c>
      <c r="D134">
        <v>489</v>
      </c>
      <c r="E134" t="str">
        <f>"OTHER TRANSFER FEE"</f>
        <v>OTHER TRANSFER FEE</v>
      </c>
      <c r="F134">
        <v>9938</v>
      </c>
      <c r="G134" t="str">
        <f>"30809508"</f>
        <v>30809508</v>
      </c>
      <c r="H134" s="2">
        <v>0.1</v>
      </c>
      <c r="I134" t="s">
        <v>26</v>
      </c>
      <c r="J134" s="2">
        <v>673924.74</v>
      </c>
      <c r="K134" t="s">
        <v>27</v>
      </c>
      <c r="L134">
        <v>190625</v>
      </c>
      <c r="M134" t="str">
        <f>"PGTEFT3230          INV445"</f>
        <v>PGTEFT3230          INV445</v>
      </c>
      <c r="O134">
        <v>1</v>
      </c>
    </row>
    <row r="135" spans="1:17" x14ac:dyDescent="0.25">
      <c r="A135">
        <v>8003879954</v>
      </c>
      <c r="B135">
        <v>47</v>
      </c>
      <c r="C135">
        <v>5062018</v>
      </c>
      <c r="D135">
        <v>341</v>
      </c>
      <c r="E135" t="str">
        <f>"TR IBG"</f>
        <v>TR IBG</v>
      </c>
      <c r="F135">
        <v>9938</v>
      </c>
      <c r="G135" t="str">
        <f>"30809151"</f>
        <v>30809151</v>
      </c>
      <c r="H135" s="2">
        <v>240</v>
      </c>
      <c r="I135" t="s">
        <v>26</v>
      </c>
      <c r="J135" s="2">
        <v>673924.84</v>
      </c>
      <c r="K135" t="s">
        <v>27</v>
      </c>
      <c r="L135">
        <v>190624</v>
      </c>
      <c r="M135" t="str">
        <f>"TEOH LAY PHENG"</f>
        <v>TEOH LAY PHENG</v>
      </c>
      <c r="O135">
        <v>1</v>
      </c>
      <c r="P135" t="str">
        <f>"PGTEFT3238"</f>
        <v>PGTEFT3238</v>
      </c>
      <c r="Q135" t="str">
        <f>"WELCOMING RECEPTION"</f>
        <v>WELCOMING RECEPTION</v>
      </c>
    </row>
    <row r="136" spans="1:17" x14ac:dyDescent="0.25">
      <c r="A136">
        <v>8003879954</v>
      </c>
      <c r="B136">
        <v>46</v>
      </c>
      <c r="C136">
        <v>5062018</v>
      </c>
      <c r="D136">
        <v>489</v>
      </c>
      <c r="E136" t="str">
        <f>"OTHER TRANSFER FEE"</f>
        <v>OTHER TRANSFER FEE</v>
      </c>
      <c r="F136">
        <v>9938</v>
      </c>
      <c r="G136" t="str">
        <f>"30809151"</f>
        <v>30809151</v>
      </c>
      <c r="H136" s="2">
        <v>0.1</v>
      </c>
      <c r="I136" t="s">
        <v>26</v>
      </c>
      <c r="J136" s="2">
        <v>674164.84</v>
      </c>
      <c r="K136" t="s">
        <v>27</v>
      </c>
      <c r="L136">
        <v>190624</v>
      </c>
      <c r="M136" t="str">
        <f>"PGTEFT3238          WELCOMING RECEPTION"</f>
        <v>PGTEFT3238          WELCOMING RECEPTION</v>
      </c>
      <c r="O136">
        <v>1</v>
      </c>
    </row>
    <row r="137" spans="1:17" x14ac:dyDescent="0.25">
      <c r="A137">
        <v>8003879954</v>
      </c>
      <c r="B137">
        <v>45</v>
      </c>
      <c r="C137">
        <v>5062018</v>
      </c>
      <c r="D137">
        <v>341</v>
      </c>
      <c r="E137" t="str">
        <f>"TR IBG"</f>
        <v>TR IBG</v>
      </c>
      <c r="F137">
        <v>9938</v>
      </c>
      <c r="G137" t="str">
        <f>"30809196"</f>
        <v>30809196</v>
      </c>
      <c r="H137" s="2">
        <v>200</v>
      </c>
      <c r="I137" t="s">
        <v>26</v>
      </c>
      <c r="J137" s="2">
        <v>674164.94</v>
      </c>
      <c r="K137" t="s">
        <v>27</v>
      </c>
      <c r="L137">
        <v>190624</v>
      </c>
      <c r="M137" t="str">
        <f>"SHERWYND KESSLER STU"</f>
        <v>SHERWYND KESSLER STU</v>
      </c>
      <c r="O137">
        <v>1</v>
      </c>
      <c r="P137" t="str">
        <f>"PGTEFT3236"</f>
        <v>PGTEFT3236</v>
      </c>
      <c r="Q137" t="str">
        <f>"INV001162"</f>
        <v>INV001162</v>
      </c>
    </row>
    <row r="138" spans="1:17" x14ac:dyDescent="0.25">
      <c r="A138">
        <v>8003879954</v>
      </c>
      <c r="B138">
        <v>44</v>
      </c>
      <c r="C138">
        <v>5062018</v>
      </c>
      <c r="D138">
        <v>489</v>
      </c>
      <c r="E138" t="str">
        <f>"OTHER TRANSFER FEE"</f>
        <v>OTHER TRANSFER FEE</v>
      </c>
      <c r="F138">
        <v>9938</v>
      </c>
      <c r="G138" t="str">
        <f>"30809196"</f>
        <v>30809196</v>
      </c>
      <c r="H138" s="2">
        <v>0.1</v>
      </c>
      <c r="I138" t="s">
        <v>26</v>
      </c>
      <c r="J138" s="2">
        <v>674364.94</v>
      </c>
      <c r="K138" t="s">
        <v>27</v>
      </c>
      <c r="L138">
        <v>190624</v>
      </c>
      <c r="M138" t="str">
        <f>"PGTEFT3236          INV001162"</f>
        <v>PGTEFT3236          INV001162</v>
      </c>
      <c r="O138">
        <v>1</v>
      </c>
    </row>
    <row r="139" spans="1:17" x14ac:dyDescent="0.25">
      <c r="A139">
        <v>8003879954</v>
      </c>
      <c r="B139">
        <v>43</v>
      </c>
      <c r="C139">
        <v>5062018</v>
      </c>
      <c r="D139">
        <v>341</v>
      </c>
      <c r="E139" t="str">
        <f>"TR IBG"</f>
        <v>TR IBG</v>
      </c>
      <c r="F139">
        <v>9938</v>
      </c>
      <c r="G139" t="str">
        <f>"30809220"</f>
        <v>30809220</v>
      </c>
      <c r="H139" s="2">
        <v>2000</v>
      </c>
      <c r="I139" t="s">
        <v>26</v>
      </c>
      <c r="J139" s="2">
        <v>674365.04</v>
      </c>
      <c r="K139" t="s">
        <v>27</v>
      </c>
      <c r="L139">
        <v>190624</v>
      </c>
      <c r="M139" t="str">
        <f>"RICKVEEN SINGH A/L H"</f>
        <v>RICKVEEN SINGH A/L H</v>
      </c>
      <c r="O139">
        <v>1</v>
      </c>
      <c r="P139" t="str">
        <f>"PGTEFT3234"</f>
        <v>PGTEFT3234</v>
      </c>
      <c r="Q139" t="str">
        <f>"WELCOMING RECEPTION"</f>
        <v>WELCOMING RECEPTION</v>
      </c>
    </row>
    <row r="140" spans="1:17" x14ac:dyDescent="0.25">
      <c r="A140">
        <v>8003879954</v>
      </c>
      <c r="B140">
        <v>42</v>
      </c>
      <c r="C140">
        <v>5062018</v>
      </c>
      <c r="D140">
        <v>489</v>
      </c>
      <c r="E140" t="str">
        <f>"OTHER TRANSFER FEE"</f>
        <v>OTHER TRANSFER FEE</v>
      </c>
      <c r="F140">
        <v>9938</v>
      </c>
      <c r="G140" t="str">
        <f>"30809220"</f>
        <v>30809220</v>
      </c>
      <c r="H140" s="2">
        <v>0.1</v>
      </c>
      <c r="I140" t="s">
        <v>26</v>
      </c>
      <c r="J140" s="2">
        <v>676365.04</v>
      </c>
      <c r="K140" t="s">
        <v>27</v>
      </c>
      <c r="L140">
        <v>190624</v>
      </c>
      <c r="M140" t="str">
        <f>"PGTEFT3234          WELCOMING RECEPTION"</f>
        <v>PGTEFT3234          WELCOMING RECEPTION</v>
      </c>
      <c r="O140">
        <v>1</v>
      </c>
    </row>
    <row r="141" spans="1:17" x14ac:dyDescent="0.25">
      <c r="A141">
        <v>8003879954</v>
      </c>
      <c r="B141">
        <v>41</v>
      </c>
      <c r="C141">
        <v>5062018</v>
      </c>
      <c r="D141">
        <v>341</v>
      </c>
      <c r="E141" t="str">
        <f>"TR IBG"</f>
        <v>TR IBG</v>
      </c>
      <c r="F141">
        <v>9938</v>
      </c>
      <c r="G141" t="str">
        <f>"30809160"</f>
        <v>30809160</v>
      </c>
      <c r="H141" s="2">
        <v>477</v>
      </c>
      <c r="I141" t="s">
        <v>26</v>
      </c>
      <c r="J141" s="2">
        <v>676365.14</v>
      </c>
      <c r="K141" t="s">
        <v>27</v>
      </c>
      <c r="L141">
        <v>190624</v>
      </c>
      <c r="M141" t="str">
        <f>"SE VENA NETWORKS SDN"</f>
        <v>SE VENA NETWORKS SDN</v>
      </c>
      <c r="O141">
        <v>1</v>
      </c>
      <c r="P141" t="str">
        <f>"PGTEFT3237"</f>
        <v>PGTEFT3237</v>
      </c>
      <c r="Q141" t="str">
        <f>"INV0534"</f>
        <v>INV0534</v>
      </c>
    </row>
    <row r="142" spans="1:17" x14ac:dyDescent="0.25">
      <c r="A142">
        <v>8003879954</v>
      </c>
      <c r="B142">
        <v>40</v>
      </c>
      <c r="C142">
        <v>5062018</v>
      </c>
      <c r="D142">
        <v>489</v>
      </c>
      <c r="E142" t="str">
        <f>"OTHER TRANSFER FEE"</f>
        <v>OTHER TRANSFER FEE</v>
      </c>
      <c r="F142">
        <v>9938</v>
      </c>
      <c r="G142" t="str">
        <f>"30809160"</f>
        <v>30809160</v>
      </c>
      <c r="H142" s="2">
        <v>0.1</v>
      </c>
      <c r="I142" t="s">
        <v>26</v>
      </c>
      <c r="J142" s="2">
        <v>676842.14</v>
      </c>
      <c r="K142" t="s">
        <v>27</v>
      </c>
      <c r="L142">
        <v>190624</v>
      </c>
      <c r="M142" t="str">
        <f>"PGTEFT3237          INV0534"</f>
        <v>PGTEFT3237          INV0534</v>
      </c>
      <c r="O142">
        <v>1</v>
      </c>
    </row>
    <row r="143" spans="1:17" x14ac:dyDescent="0.25">
      <c r="A143">
        <v>8003879954</v>
      </c>
      <c r="B143">
        <v>39</v>
      </c>
      <c r="C143">
        <v>5062018</v>
      </c>
      <c r="D143">
        <v>341</v>
      </c>
      <c r="E143" t="str">
        <f>"TR IBG"</f>
        <v>TR IBG</v>
      </c>
      <c r="F143">
        <v>9938</v>
      </c>
      <c r="G143" t="str">
        <f>"30809237"</f>
        <v>30809237</v>
      </c>
      <c r="H143" s="2">
        <v>130</v>
      </c>
      <c r="I143" t="s">
        <v>26</v>
      </c>
      <c r="J143" s="2">
        <v>676842.24</v>
      </c>
      <c r="K143" t="s">
        <v>27</v>
      </c>
      <c r="L143">
        <v>190623</v>
      </c>
      <c r="M143" t="str">
        <f>"RED STAR PRODUCTION"</f>
        <v>RED STAR PRODUCTION</v>
      </c>
      <c r="O143">
        <v>1</v>
      </c>
      <c r="P143" t="str">
        <f>"PGTEFT3233"</f>
        <v>PGTEFT3233</v>
      </c>
      <c r="Q143" t="str">
        <f>"APR2018"</f>
        <v>APR2018</v>
      </c>
    </row>
    <row r="144" spans="1:17" x14ac:dyDescent="0.25">
      <c r="A144">
        <v>8003879954</v>
      </c>
      <c r="B144">
        <v>38</v>
      </c>
      <c r="C144">
        <v>5062018</v>
      </c>
      <c r="D144">
        <v>489</v>
      </c>
      <c r="E144" t="str">
        <f>"OTHER TRANSFER FEE"</f>
        <v>OTHER TRANSFER FEE</v>
      </c>
      <c r="F144">
        <v>9938</v>
      </c>
      <c r="G144" t="str">
        <f>"30809237"</f>
        <v>30809237</v>
      </c>
      <c r="H144" s="2">
        <v>0.1</v>
      </c>
      <c r="I144" t="s">
        <v>26</v>
      </c>
      <c r="J144" s="2">
        <v>676972.24</v>
      </c>
      <c r="K144" t="s">
        <v>27</v>
      </c>
      <c r="L144">
        <v>190623</v>
      </c>
      <c r="M144" t="str">
        <f>"PGTEFT3233          APR2018"</f>
        <v>PGTEFT3233          APR2018</v>
      </c>
      <c r="O144">
        <v>1</v>
      </c>
    </row>
    <row r="145" spans="1:17" x14ac:dyDescent="0.25">
      <c r="A145">
        <v>8003879954</v>
      </c>
      <c r="B145">
        <v>37</v>
      </c>
      <c r="C145">
        <v>5062018</v>
      </c>
      <c r="D145">
        <v>60</v>
      </c>
      <c r="E145" t="str">
        <f>"TR TO C/A"</f>
        <v>TR TO C/A</v>
      </c>
      <c r="F145">
        <v>9938</v>
      </c>
      <c r="G145" t="str">
        <f>"30809211"</f>
        <v>30809211</v>
      </c>
      <c r="H145" s="2">
        <v>9964</v>
      </c>
      <c r="I145" t="s">
        <v>26</v>
      </c>
      <c r="J145" s="2">
        <v>676972.34</v>
      </c>
      <c r="K145" t="s">
        <v>27</v>
      </c>
      <c r="L145">
        <v>190623</v>
      </c>
      <c r="M145" t="str">
        <f>"PG STATE REPORT VIDE RISING ONE MEDIA SD"</f>
        <v>PG STATE REPORT VIDE RISING ONE MEDIA SD</v>
      </c>
      <c r="O145">
        <v>1</v>
      </c>
      <c r="P145" t="str">
        <f>"PGTEFT3235"</f>
        <v>PGTEFT3235</v>
      </c>
      <c r="Q145" t="str">
        <f>"INN14327"</f>
        <v>INN14327</v>
      </c>
    </row>
    <row r="146" spans="1:17" x14ac:dyDescent="0.25">
      <c r="A146">
        <v>8003879954</v>
      </c>
      <c r="B146">
        <v>36</v>
      </c>
      <c r="C146">
        <v>5062018</v>
      </c>
      <c r="D146">
        <v>60</v>
      </c>
      <c r="E146" t="str">
        <f>"TR TO C/A"</f>
        <v>TR TO C/A</v>
      </c>
      <c r="F146">
        <v>9938</v>
      </c>
      <c r="G146" t="str">
        <f>"30809548"</f>
        <v>30809548</v>
      </c>
      <c r="H146" s="2">
        <v>5300</v>
      </c>
      <c r="I146" t="s">
        <v>26</v>
      </c>
      <c r="J146" s="2">
        <v>686936.34</v>
      </c>
      <c r="K146" t="s">
        <v>27</v>
      </c>
      <c r="L146">
        <v>190623</v>
      </c>
      <c r="M146" t="str">
        <f>"LED MAY'18 PERFORMANCE PLUS MA"</f>
        <v>LED MAY'18 PERFORMANCE PLUS MA</v>
      </c>
      <c r="O146">
        <v>1</v>
      </c>
      <c r="P146" t="str">
        <f>"PGTEFT3229"</f>
        <v>PGTEFT3229</v>
      </c>
      <c r="Q146" t="str">
        <f>"PPM18-05-01"</f>
        <v>PPM18-05-01</v>
      </c>
    </row>
    <row r="147" spans="1:17" x14ac:dyDescent="0.25">
      <c r="A147">
        <v>8003879954</v>
      </c>
      <c r="B147">
        <v>35</v>
      </c>
      <c r="C147">
        <v>5062018</v>
      </c>
      <c r="D147">
        <v>341</v>
      </c>
      <c r="E147" t="str">
        <f>"TR IBG"</f>
        <v>TR IBG</v>
      </c>
      <c r="F147">
        <v>9938</v>
      </c>
      <c r="G147" t="str">
        <f>"30809607"</f>
        <v>30809607</v>
      </c>
      <c r="H147" s="2">
        <v>1000</v>
      </c>
      <c r="I147" t="s">
        <v>26</v>
      </c>
      <c r="J147" s="2">
        <v>692236.34</v>
      </c>
      <c r="K147" t="s">
        <v>27</v>
      </c>
      <c r="L147">
        <v>190142</v>
      </c>
      <c r="M147" t="str">
        <f>"MAJLIS KEBUDAYAAN NE"</f>
        <v>MAJLIS KEBUDAYAAN NE</v>
      </c>
      <c r="O147">
        <v>1</v>
      </c>
      <c r="P147" t="str">
        <f>"PGTEFT3226"</f>
        <v>PGTEFT3226</v>
      </c>
      <c r="Q147" t="str">
        <f>"KKNPP-2018-03-02-07"</f>
        <v>KKNPP-2018-03-02-07</v>
      </c>
    </row>
    <row r="148" spans="1:17" x14ac:dyDescent="0.25">
      <c r="A148">
        <v>8003879954</v>
      </c>
      <c r="B148">
        <v>34</v>
      </c>
      <c r="C148">
        <v>5062018</v>
      </c>
      <c r="D148">
        <v>489</v>
      </c>
      <c r="E148" t="str">
        <f>"OTHER TRANSFER FEE"</f>
        <v>OTHER TRANSFER FEE</v>
      </c>
      <c r="F148">
        <v>9938</v>
      </c>
      <c r="G148" t="str">
        <f>"30809607"</f>
        <v>30809607</v>
      </c>
      <c r="H148" s="2">
        <v>0.1</v>
      </c>
      <c r="I148" t="s">
        <v>26</v>
      </c>
      <c r="J148" s="2">
        <v>693236.34</v>
      </c>
      <c r="K148" t="s">
        <v>27</v>
      </c>
      <c r="L148">
        <v>190142</v>
      </c>
      <c r="M148" t="str">
        <f>"PGTEFT3226          KKNPP-2018-03-02-07"</f>
        <v>PGTEFT3226          KKNPP-2018-03-02-07</v>
      </c>
      <c r="O148">
        <v>1</v>
      </c>
    </row>
    <row r="149" spans="1:17" x14ac:dyDescent="0.25">
      <c r="A149">
        <v>8003879954</v>
      </c>
      <c r="B149">
        <v>33</v>
      </c>
      <c r="C149">
        <v>5062018</v>
      </c>
      <c r="D149">
        <v>341</v>
      </c>
      <c r="E149" t="str">
        <f>"TR IBG"</f>
        <v>TR IBG</v>
      </c>
      <c r="F149">
        <v>9938</v>
      </c>
      <c r="G149" t="str">
        <f>"30809679"</f>
        <v>30809679</v>
      </c>
      <c r="H149" s="2">
        <v>450</v>
      </c>
      <c r="I149" t="s">
        <v>26</v>
      </c>
      <c r="J149" s="2">
        <v>693236.44</v>
      </c>
      <c r="K149" t="s">
        <v>27</v>
      </c>
      <c r="L149">
        <v>190142</v>
      </c>
      <c r="M149" t="str">
        <f>"LIANG CHOW MING"</f>
        <v>LIANG CHOW MING</v>
      </c>
      <c r="O149">
        <v>1</v>
      </c>
      <c r="P149" t="str">
        <f>"PGTEFT3224"</f>
        <v>PGTEFT3224</v>
      </c>
      <c r="Q149" t="str">
        <f>"INV19580-582"</f>
        <v>INV19580-582</v>
      </c>
    </row>
    <row r="150" spans="1:17" x14ac:dyDescent="0.25">
      <c r="A150">
        <v>8003879954</v>
      </c>
      <c r="B150">
        <v>32</v>
      </c>
      <c r="C150">
        <v>5062018</v>
      </c>
      <c r="D150">
        <v>489</v>
      </c>
      <c r="E150" t="str">
        <f>"OTHER TRANSFER FEE"</f>
        <v>OTHER TRANSFER FEE</v>
      </c>
      <c r="F150">
        <v>9938</v>
      </c>
      <c r="G150" t="str">
        <f>"30809679"</f>
        <v>30809679</v>
      </c>
      <c r="H150" s="2">
        <v>0.1</v>
      </c>
      <c r="I150" t="s">
        <v>26</v>
      </c>
      <c r="J150" s="2">
        <v>693686.44</v>
      </c>
      <c r="K150" t="s">
        <v>27</v>
      </c>
      <c r="L150">
        <v>190142</v>
      </c>
      <c r="M150" t="str">
        <f>"PGTEFT3224          INV19580-582"</f>
        <v>PGTEFT3224          INV19580-582</v>
      </c>
      <c r="O150">
        <v>1</v>
      </c>
    </row>
    <row r="151" spans="1:17" x14ac:dyDescent="0.25">
      <c r="A151">
        <v>8003879954</v>
      </c>
      <c r="B151">
        <v>31</v>
      </c>
      <c r="C151">
        <v>5062018</v>
      </c>
      <c r="D151">
        <v>341</v>
      </c>
      <c r="E151" t="str">
        <f>"TR IBG"</f>
        <v>TR IBG</v>
      </c>
      <c r="F151">
        <v>9938</v>
      </c>
      <c r="G151" t="str">
        <f>"30809567"</f>
        <v>30809567</v>
      </c>
      <c r="H151" s="2">
        <v>742</v>
      </c>
      <c r="I151" t="s">
        <v>26</v>
      </c>
      <c r="J151" s="2">
        <v>693686.54</v>
      </c>
      <c r="K151" t="s">
        <v>27</v>
      </c>
      <c r="L151">
        <v>190142</v>
      </c>
      <c r="M151" t="str">
        <f>"PGCC SALES &amp; SERVICE"</f>
        <v>PGCC SALES &amp; SERVICE</v>
      </c>
      <c r="O151">
        <v>1</v>
      </c>
      <c r="P151" t="str">
        <f>"PGTEFT3228"</f>
        <v>PGTEFT3228</v>
      </c>
      <c r="Q151" t="str">
        <f>"INV10130-18 10117-18"</f>
        <v>INV10130-18 10117-18</v>
      </c>
    </row>
    <row r="152" spans="1:17" x14ac:dyDescent="0.25">
      <c r="A152">
        <v>8003879954</v>
      </c>
      <c r="B152">
        <v>30</v>
      </c>
      <c r="C152">
        <v>5062018</v>
      </c>
      <c r="D152">
        <v>489</v>
      </c>
      <c r="E152" t="str">
        <f>"OTHER TRANSFER FEE"</f>
        <v>OTHER TRANSFER FEE</v>
      </c>
      <c r="F152">
        <v>9938</v>
      </c>
      <c r="G152" t="str">
        <f>"30809567"</f>
        <v>30809567</v>
      </c>
      <c r="H152" s="2">
        <v>0.1</v>
      </c>
      <c r="I152" t="s">
        <v>26</v>
      </c>
      <c r="J152" s="2">
        <v>694428.54</v>
      </c>
      <c r="K152" t="s">
        <v>27</v>
      </c>
      <c r="L152">
        <v>190142</v>
      </c>
      <c r="M152" t="str">
        <f>"PGTEFT3228          INV10130-18 10117-18"</f>
        <v>PGTEFT3228          INV10130-18 10117-18</v>
      </c>
      <c r="O152">
        <v>1</v>
      </c>
    </row>
    <row r="153" spans="1:17" x14ac:dyDescent="0.25">
      <c r="A153">
        <v>8003879954</v>
      </c>
      <c r="B153">
        <v>29</v>
      </c>
      <c r="C153">
        <v>5062018</v>
      </c>
      <c r="D153">
        <v>341</v>
      </c>
      <c r="E153" t="str">
        <f>"TR IBG"</f>
        <v>TR IBG</v>
      </c>
      <c r="F153">
        <v>9938</v>
      </c>
      <c r="G153" t="str">
        <f>"30809705"</f>
        <v>30809705</v>
      </c>
      <c r="H153" s="2">
        <v>14</v>
      </c>
      <c r="I153" t="s">
        <v>26</v>
      </c>
      <c r="J153" s="2">
        <v>694428.64</v>
      </c>
      <c r="K153" t="s">
        <v>27</v>
      </c>
      <c r="L153">
        <v>190142</v>
      </c>
      <c r="M153" t="str">
        <f>"KAKI CREATION"</f>
        <v>KAKI CREATION</v>
      </c>
      <c r="O153">
        <v>1</v>
      </c>
      <c r="P153" t="str">
        <f>"PGTEFT3222"</f>
        <v>PGTEFT3222</v>
      </c>
      <c r="Q153" t="str">
        <f>"KKCN18-IV019"</f>
        <v>KKCN18-IV019</v>
      </c>
    </row>
    <row r="154" spans="1:17" x14ac:dyDescent="0.25">
      <c r="A154">
        <v>8003879954</v>
      </c>
      <c r="B154">
        <v>28</v>
      </c>
      <c r="C154">
        <v>5062018</v>
      </c>
      <c r="D154">
        <v>489</v>
      </c>
      <c r="E154" t="str">
        <f>"OTHER TRANSFER FEE"</f>
        <v>OTHER TRANSFER FEE</v>
      </c>
      <c r="F154">
        <v>9938</v>
      </c>
      <c r="G154" t="str">
        <f>"30809705"</f>
        <v>30809705</v>
      </c>
      <c r="H154" s="2">
        <v>0.1</v>
      </c>
      <c r="I154" t="s">
        <v>26</v>
      </c>
      <c r="J154" s="2">
        <v>694442.64</v>
      </c>
      <c r="K154" t="s">
        <v>27</v>
      </c>
      <c r="L154">
        <v>190142</v>
      </c>
      <c r="M154" t="str">
        <f>"PGTEFT3222          KKCN18-IV019"</f>
        <v>PGTEFT3222          KKCN18-IV019</v>
      </c>
      <c r="O154">
        <v>1</v>
      </c>
    </row>
    <row r="155" spans="1:17" x14ac:dyDescent="0.25">
      <c r="A155">
        <v>8003879954</v>
      </c>
      <c r="B155">
        <v>27</v>
      </c>
      <c r="C155">
        <v>5062018</v>
      </c>
      <c r="D155">
        <v>60</v>
      </c>
      <c r="E155" t="str">
        <f>"TR TO C/A"</f>
        <v>TR TO C/A</v>
      </c>
      <c r="F155">
        <v>9938</v>
      </c>
      <c r="G155" t="str">
        <f>"30809744"</f>
        <v>30809744</v>
      </c>
      <c r="H155" s="2">
        <v>2220</v>
      </c>
      <c r="I155" t="s">
        <v>26</v>
      </c>
      <c r="J155" s="2">
        <v>694442.74</v>
      </c>
      <c r="K155" t="s">
        <v>27</v>
      </c>
      <c r="L155">
        <v>190141</v>
      </c>
      <c r="M155" t="str">
        <f>"COASTER-3,000PCS HOOI CERAMICS &amp; GIF"</f>
        <v>COASTER-3,000PCS HOOI CERAMICS &amp; GIF</v>
      </c>
      <c r="O155">
        <v>1</v>
      </c>
      <c r="P155" t="str">
        <f>"PGTEFT3220"</f>
        <v>PGTEFT3220</v>
      </c>
      <c r="Q155" t="str">
        <f>"INV2892"</f>
        <v>INV2892</v>
      </c>
    </row>
    <row r="156" spans="1:17" x14ac:dyDescent="0.25">
      <c r="A156">
        <v>8003879954</v>
      </c>
      <c r="B156">
        <v>26</v>
      </c>
      <c r="C156">
        <v>5062018</v>
      </c>
      <c r="D156">
        <v>341</v>
      </c>
      <c r="E156" t="str">
        <f>"TR IBG"</f>
        <v>TR IBG</v>
      </c>
      <c r="F156">
        <v>9938</v>
      </c>
      <c r="G156" t="str">
        <f>"30809591"</f>
        <v>30809591</v>
      </c>
      <c r="H156" s="2">
        <v>333.9</v>
      </c>
      <c r="I156" t="s">
        <v>26</v>
      </c>
      <c r="J156" s="2">
        <v>696662.74</v>
      </c>
      <c r="K156" t="s">
        <v>27</v>
      </c>
      <c r="L156">
        <v>190141</v>
      </c>
      <c r="M156" t="str">
        <f>"MY PASSION TRAVEL SD"</f>
        <v>MY PASSION TRAVEL SD</v>
      </c>
      <c r="O156">
        <v>1</v>
      </c>
      <c r="P156" t="str">
        <f>"PGTET3227"</f>
        <v>PGTET3227</v>
      </c>
      <c r="Q156" t="str">
        <f>"INV-MPT-10198"</f>
        <v>INV-MPT-10198</v>
      </c>
    </row>
    <row r="157" spans="1:17" x14ac:dyDescent="0.25">
      <c r="A157">
        <v>8003879954</v>
      </c>
      <c r="B157">
        <v>25</v>
      </c>
      <c r="C157">
        <v>5062018</v>
      </c>
      <c r="D157">
        <v>489</v>
      </c>
      <c r="E157" t="str">
        <f>"OTHER TRANSFER FEE"</f>
        <v>OTHER TRANSFER FEE</v>
      </c>
      <c r="F157">
        <v>9938</v>
      </c>
      <c r="G157" t="str">
        <f>"30809591"</f>
        <v>30809591</v>
      </c>
      <c r="H157" s="2">
        <v>0.1</v>
      </c>
      <c r="I157" t="s">
        <v>26</v>
      </c>
      <c r="J157" s="2">
        <v>696996.64</v>
      </c>
      <c r="K157" t="s">
        <v>27</v>
      </c>
      <c r="L157">
        <v>190141</v>
      </c>
      <c r="M157" t="str">
        <f>"PGTET3227           INV-MPT-10198"</f>
        <v>PGTET3227           INV-MPT-10198</v>
      </c>
      <c r="O157">
        <v>1</v>
      </c>
    </row>
    <row r="158" spans="1:17" x14ac:dyDescent="0.25">
      <c r="A158">
        <v>8003879954</v>
      </c>
      <c r="B158">
        <v>24</v>
      </c>
      <c r="C158">
        <v>5062018</v>
      </c>
      <c r="D158">
        <v>341</v>
      </c>
      <c r="E158" t="str">
        <f>"TR IBG"</f>
        <v>TR IBG</v>
      </c>
      <c r="F158">
        <v>9938</v>
      </c>
      <c r="G158" t="str">
        <f>"30809696"</f>
        <v>30809696</v>
      </c>
      <c r="H158" s="2">
        <v>17.5</v>
      </c>
      <c r="I158" t="s">
        <v>26</v>
      </c>
      <c r="J158" s="2">
        <v>696996.74</v>
      </c>
      <c r="K158" t="s">
        <v>27</v>
      </c>
      <c r="L158">
        <v>190141</v>
      </c>
      <c r="M158" t="str">
        <f>"KATAK CREATION"</f>
        <v>KATAK CREATION</v>
      </c>
      <c r="O158">
        <v>1</v>
      </c>
      <c r="P158" t="str">
        <f>"PGTEFT3223"</f>
        <v>PGTEFT3223</v>
      </c>
      <c r="Q158" t="str">
        <f>"IV00013"</f>
        <v>IV00013</v>
      </c>
    </row>
    <row r="159" spans="1:17" x14ac:dyDescent="0.25">
      <c r="A159">
        <v>8003879954</v>
      </c>
      <c r="B159">
        <v>23</v>
      </c>
      <c r="C159">
        <v>5062018</v>
      </c>
      <c r="D159">
        <v>489</v>
      </c>
      <c r="E159" t="str">
        <f>"OTHER TRANSFER FEE"</f>
        <v>OTHER TRANSFER FEE</v>
      </c>
      <c r="F159">
        <v>9938</v>
      </c>
      <c r="G159" t="str">
        <f>"30809696"</f>
        <v>30809696</v>
      </c>
      <c r="H159" s="2">
        <v>0.1</v>
      </c>
      <c r="I159" t="s">
        <v>26</v>
      </c>
      <c r="J159" s="2">
        <v>697014.24</v>
      </c>
      <c r="K159" t="s">
        <v>27</v>
      </c>
      <c r="L159">
        <v>190141</v>
      </c>
      <c r="M159" t="str">
        <f>"PGTEFT3223          IV00013"</f>
        <v>PGTEFT3223          IV00013</v>
      </c>
      <c r="O159">
        <v>1</v>
      </c>
    </row>
    <row r="160" spans="1:17" x14ac:dyDescent="0.25">
      <c r="A160">
        <v>8003879954</v>
      </c>
      <c r="B160">
        <v>22</v>
      </c>
      <c r="C160">
        <v>5062018</v>
      </c>
      <c r="D160">
        <v>341</v>
      </c>
      <c r="E160" t="str">
        <f>"TR IBG"</f>
        <v>TR IBG</v>
      </c>
      <c r="F160">
        <v>9938</v>
      </c>
      <c r="G160" t="str">
        <f>"30809728"</f>
        <v>30809728</v>
      </c>
      <c r="H160" s="2">
        <v>1375.87</v>
      </c>
      <c r="I160" t="s">
        <v>26</v>
      </c>
      <c r="J160" s="2">
        <v>697014.34</v>
      </c>
      <c r="K160" t="s">
        <v>27</v>
      </c>
      <c r="L160">
        <v>190141</v>
      </c>
      <c r="M160" t="str">
        <f>"FUJI XEROX ASIA PACI"</f>
        <v>FUJI XEROX ASIA PACI</v>
      </c>
      <c r="O160">
        <v>1</v>
      </c>
      <c r="P160" t="str">
        <f>"PGTEFT3221"</f>
        <v>PGTEFT3221</v>
      </c>
      <c r="Q160" t="str">
        <f>"ACC316057"</f>
        <v>ACC316057</v>
      </c>
    </row>
    <row r="161" spans="1:17" x14ac:dyDescent="0.25">
      <c r="A161">
        <v>8003879954</v>
      </c>
      <c r="B161">
        <v>21</v>
      </c>
      <c r="C161">
        <v>5062018</v>
      </c>
      <c r="D161">
        <v>489</v>
      </c>
      <c r="E161" t="str">
        <f>"OTHER TRANSFER FEE"</f>
        <v>OTHER TRANSFER FEE</v>
      </c>
      <c r="F161">
        <v>9938</v>
      </c>
      <c r="G161" t="str">
        <f>"30809728"</f>
        <v>30809728</v>
      </c>
      <c r="H161" s="2">
        <v>0.1</v>
      </c>
      <c r="I161" t="s">
        <v>26</v>
      </c>
      <c r="J161" s="2">
        <v>698390.21</v>
      </c>
      <c r="K161" t="s">
        <v>27</v>
      </c>
      <c r="L161">
        <v>190141</v>
      </c>
      <c r="M161" t="str">
        <f>"PGTEFT3221          ACC316057"</f>
        <v>PGTEFT3221          ACC316057</v>
      </c>
      <c r="O161">
        <v>1</v>
      </c>
    </row>
    <row r="162" spans="1:17" x14ac:dyDescent="0.25">
      <c r="A162">
        <v>8003879954</v>
      </c>
      <c r="B162">
        <v>20</v>
      </c>
      <c r="C162">
        <v>5062018</v>
      </c>
      <c r="D162">
        <v>341</v>
      </c>
      <c r="E162" t="str">
        <f>"TR IBG"</f>
        <v>TR IBG</v>
      </c>
      <c r="F162">
        <v>9938</v>
      </c>
      <c r="G162" t="str">
        <f>"30809752"</f>
        <v>30809752</v>
      </c>
      <c r="H162" s="2">
        <v>1050</v>
      </c>
      <c r="I162" t="s">
        <v>26</v>
      </c>
      <c r="J162" s="2">
        <v>698390.31</v>
      </c>
      <c r="K162" t="s">
        <v>27</v>
      </c>
      <c r="L162">
        <v>190141</v>
      </c>
      <c r="M162" t="str">
        <f>"HWA YIK TOUR &amp; TRAVE"</f>
        <v>HWA YIK TOUR &amp; TRAVE</v>
      </c>
      <c r="O162">
        <v>1</v>
      </c>
      <c r="P162" t="str">
        <f>"PGTEFT3219"</f>
        <v>PGTEFT3219</v>
      </c>
      <c r="Q162" t="str">
        <f>"DIHYT3278"</f>
        <v>DIHYT3278</v>
      </c>
    </row>
    <row r="163" spans="1:17" x14ac:dyDescent="0.25">
      <c r="A163">
        <v>8003879954</v>
      </c>
      <c r="B163">
        <v>19</v>
      </c>
      <c r="C163">
        <v>5062018</v>
      </c>
      <c r="D163">
        <v>489</v>
      </c>
      <c r="E163" t="str">
        <f>"OTHER TRANSFER FEE"</f>
        <v>OTHER TRANSFER FEE</v>
      </c>
      <c r="F163">
        <v>9938</v>
      </c>
      <c r="G163" t="str">
        <f>"30809752"</f>
        <v>30809752</v>
      </c>
      <c r="H163" s="2">
        <v>0.1</v>
      </c>
      <c r="I163" t="s">
        <v>26</v>
      </c>
      <c r="J163" s="2">
        <v>699440.31</v>
      </c>
      <c r="K163" t="s">
        <v>27</v>
      </c>
      <c r="L163">
        <v>190141</v>
      </c>
      <c r="M163" t="str">
        <f>"PGTEFT3219          DIHYT3278"</f>
        <v>PGTEFT3219          DIHYT3278</v>
      </c>
      <c r="O163">
        <v>1</v>
      </c>
    </row>
    <row r="164" spans="1:17" x14ac:dyDescent="0.25">
      <c r="A164">
        <v>8003879954</v>
      </c>
      <c r="B164">
        <v>18</v>
      </c>
      <c r="C164">
        <v>5062018</v>
      </c>
      <c r="D164">
        <v>60</v>
      </c>
      <c r="E164" t="str">
        <f>"TR TO C/A"</f>
        <v>TR TO C/A</v>
      </c>
      <c r="F164">
        <v>9938</v>
      </c>
      <c r="G164" t="str">
        <f>"30809649"</f>
        <v>30809649</v>
      </c>
      <c r="H164" s="2">
        <v>2542.59</v>
      </c>
      <c r="I164" t="s">
        <v>26</v>
      </c>
      <c r="J164" s="2">
        <v>699440.41</v>
      </c>
      <c r="K164" t="s">
        <v>27</v>
      </c>
      <c r="L164">
        <v>190140</v>
      </c>
      <c r="M164" t="str">
        <f>"MAY'18 LIM HOOI LENG"</f>
        <v>MAY'18 LIM HOOI LENG</v>
      </c>
      <c r="O164">
        <v>1</v>
      </c>
      <c r="P164" t="str">
        <f>"PGTEFT3225"</f>
        <v>PGTEFT3225</v>
      </c>
      <c r="Q164" t="str">
        <f>"CLAIMS"</f>
        <v>CLAIMS</v>
      </c>
    </row>
    <row r="165" spans="1:17" x14ac:dyDescent="0.25">
      <c r="A165">
        <v>8003879954</v>
      </c>
      <c r="B165">
        <v>17</v>
      </c>
      <c r="C165">
        <v>5062018</v>
      </c>
      <c r="D165">
        <v>341</v>
      </c>
      <c r="E165" t="str">
        <f>"TR IBG"</f>
        <v>TR IBG</v>
      </c>
      <c r="F165">
        <v>9938</v>
      </c>
      <c r="G165" t="str">
        <f>"30809758"</f>
        <v>30809758</v>
      </c>
      <c r="H165" s="2">
        <v>742</v>
      </c>
      <c r="I165" t="s">
        <v>26</v>
      </c>
      <c r="J165" s="2">
        <v>701983</v>
      </c>
      <c r="K165" t="s">
        <v>27</v>
      </c>
      <c r="L165">
        <v>185346</v>
      </c>
      <c r="M165" t="str">
        <f>"GINNCONS CONSTRUCTIO"</f>
        <v>GINNCONS CONSTRUCTIO</v>
      </c>
      <c r="O165">
        <v>1</v>
      </c>
      <c r="P165" t="str">
        <f>"PGTEFT3218"</f>
        <v>PGTEFT3218</v>
      </c>
      <c r="Q165" t="str">
        <f>"0256-2018"</f>
        <v>0256-2018</v>
      </c>
    </row>
    <row r="166" spans="1:17" x14ac:dyDescent="0.25">
      <c r="A166">
        <v>8003879954</v>
      </c>
      <c r="B166">
        <v>16</v>
      </c>
      <c r="C166">
        <v>5062018</v>
      </c>
      <c r="D166">
        <v>489</v>
      </c>
      <c r="E166" t="str">
        <f>"OTHER TRANSFER FEE"</f>
        <v>OTHER TRANSFER FEE</v>
      </c>
      <c r="F166">
        <v>9938</v>
      </c>
      <c r="G166" t="str">
        <f>"30809758"</f>
        <v>30809758</v>
      </c>
      <c r="H166" s="2">
        <v>0.1</v>
      </c>
      <c r="I166" t="s">
        <v>26</v>
      </c>
      <c r="J166" s="2">
        <v>702725</v>
      </c>
      <c r="K166" t="s">
        <v>27</v>
      </c>
      <c r="L166">
        <v>185346</v>
      </c>
      <c r="M166" t="str">
        <f>"PGTEFT3218          0256-2018"</f>
        <v>PGTEFT3218          0256-2018</v>
      </c>
      <c r="O166">
        <v>1</v>
      </c>
    </row>
    <row r="167" spans="1:17" x14ac:dyDescent="0.25">
      <c r="A167">
        <v>8003879954</v>
      </c>
      <c r="B167">
        <v>15</v>
      </c>
      <c r="C167">
        <v>5062018</v>
      </c>
      <c r="D167">
        <v>341</v>
      </c>
      <c r="E167" t="str">
        <f>"TR IBG"</f>
        <v>TR IBG</v>
      </c>
      <c r="F167">
        <v>9938</v>
      </c>
      <c r="G167" t="str">
        <f>"30809785"</f>
        <v>30809785</v>
      </c>
      <c r="H167" s="2">
        <v>3650</v>
      </c>
      <c r="I167" t="s">
        <v>26</v>
      </c>
      <c r="J167" s="2">
        <v>702725.1</v>
      </c>
      <c r="K167" t="s">
        <v>27</v>
      </c>
      <c r="L167">
        <v>185341</v>
      </c>
      <c r="M167" t="str">
        <f>"DISCOVERY OVERLAND H"</f>
        <v>DISCOVERY OVERLAND H</v>
      </c>
      <c r="O167">
        <v>1</v>
      </c>
      <c r="P167" t="str">
        <f>"PGTEFT3217"</f>
        <v>PGTEFT3217</v>
      </c>
      <c r="Q167" t="str">
        <f>"INV74327"</f>
        <v>INV74327</v>
      </c>
    </row>
    <row r="168" spans="1:17" x14ac:dyDescent="0.25">
      <c r="A168">
        <v>8003879954</v>
      </c>
      <c r="B168">
        <v>14</v>
      </c>
      <c r="C168">
        <v>5062018</v>
      </c>
      <c r="D168">
        <v>489</v>
      </c>
      <c r="E168" t="str">
        <f>"OTHER TRANSFER FEE"</f>
        <v>OTHER TRANSFER FEE</v>
      </c>
      <c r="F168">
        <v>9938</v>
      </c>
      <c r="G168" t="str">
        <f>"30809785"</f>
        <v>30809785</v>
      </c>
      <c r="H168" s="2">
        <v>0.1</v>
      </c>
      <c r="I168" t="s">
        <v>26</v>
      </c>
      <c r="J168" s="2">
        <v>706375.1</v>
      </c>
      <c r="K168" t="s">
        <v>27</v>
      </c>
      <c r="L168">
        <v>185341</v>
      </c>
      <c r="M168" t="str">
        <f>"PGTEFT3217          INV74327"</f>
        <v>PGTEFT3217          INV74327</v>
      </c>
      <c r="O168">
        <v>1</v>
      </c>
    </row>
    <row r="169" spans="1:17" x14ac:dyDescent="0.25">
      <c r="A169">
        <v>8003879954</v>
      </c>
      <c r="B169">
        <v>13</v>
      </c>
      <c r="C169">
        <v>5062018</v>
      </c>
      <c r="D169">
        <v>341</v>
      </c>
      <c r="E169" t="str">
        <f>"TR IBG"</f>
        <v>TR IBG</v>
      </c>
      <c r="F169">
        <v>9938</v>
      </c>
      <c r="G169" t="str">
        <f>"30809797"</f>
        <v>30809797</v>
      </c>
      <c r="H169" s="2">
        <v>2500</v>
      </c>
      <c r="I169" t="s">
        <v>26</v>
      </c>
      <c r="J169" s="2">
        <v>706375.2</v>
      </c>
      <c r="K169" t="s">
        <v>27</v>
      </c>
      <c r="L169">
        <v>185345</v>
      </c>
      <c r="M169" t="str">
        <f>"BEYOND MULTIMEDIA PL"</f>
        <v>BEYOND MULTIMEDIA PL</v>
      </c>
      <c r="O169">
        <v>1</v>
      </c>
      <c r="P169" t="str">
        <f>"PGTEFT3216"</f>
        <v>PGTEFT3216</v>
      </c>
      <c r="Q169" t="str">
        <f>"BM-180501"</f>
        <v>BM-180501</v>
      </c>
    </row>
    <row r="170" spans="1:17" x14ac:dyDescent="0.25">
      <c r="A170">
        <v>8003879954</v>
      </c>
      <c r="B170">
        <v>12</v>
      </c>
      <c r="C170">
        <v>5062018</v>
      </c>
      <c r="D170">
        <v>489</v>
      </c>
      <c r="E170" t="str">
        <f>"OTHER TRANSFER FEE"</f>
        <v>OTHER TRANSFER FEE</v>
      </c>
      <c r="F170">
        <v>9938</v>
      </c>
      <c r="G170" t="str">
        <f>"30809797"</f>
        <v>30809797</v>
      </c>
      <c r="H170" s="2">
        <v>0.1</v>
      </c>
      <c r="I170" t="s">
        <v>26</v>
      </c>
      <c r="J170" s="2">
        <v>708875.2</v>
      </c>
      <c r="K170" t="s">
        <v>27</v>
      </c>
      <c r="L170">
        <v>185345</v>
      </c>
      <c r="M170" t="str">
        <f>"PGTEFT3216          BM-180501"</f>
        <v>PGTEFT3216          BM-180501</v>
      </c>
      <c r="O170">
        <v>1</v>
      </c>
    </row>
    <row r="171" spans="1:17" x14ac:dyDescent="0.25">
      <c r="A171">
        <v>8003879954</v>
      </c>
      <c r="B171">
        <v>11</v>
      </c>
      <c r="C171">
        <v>5062018</v>
      </c>
      <c r="D171">
        <v>341</v>
      </c>
      <c r="E171" t="str">
        <f>"TR IBG"</f>
        <v>TR IBG</v>
      </c>
      <c r="F171">
        <v>9938</v>
      </c>
      <c r="G171" t="str">
        <f>"30809800"</f>
        <v>30809800</v>
      </c>
      <c r="H171" s="2">
        <v>166.47</v>
      </c>
      <c r="I171" t="s">
        <v>26</v>
      </c>
      <c r="J171" s="2">
        <v>708875.3</v>
      </c>
      <c r="K171" t="s">
        <v>27</v>
      </c>
      <c r="L171">
        <v>185341</v>
      </c>
      <c r="M171" t="str">
        <f>"ASIA ONTIME (M) SDN"</f>
        <v>ASIA ONTIME (M) SDN</v>
      </c>
      <c r="O171">
        <v>1</v>
      </c>
      <c r="P171" t="str">
        <f>"PGTEFT3215"</f>
        <v>PGTEFT3215</v>
      </c>
      <c r="Q171" t="str">
        <f>"INV10016101"</f>
        <v>INV10016101</v>
      </c>
    </row>
    <row r="172" spans="1:17" x14ac:dyDescent="0.25">
      <c r="A172">
        <v>8003879954</v>
      </c>
      <c r="B172">
        <v>10</v>
      </c>
      <c r="C172">
        <v>5062018</v>
      </c>
      <c r="D172">
        <v>489</v>
      </c>
      <c r="E172" t="str">
        <f>"OTHER TRANSFER FEE"</f>
        <v>OTHER TRANSFER FEE</v>
      </c>
      <c r="F172">
        <v>9938</v>
      </c>
      <c r="G172" t="str">
        <f>"30809800"</f>
        <v>30809800</v>
      </c>
      <c r="H172" s="2">
        <v>0.1</v>
      </c>
      <c r="I172" t="s">
        <v>26</v>
      </c>
      <c r="J172" s="2">
        <v>709041.77</v>
      </c>
      <c r="K172" t="s">
        <v>27</v>
      </c>
      <c r="L172">
        <v>185341</v>
      </c>
      <c r="M172" t="str">
        <f>"PGTEFT3215          INV10016101"</f>
        <v>PGTEFT3215          INV10016101</v>
      </c>
      <c r="O172">
        <v>1</v>
      </c>
    </row>
    <row r="173" spans="1:17" x14ac:dyDescent="0.25">
      <c r="A173">
        <v>8003879954</v>
      </c>
      <c r="B173">
        <v>9</v>
      </c>
      <c r="C173">
        <v>5062018</v>
      </c>
      <c r="D173">
        <v>341</v>
      </c>
      <c r="E173" t="str">
        <f>"TR IBG"</f>
        <v>TR IBG</v>
      </c>
      <c r="F173">
        <v>9938</v>
      </c>
      <c r="G173" t="str">
        <f>"30809811"</f>
        <v>30809811</v>
      </c>
      <c r="H173" s="2">
        <v>420</v>
      </c>
      <c r="I173" t="s">
        <v>26</v>
      </c>
      <c r="J173" s="2">
        <v>709041.87</v>
      </c>
      <c r="K173" t="s">
        <v>27</v>
      </c>
      <c r="L173">
        <v>185342</v>
      </c>
      <c r="M173" t="str">
        <f>"ET HOSPITALITY VENTU"</f>
        <v>ET HOSPITALITY VENTU</v>
      </c>
      <c r="O173">
        <v>1</v>
      </c>
      <c r="P173" t="str">
        <f>"PGTEFT3214"</f>
        <v>PGTEFT3214</v>
      </c>
      <c r="Q173" t="str">
        <f>"GST1257 GST459"</f>
        <v>GST1257 GST459</v>
      </c>
    </row>
    <row r="174" spans="1:17" x14ac:dyDescent="0.25">
      <c r="A174">
        <v>8003879954</v>
      </c>
      <c r="B174">
        <v>8</v>
      </c>
      <c r="C174">
        <v>5062018</v>
      </c>
      <c r="D174">
        <v>489</v>
      </c>
      <c r="E174" t="str">
        <f>"OTHER TRANSFER FEE"</f>
        <v>OTHER TRANSFER FEE</v>
      </c>
      <c r="F174">
        <v>9938</v>
      </c>
      <c r="G174" t="str">
        <f>"30809811"</f>
        <v>30809811</v>
      </c>
      <c r="H174" s="2">
        <v>0.1</v>
      </c>
      <c r="I174" t="s">
        <v>26</v>
      </c>
      <c r="J174" s="2">
        <v>709461.87</v>
      </c>
      <c r="K174" t="s">
        <v>27</v>
      </c>
      <c r="L174">
        <v>185342</v>
      </c>
      <c r="M174" t="str">
        <f>"PGTEFT3214          GST1257 GST459"</f>
        <v>PGTEFT3214          GST1257 GST459</v>
      </c>
      <c r="O174">
        <v>1</v>
      </c>
    </row>
    <row r="175" spans="1:17" x14ac:dyDescent="0.25">
      <c r="A175">
        <v>8003879954</v>
      </c>
      <c r="B175">
        <v>7</v>
      </c>
      <c r="C175">
        <v>5062018</v>
      </c>
      <c r="D175">
        <v>60</v>
      </c>
      <c r="E175" t="str">
        <f>"TR TO C/A"</f>
        <v>TR TO C/A</v>
      </c>
      <c r="F175">
        <v>9938</v>
      </c>
      <c r="G175" t="str">
        <f>"30809866"</f>
        <v>30809866</v>
      </c>
      <c r="H175" s="2">
        <v>360.4</v>
      </c>
      <c r="I175" t="s">
        <v>26</v>
      </c>
      <c r="J175" s="2">
        <v>709461.97</v>
      </c>
      <c r="K175" t="s">
        <v>27</v>
      </c>
      <c r="L175">
        <v>185342</v>
      </c>
      <c r="M175" t="str">
        <f>"ACC-APR'18 CORPORATENET SDN BH"</f>
        <v>ACC-APR'18 CORPORATENET SDN BH</v>
      </c>
      <c r="O175">
        <v>1</v>
      </c>
      <c r="P175" t="str">
        <f>"PGTEFT3212"</f>
        <v>PGTEFT3212</v>
      </c>
      <c r="Q175" t="str">
        <f>"CNET-18-1664"</f>
        <v>CNET-18-1664</v>
      </c>
    </row>
    <row r="176" spans="1:17" x14ac:dyDescent="0.25">
      <c r="A176">
        <v>8003879954</v>
      </c>
      <c r="B176">
        <v>6</v>
      </c>
      <c r="C176">
        <v>5062018</v>
      </c>
      <c r="D176">
        <v>341</v>
      </c>
      <c r="E176" t="str">
        <f>"TR IBG"</f>
        <v>TR IBG</v>
      </c>
      <c r="F176">
        <v>9938</v>
      </c>
      <c r="G176" t="str">
        <f>"30809877"</f>
        <v>30809877</v>
      </c>
      <c r="H176" s="2">
        <v>400</v>
      </c>
      <c r="I176" t="s">
        <v>26</v>
      </c>
      <c r="J176" s="2">
        <v>709822.37</v>
      </c>
      <c r="K176" t="s">
        <v>27</v>
      </c>
      <c r="L176">
        <v>185341</v>
      </c>
      <c r="M176" t="str">
        <f>"CHONG LEE CHOO"</f>
        <v>CHONG LEE CHOO</v>
      </c>
      <c r="O176">
        <v>1</v>
      </c>
      <c r="P176" t="str">
        <f>"PGTEFT3211"</f>
        <v>PGTEFT3211</v>
      </c>
      <c r="Q176" t="str">
        <f>"ITBCHINAMAY"</f>
        <v>ITBCHINAMAY</v>
      </c>
    </row>
    <row r="177" spans="1:18" x14ac:dyDescent="0.25">
      <c r="A177">
        <v>8003879954</v>
      </c>
      <c r="B177">
        <v>5</v>
      </c>
      <c r="C177">
        <v>5062018</v>
      </c>
      <c r="D177">
        <v>489</v>
      </c>
      <c r="E177" t="str">
        <f>"OTHER TRANSFER FEE"</f>
        <v>OTHER TRANSFER FEE</v>
      </c>
      <c r="F177">
        <v>9938</v>
      </c>
      <c r="G177" t="str">
        <f>"30809877"</f>
        <v>30809877</v>
      </c>
      <c r="H177" s="2">
        <v>0.1</v>
      </c>
      <c r="I177" t="s">
        <v>26</v>
      </c>
      <c r="J177" s="2">
        <v>710222.37</v>
      </c>
      <c r="K177" t="s">
        <v>27</v>
      </c>
      <c r="L177">
        <v>185341</v>
      </c>
      <c r="M177" t="str">
        <f>"PGTEFT3211          ITBCHINAMAY"</f>
        <v>PGTEFT3211          ITBCHINAMAY</v>
      </c>
      <c r="O177">
        <v>1</v>
      </c>
    </row>
    <row r="178" spans="1:18" x14ac:dyDescent="0.25">
      <c r="A178">
        <v>8003879954</v>
      </c>
      <c r="B178">
        <v>4</v>
      </c>
      <c r="C178">
        <v>5062018</v>
      </c>
      <c r="D178">
        <v>60</v>
      </c>
      <c r="E178" t="str">
        <f>"TR TO C/A"</f>
        <v>TR TO C/A</v>
      </c>
      <c r="F178">
        <v>9938</v>
      </c>
      <c r="G178" t="str">
        <f>"30809897"</f>
        <v>30809897</v>
      </c>
      <c r="H178" s="2">
        <v>3990</v>
      </c>
      <c r="I178" t="s">
        <v>26</v>
      </c>
      <c r="J178" s="2">
        <v>710222.47</v>
      </c>
      <c r="K178" t="s">
        <v>27</v>
      </c>
      <c r="L178">
        <v>185341</v>
      </c>
      <c r="M178" t="str">
        <f>"A077761 A078047 A078 BUTTERFLY HOUSE (PG"</f>
        <v>A077761 A078047 A078 BUTTERFLY HOUSE (PG</v>
      </c>
      <c r="O178">
        <v>1</v>
      </c>
      <c r="P178" t="str">
        <f>"PGTEFT3210"</f>
        <v>PGTEFT3210</v>
      </c>
      <c r="Q178" t="str">
        <f>"B039048 A077738"</f>
        <v>B039048 A077738</v>
      </c>
    </row>
    <row r="179" spans="1:18" x14ac:dyDescent="0.25">
      <c r="A179">
        <v>8003879954</v>
      </c>
      <c r="B179">
        <v>3</v>
      </c>
      <c r="C179">
        <v>5062018</v>
      </c>
      <c r="D179">
        <v>341</v>
      </c>
      <c r="E179" t="str">
        <f>"TR IBG"</f>
        <v>TR IBG</v>
      </c>
      <c r="F179">
        <v>9938</v>
      </c>
      <c r="G179" t="str">
        <f>"30809817"</f>
        <v>30809817</v>
      </c>
      <c r="H179" s="2">
        <v>88</v>
      </c>
      <c r="I179" t="s">
        <v>26</v>
      </c>
      <c r="J179" s="2">
        <v>714212.47</v>
      </c>
      <c r="K179" t="s">
        <v>27</v>
      </c>
      <c r="L179">
        <v>185341</v>
      </c>
      <c r="M179" t="str">
        <f>"CLARITY PUBLISHING S"</f>
        <v>CLARITY PUBLISHING S</v>
      </c>
      <c r="O179">
        <v>1</v>
      </c>
      <c r="P179" t="str">
        <f>"PGTEFT3213"</f>
        <v>PGTEFT3213</v>
      </c>
      <c r="Q179" t="str">
        <f>"PGT04-18INV"</f>
        <v>PGT04-18INV</v>
      </c>
    </row>
    <row r="180" spans="1:18" x14ac:dyDescent="0.25">
      <c r="A180">
        <v>8003879954</v>
      </c>
      <c r="B180">
        <v>2</v>
      </c>
      <c r="C180">
        <v>5062018</v>
      </c>
      <c r="D180">
        <v>489</v>
      </c>
      <c r="E180" t="str">
        <f>"OTHER TRANSFER FEE"</f>
        <v>OTHER TRANSFER FEE</v>
      </c>
      <c r="F180">
        <v>9938</v>
      </c>
      <c r="G180" t="str">
        <f>"30809817"</f>
        <v>30809817</v>
      </c>
      <c r="H180" s="2">
        <v>0.1</v>
      </c>
      <c r="I180" t="s">
        <v>26</v>
      </c>
      <c r="J180" s="2">
        <v>714300.47</v>
      </c>
      <c r="K180" t="s">
        <v>27</v>
      </c>
      <c r="L180">
        <v>185341</v>
      </c>
      <c r="M180" t="str">
        <f>"PGTEFT3213          PGT04-18INV"</f>
        <v>PGTEFT3213          PGT04-18INV</v>
      </c>
      <c r="O180">
        <v>1</v>
      </c>
    </row>
    <row r="181" spans="1:18" x14ac:dyDescent="0.25">
      <c r="A181">
        <v>8003879954</v>
      </c>
      <c r="B181">
        <v>1</v>
      </c>
      <c r="C181">
        <v>5062018</v>
      </c>
      <c r="D181">
        <v>345</v>
      </c>
      <c r="E181" t="str">
        <f>"TR TO SAVINGS"</f>
        <v>TR TO SAVINGS</v>
      </c>
      <c r="F181">
        <v>9938</v>
      </c>
      <c r="G181" t="str">
        <f>"30831141"</f>
        <v>30831141</v>
      </c>
      <c r="H181" s="2">
        <v>663.6</v>
      </c>
      <c r="I181" t="s">
        <v>26</v>
      </c>
      <c r="J181" s="2">
        <v>714300.57</v>
      </c>
      <c r="K181" t="s">
        <v>27</v>
      </c>
      <c r="L181">
        <v>185340</v>
      </c>
      <c r="M181" t="str">
        <f>"WELOMING RECEPTION AZFALYZA BINTI ABDU"</f>
        <v>WELOMING RECEPTION AZFALYZA BINTI ABDU</v>
      </c>
      <c r="O181">
        <v>1</v>
      </c>
      <c r="P181" t="str">
        <f>"PGTEFT3249"</f>
        <v>PGTEFT3249</v>
      </c>
      <c r="Q181" t="str">
        <f>"ADVCANCE CLAIMS"</f>
        <v>ADVCANCE CLAIMS</v>
      </c>
    </row>
    <row r="182" spans="1:18" x14ac:dyDescent="0.25">
      <c r="A182">
        <v>8003879954</v>
      </c>
      <c r="B182">
        <v>4</v>
      </c>
      <c r="C182">
        <v>1062018</v>
      </c>
      <c r="D182">
        <v>123</v>
      </c>
      <c r="E182" t="str">
        <f>"2D LOCAL CHQ"</f>
        <v>2D LOCAL CHQ</v>
      </c>
      <c r="F182">
        <v>2007</v>
      </c>
      <c r="G182" t="str">
        <f>"95867327"</f>
        <v>95867327</v>
      </c>
      <c r="H182" s="2">
        <v>750</v>
      </c>
      <c r="I182" t="s">
        <v>27</v>
      </c>
      <c r="J182" s="2">
        <v>714964.17</v>
      </c>
      <c r="K182" t="s">
        <v>27</v>
      </c>
      <c r="L182">
        <v>190902</v>
      </c>
      <c r="M182" t="str">
        <f>""</f>
        <v/>
      </c>
      <c r="O182">
        <v>1</v>
      </c>
    </row>
    <row r="183" spans="1:18" x14ac:dyDescent="0.25">
      <c r="A183">
        <v>8003879954</v>
      </c>
      <c r="B183">
        <v>3</v>
      </c>
      <c r="C183">
        <v>1062018</v>
      </c>
      <c r="D183">
        <v>341</v>
      </c>
      <c r="E183" t="str">
        <f>"TR IBG"</f>
        <v>TR IBG</v>
      </c>
      <c r="F183">
        <v>9938</v>
      </c>
      <c r="G183" t="str">
        <f>"30691425"</f>
        <v>30691425</v>
      </c>
      <c r="H183" s="2">
        <v>950</v>
      </c>
      <c r="I183" t="s">
        <v>26</v>
      </c>
      <c r="J183" s="2">
        <v>714214.17</v>
      </c>
      <c r="K183" t="s">
        <v>27</v>
      </c>
      <c r="L183">
        <v>170709</v>
      </c>
      <c r="M183" t="str">
        <f>"PREMIUM MINDS SDN BH"</f>
        <v>PREMIUM MINDS SDN BH</v>
      </c>
      <c r="O183">
        <v>1</v>
      </c>
      <c r="P183" t="str">
        <f>"PGTEFT3230"</f>
        <v>PGTEFT3230</v>
      </c>
      <c r="Q183" t="str">
        <f>"PROFORMA INV"</f>
        <v>PROFORMA INV</v>
      </c>
    </row>
    <row r="184" spans="1:18" x14ac:dyDescent="0.25">
      <c r="A184">
        <v>8003879954</v>
      </c>
      <c r="B184">
        <v>2</v>
      </c>
      <c r="C184">
        <v>1062018</v>
      </c>
      <c r="D184">
        <v>489</v>
      </c>
      <c r="E184" t="str">
        <f>"OTHER TRANSFER FEE"</f>
        <v>OTHER TRANSFER FEE</v>
      </c>
      <c r="F184">
        <v>9938</v>
      </c>
      <c r="G184" t="str">
        <f>"30691425"</f>
        <v>30691425</v>
      </c>
      <c r="H184" s="2">
        <v>0.1</v>
      </c>
      <c r="I184" t="s">
        <v>26</v>
      </c>
      <c r="J184" s="2">
        <v>715164.17</v>
      </c>
      <c r="K184" t="s">
        <v>27</v>
      </c>
      <c r="L184">
        <v>170709</v>
      </c>
      <c r="M184" t="str">
        <f>"PGTEFT3230          PROFORMA INV"</f>
        <v>PGTEFT3230          PROFORMA INV</v>
      </c>
      <c r="O184">
        <v>1</v>
      </c>
    </row>
    <row r="185" spans="1:18" x14ac:dyDescent="0.25">
      <c r="A185">
        <v>8003879954</v>
      </c>
      <c r="B185">
        <v>1</v>
      </c>
      <c r="C185">
        <v>1062018</v>
      </c>
      <c r="D185">
        <v>5</v>
      </c>
      <c r="E185" t="str">
        <f>"REMITTANCE CR"</f>
        <v>REMITTANCE CR</v>
      </c>
      <c r="H185" s="2">
        <v>650000</v>
      </c>
      <c r="I185" t="s">
        <v>27</v>
      </c>
      <c r="J185" s="2">
        <v>715164.27</v>
      </c>
      <c r="K185" t="s">
        <v>27</v>
      </c>
      <c r="L185">
        <v>111116</v>
      </c>
      <c r="M185" t="str">
        <f>"/ROC/FROM RHB REFLE RHB ASSET MANAGEMENT"</f>
        <v>/ROC/FROM RHB REFLE RHB ASSET MANAGEMENT</v>
      </c>
      <c r="O185">
        <v>1</v>
      </c>
      <c r="P185" t="str">
        <f>"FROM RHB REFLEX"</f>
        <v>FROM RHB REFLEX</v>
      </c>
      <c r="Q185" t="str">
        <f>"RHB ASSET MGMT SB"</f>
        <v>RHB ASSET MGMT SB</v>
      </c>
      <c r="R185" t="str">
        <f>"RHB ASSET MANAGEMENT"</f>
        <v>RHB ASSET MANAGEMENT</v>
      </c>
    </row>
    <row r="187" spans="1:18" x14ac:dyDescent="0.25">
      <c r="H187" s="2">
        <f>SUBTOTAL(9,H10:H185)</f>
        <v>2929444.3100000056</v>
      </c>
      <c r="J187"/>
    </row>
    <row r="188" spans="1:18" x14ac:dyDescent="0.25">
      <c r="H188"/>
      <c r="J188"/>
    </row>
    <row r="189" spans="1:18" x14ac:dyDescent="0.25">
      <c r="H189"/>
      <c r="J189"/>
    </row>
  </sheetData>
  <autoFilter ref="A8:Q185" xr:uid="{CF109FEB-3BE3-49F9-8C2D-13E34C3E637C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3CBA9-025A-4EC0-A77E-F06891166C1F}">
  <dimension ref="A1:R207"/>
  <sheetViews>
    <sheetView topLeftCell="A7" workbookViewId="0">
      <selection activeCell="E11" sqref="E11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2" bestFit="1" customWidth="1"/>
    <col min="9" max="9" width="14.140625" customWidth="1"/>
    <col min="10" max="10" width="13.28515625" style="2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1111</v>
      </c>
    </row>
    <row r="5" spans="1:18" x14ac:dyDescent="0.25">
      <c r="A5" t="s">
        <v>1112</v>
      </c>
    </row>
    <row r="6" spans="1:18" x14ac:dyDescent="0.25">
      <c r="A6" t="s">
        <v>1113</v>
      </c>
    </row>
    <row r="8" spans="1:18" s="15" customFormat="1" ht="49.5" customHeight="1" x14ac:dyDescent="0.25">
      <c r="A8" s="15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4" t="s">
        <v>14</v>
      </c>
      <c r="I8" s="15" t="s">
        <v>15</v>
      </c>
      <c r="J8" s="4" t="s">
        <v>16</v>
      </c>
      <c r="K8" s="15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</row>
    <row r="10" spans="1:18" s="16" customFormat="1" x14ac:dyDescent="0.25">
      <c r="A10" s="16">
        <v>8003879954</v>
      </c>
      <c r="B10" s="16">
        <v>9</v>
      </c>
      <c r="C10" s="16">
        <v>31072018</v>
      </c>
      <c r="D10" s="16">
        <v>341</v>
      </c>
      <c r="E10" s="16" t="s">
        <v>25</v>
      </c>
      <c r="F10" s="16">
        <v>9938</v>
      </c>
      <c r="G10" s="16" t="s">
        <v>1114</v>
      </c>
      <c r="H10" s="10">
        <v>350</v>
      </c>
      <c r="I10" s="16" t="s">
        <v>26</v>
      </c>
      <c r="J10" s="10">
        <v>3352420.5</v>
      </c>
      <c r="K10" s="16" t="s">
        <v>27</v>
      </c>
      <c r="L10" s="16">
        <v>195736</v>
      </c>
      <c r="M10" s="16" t="s">
        <v>824</v>
      </c>
      <c r="O10" s="16">
        <v>1</v>
      </c>
      <c r="P10" s="16" t="s">
        <v>1115</v>
      </c>
      <c r="Q10" s="16" t="s">
        <v>1051</v>
      </c>
    </row>
    <row r="11" spans="1:18" x14ac:dyDescent="0.25">
      <c r="A11">
        <v>8003879954</v>
      </c>
      <c r="B11">
        <v>8</v>
      </c>
      <c r="C11">
        <v>31072018</v>
      </c>
      <c r="D11">
        <v>489</v>
      </c>
      <c r="E11" t="s">
        <v>31</v>
      </c>
      <c r="F11">
        <v>9938</v>
      </c>
      <c r="G11" t="s">
        <v>1114</v>
      </c>
      <c r="H11" s="2">
        <v>0.1</v>
      </c>
      <c r="I11" t="s">
        <v>26</v>
      </c>
      <c r="J11" s="2">
        <v>3352770.5</v>
      </c>
      <c r="K11" t="s">
        <v>27</v>
      </c>
      <c r="L11">
        <v>195736</v>
      </c>
      <c r="M11" t="s">
        <v>1116</v>
      </c>
      <c r="O11">
        <v>1</v>
      </c>
    </row>
    <row r="12" spans="1:18" x14ac:dyDescent="0.25">
      <c r="A12">
        <v>8003879954</v>
      </c>
      <c r="B12">
        <v>7</v>
      </c>
      <c r="C12">
        <v>31072018</v>
      </c>
      <c r="D12">
        <v>345</v>
      </c>
      <c r="E12" t="s">
        <v>51</v>
      </c>
      <c r="F12">
        <v>9938</v>
      </c>
      <c r="G12" t="s">
        <v>1117</v>
      </c>
      <c r="H12" s="2">
        <v>2755.35</v>
      </c>
      <c r="I12" t="s">
        <v>26</v>
      </c>
      <c r="J12" s="2">
        <v>3352770.6</v>
      </c>
      <c r="K12" t="s">
        <v>27</v>
      </c>
      <c r="L12">
        <v>195735</v>
      </c>
      <c r="M12" t="s">
        <v>1118</v>
      </c>
      <c r="O12">
        <v>1</v>
      </c>
      <c r="P12" t="s">
        <v>1119</v>
      </c>
      <c r="Q12" t="s">
        <v>52</v>
      </c>
    </row>
    <row r="13" spans="1:18" x14ac:dyDescent="0.25">
      <c r="A13">
        <v>8003879954</v>
      </c>
      <c r="B13">
        <v>6</v>
      </c>
      <c r="C13">
        <v>31072018</v>
      </c>
      <c r="D13">
        <v>341</v>
      </c>
      <c r="E13" t="s">
        <v>25</v>
      </c>
      <c r="F13">
        <v>9938</v>
      </c>
      <c r="G13" t="s">
        <v>1120</v>
      </c>
      <c r="H13" s="2">
        <v>850</v>
      </c>
      <c r="I13" t="s">
        <v>26</v>
      </c>
      <c r="J13" s="2">
        <v>3355525.95</v>
      </c>
      <c r="K13" t="s">
        <v>27</v>
      </c>
      <c r="L13">
        <v>195735</v>
      </c>
      <c r="M13" t="s">
        <v>747</v>
      </c>
      <c r="O13">
        <v>1</v>
      </c>
      <c r="P13" t="s">
        <v>1121</v>
      </c>
      <c r="Q13" t="s">
        <v>749</v>
      </c>
    </row>
    <row r="14" spans="1:18" x14ac:dyDescent="0.25">
      <c r="A14">
        <v>8003879954</v>
      </c>
      <c r="B14">
        <v>5</v>
      </c>
      <c r="C14">
        <v>31072018</v>
      </c>
      <c r="D14">
        <v>489</v>
      </c>
      <c r="E14" t="s">
        <v>31</v>
      </c>
      <c r="F14">
        <v>9938</v>
      </c>
      <c r="G14" t="s">
        <v>1120</v>
      </c>
      <c r="H14" s="2">
        <v>0.1</v>
      </c>
      <c r="I14" t="s">
        <v>26</v>
      </c>
      <c r="J14" s="2">
        <v>3356375.95</v>
      </c>
      <c r="K14" t="s">
        <v>27</v>
      </c>
      <c r="L14">
        <v>195735</v>
      </c>
      <c r="M14" t="s">
        <v>1122</v>
      </c>
      <c r="O14">
        <v>1</v>
      </c>
    </row>
    <row r="15" spans="1:18" x14ac:dyDescent="0.25">
      <c r="A15">
        <v>8003879954</v>
      </c>
      <c r="B15">
        <v>4</v>
      </c>
      <c r="C15">
        <v>31072018</v>
      </c>
      <c r="D15">
        <v>345</v>
      </c>
      <c r="E15" t="s">
        <v>51</v>
      </c>
      <c r="F15">
        <v>9938</v>
      </c>
      <c r="G15" t="s">
        <v>1123</v>
      </c>
      <c r="H15" s="2">
        <v>3000</v>
      </c>
      <c r="I15" t="s">
        <v>26</v>
      </c>
      <c r="J15" s="2">
        <v>3356376.05</v>
      </c>
      <c r="K15" t="s">
        <v>27</v>
      </c>
      <c r="L15">
        <v>195735</v>
      </c>
      <c r="M15" t="s">
        <v>1124</v>
      </c>
      <c r="O15">
        <v>1</v>
      </c>
      <c r="P15" t="s">
        <v>1125</v>
      </c>
      <c r="Q15" t="s">
        <v>1126</v>
      </c>
    </row>
    <row r="16" spans="1:18" x14ac:dyDescent="0.25">
      <c r="A16">
        <v>8003879954</v>
      </c>
      <c r="B16">
        <v>3</v>
      </c>
      <c r="C16">
        <v>31072018</v>
      </c>
      <c r="D16">
        <v>123</v>
      </c>
      <c r="E16" t="s">
        <v>64</v>
      </c>
      <c r="F16">
        <v>2007</v>
      </c>
      <c r="G16" t="s">
        <v>1127</v>
      </c>
      <c r="H16" s="2">
        <v>3000</v>
      </c>
      <c r="I16" t="s">
        <v>27</v>
      </c>
      <c r="J16" s="2">
        <v>3359376.05</v>
      </c>
      <c r="K16" t="s">
        <v>27</v>
      </c>
      <c r="L16">
        <v>190943</v>
      </c>
      <c r="M16" t="s">
        <v>32</v>
      </c>
      <c r="O16">
        <v>1</v>
      </c>
    </row>
    <row r="17" spans="1:18" x14ac:dyDescent="0.25">
      <c r="A17">
        <v>8003879954</v>
      </c>
      <c r="B17">
        <v>2</v>
      </c>
      <c r="C17">
        <v>31072018</v>
      </c>
      <c r="D17">
        <v>489</v>
      </c>
      <c r="E17" t="s">
        <v>56</v>
      </c>
      <c r="F17">
        <v>3471</v>
      </c>
      <c r="G17" t="s">
        <v>1128</v>
      </c>
      <c r="H17" s="2">
        <v>2.2999999999999998</v>
      </c>
      <c r="I17" t="s">
        <v>26</v>
      </c>
      <c r="J17" s="2">
        <v>3356376.05</v>
      </c>
      <c r="K17" t="s">
        <v>27</v>
      </c>
      <c r="L17">
        <v>72112</v>
      </c>
      <c r="M17" t="s">
        <v>32</v>
      </c>
      <c r="O17">
        <v>1</v>
      </c>
    </row>
    <row r="18" spans="1:18" x14ac:dyDescent="0.25">
      <c r="A18">
        <v>8003879954</v>
      </c>
      <c r="B18">
        <v>1</v>
      </c>
      <c r="C18">
        <v>31072018</v>
      </c>
      <c r="D18">
        <v>669</v>
      </c>
      <c r="E18" t="s">
        <v>33</v>
      </c>
      <c r="F18">
        <v>1807</v>
      </c>
      <c r="G18" t="s">
        <v>1129</v>
      </c>
      <c r="H18" s="2">
        <v>83580.09</v>
      </c>
      <c r="I18" t="s">
        <v>26</v>
      </c>
      <c r="J18" s="2">
        <v>3356378.35</v>
      </c>
      <c r="K18" t="s">
        <v>27</v>
      </c>
      <c r="L18">
        <v>61251</v>
      </c>
      <c r="M18" t="s">
        <v>1130</v>
      </c>
      <c r="O18">
        <v>1</v>
      </c>
      <c r="P18" t="s">
        <v>1131</v>
      </c>
      <c r="R18" t="s">
        <v>34</v>
      </c>
    </row>
    <row r="19" spans="1:18" x14ac:dyDescent="0.25">
      <c r="A19">
        <v>8003879954</v>
      </c>
      <c r="B19">
        <v>25</v>
      </c>
      <c r="C19">
        <v>30072018</v>
      </c>
      <c r="D19">
        <v>345</v>
      </c>
      <c r="E19" t="s">
        <v>51</v>
      </c>
      <c r="F19">
        <v>9938</v>
      </c>
      <c r="G19" t="s">
        <v>1132</v>
      </c>
      <c r="H19" s="2">
        <v>1820</v>
      </c>
      <c r="I19" t="s">
        <v>26</v>
      </c>
      <c r="J19" s="2">
        <v>3439958.44</v>
      </c>
      <c r="K19" t="s">
        <v>27</v>
      </c>
      <c r="L19">
        <v>171146</v>
      </c>
      <c r="M19" t="s">
        <v>1133</v>
      </c>
      <c r="O19">
        <v>1</v>
      </c>
      <c r="P19" t="s">
        <v>1134</v>
      </c>
      <c r="Q19" t="s">
        <v>52</v>
      </c>
    </row>
    <row r="20" spans="1:18" x14ac:dyDescent="0.25">
      <c r="A20">
        <v>8003879954</v>
      </c>
      <c r="B20">
        <v>24</v>
      </c>
      <c r="C20">
        <v>30072018</v>
      </c>
      <c r="D20">
        <v>341</v>
      </c>
      <c r="E20" t="s">
        <v>25</v>
      </c>
      <c r="F20">
        <v>9938</v>
      </c>
      <c r="G20" t="s">
        <v>1135</v>
      </c>
      <c r="H20" s="2">
        <v>209</v>
      </c>
      <c r="I20" t="s">
        <v>26</v>
      </c>
      <c r="J20" s="2">
        <v>3441778.44</v>
      </c>
      <c r="K20" t="s">
        <v>27</v>
      </c>
      <c r="L20">
        <v>171146</v>
      </c>
      <c r="M20" t="s">
        <v>438</v>
      </c>
      <c r="O20">
        <v>1</v>
      </c>
      <c r="P20" t="s">
        <v>1136</v>
      </c>
      <c r="Q20" t="s">
        <v>1137</v>
      </c>
    </row>
    <row r="21" spans="1:18" x14ac:dyDescent="0.25">
      <c r="A21">
        <v>8003879954</v>
      </c>
      <c r="B21">
        <v>23</v>
      </c>
      <c r="C21">
        <v>30072018</v>
      </c>
      <c r="D21">
        <v>489</v>
      </c>
      <c r="E21" t="s">
        <v>31</v>
      </c>
      <c r="F21">
        <v>9938</v>
      </c>
      <c r="G21" t="s">
        <v>1135</v>
      </c>
      <c r="H21" s="2">
        <v>0.1</v>
      </c>
      <c r="I21" t="s">
        <v>26</v>
      </c>
      <c r="J21" s="2">
        <v>3441987.44</v>
      </c>
      <c r="K21" t="s">
        <v>27</v>
      </c>
      <c r="L21">
        <v>171146</v>
      </c>
      <c r="M21" t="s">
        <v>1138</v>
      </c>
      <c r="O21">
        <v>1</v>
      </c>
    </row>
    <row r="22" spans="1:18" x14ac:dyDescent="0.25">
      <c r="A22">
        <v>8003879954</v>
      </c>
      <c r="B22">
        <v>22</v>
      </c>
      <c r="C22">
        <v>30072018</v>
      </c>
      <c r="D22">
        <v>341</v>
      </c>
      <c r="E22" t="s">
        <v>25</v>
      </c>
      <c r="F22">
        <v>9938</v>
      </c>
      <c r="G22" t="s">
        <v>1139</v>
      </c>
      <c r="H22" s="2">
        <v>3000</v>
      </c>
      <c r="I22" t="s">
        <v>26</v>
      </c>
      <c r="J22" s="2">
        <v>3441987.54</v>
      </c>
      <c r="K22" t="s">
        <v>27</v>
      </c>
      <c r="L22">
        <v>171145</v>
      </c>
      <c r="M22" t="s">
        <v>1140</v>
      </c>
      <c r="O22">
        <v>1</v>
      </c>
      <c r="P22" t="s">
        <v>1141</v>
      </c>
      <c r="Q22" t="s">
        <v>1142</v>
      </c>
    </row>
    <row r="23" spans="1:18" x14ac:dyDescent="0.25">
      <c r="A23">
        <v>8003879954</v>
      </c>
      <c r="B23">
        <v>21</v>
      </c>
      <c r="C23">
        <v>30072018</v>
      </c>
      <c r="D23">
        <v>489</v>
      </c>
      <c r="E23" t="s">
        <v>31</v>
      </c>
      <c r="F23">
        <v>9938</v>
      </c>
      <c r="G23" t="s">
        <v>1139</v>
      </c>
      <c r="H23" s="2">
        <v>0.1</v>
      </c>
      <c r="I23" t="s">
        <v>26</v>
      </c>
      <c r="J23" s="2">
        <v>3444987.54</v>
      </c>
      <c r="K23" t="s">
        <v>27</v>
      </c>
      <c r="L23">
        <v>171145</v>
      </c>
      <c r="M23" t="s">
        <v>1143</v>
      </c>
      <c r="O23">
        <v>1</v>
      </c>
    </row>
    <row r="24" spans="1:18" x14ac:dyDescent="0.25">
      <c r="A24">
        <v>8003879954</v>
      </c>
      <c r="B24">
        <v>20</v>
      </c>
      <c r="C24">
        <v>30072018</v>
      </c>
      <c r="D24">
        <v>341</v>
      </c>
      <c r="E24" t="s">
        <v>25</v>
      </c>
      <c r="F24">
        <v>9938</v>
      </c>
      <c r="G24" t="s">
        <v>1144</v>
      </c>
      <c r="H24" s="2">
        <v>4515</v>
      </c>
      <c r="I24" t="s">
        <v>26</v>
      </c>
      <c r="J24" s="2">
        <v>3444987.64</v>
      </c>
      <c r="K24" t="s">
        <v>27</v>
      </c>
      <c r="L24">
        <v>171145</v>
      </c>
      <c r="M24" t="s">
        <v>39</v>
      </c>
      <c r="O24">
        <v>1</v>
      </c>
      <c r="P24" t="s">
        <v>1145</v>
      </c>
      <c r="Q24" t="s">
        <v>1146</v>
      </c>
    </row>
    <row r="25" spans="1:18" x14ac:dyDescent="0.25">
      <c r="A25">
        <v>8003879954</v>
      </c>
      <c r="B25">
        <v>19</v>
      </c>
      <c r="C25">
        <v>30072018</v>
      </c>
      <c r="D25">
        <v>489</v>
      </c>
      <c r="E25" t="s">
        <v>31</v>
      </c>
      <c r="F25">
        <v>9938</v>
      </c>
      <c r="G25" t="s">
        <v>1144</v>
      </c>
      <c r="H25" s="2">
        <v>0.1</v>
      </c>
      <c r="I25" t="s">
        <v>26</v>
      </c>
      <c r="J25" s="2">
        <v>3449502.64</v>
      </c>
      <c r="K25" t="s">
        <v>27</v>
      </c>
      <c r="L25">
        <v>171145</v>
      </c>
      <c r="M25" t="s">
        <v>1147</v>
      </c>
      <c r="O25">
        <v>1</v>
      </c>
    </row>
    <row r="26" spans="1:18" x14ac:dyDescent="0.25">
      <c r="A26">
        <v>8003879954</v>
      </c>
      <c r="B26">
        <v>18</v>
      </c>
      <c r="C26">
        <v>30072018</v>
      </c>
      <c r="D26">
        <v>60</v>
      </c>
      <c r="E26" t="s">
        <v>37</v>
      </c>
      <c r="F26">
        <v>9938</v>
      </c>
      <c r="G26" t="s">
        <v>1148</v>
      </c>
      <c r="H26" s="2">
        <v>90</v>
      </c>
      <c r="I26" t="s">
        <v>26</v>
      </c>
      <c r="J26" s="2">
        <v>3449502.74</v>
      </c>
      <c r="K26" t="s">
        <v>27</v>
      </c>
      <c r="L26">
        <v>171145</v>
      </c>
      <c r="M26" t="s">
        <v>1149</v>
      </c>
      <c r="O26">
        <v>1</v>
      </c>
      <c r="P26" t="s">
        <v>1150</v>
      </c>
      <c r="Q26" t="s">
        <v>1151</v>
      </c>
    </row>
    <row r="27" spans="1:18" x14ac:dyDescent="0.25">
      <c r="A27">
        <v>8003879954</v>
      </c>
      <c r="B27">
        <v>17</v>
      </c>
      <c r="C27">
        <v>30072018</v>
      </c>
      <c r="D27">
        <v>341</v>
      </c>
      <c r="E27" t="s">
        <v>25</v>
      </c>
      <c r="F27">
        <v>9938</v>
      </c>
      <c r="G27" t="s">
        <v>1152</v>
      </c>
      <c r="H27" s="2">
        <v>3593</v>
      </c>
      <c r="I27" t="s">
        <v>26</v>
      </c>
      <c r="J27" s="2">
        <v>3449592.74</v>
      </c>
      <c r="K27" t="s">
        <v>27</v>
      </c>
      <c r="L27">
        <v>170917</v>
      </c>
      <c r="M27" t="s">
        <v>1153</v>
      </c>
      <c r="O27">
        <v>1</v>
      </c>
      <c r="P27" t="s">
        <v>1154</v>
      </c>
      <c r="Q27" t="s">
        <v>1155</v>
      </c>
    </row>
    <row r="28" spans="1:18" x14ac:dyDescent="0.25">
      <c r="A28">
        <v>8003879954</v>
      </c>
      <c r="B28">
        <v>16</v>
      </c>
      <c r="C28">
        <v>30072018</v>
      </c>
      <c r="D28">
        <v>489</v>
      </c>
      <c r="E28" t="s">
        <v>31</v>
      </c>
      <c r="F28">
        <v>9938</v>
      </c>
      <c r="G28" t="s">
        <v>1152</v>
      </c>
      <c r="H28" s="2">
        <v>0.1</v>
      </c>
      <c r="I28" t="s">
        <v>26</v>
      </c>
      <c r="J28" s="2">
        <v>3453185.74</v>
      </c>
      <c r="K28" t="s">
        <v>27</v>
      </c>
      <c r="L28">
        <v>170917</v>
      </c>
      <c r="M28" t="s">
        <v>1156</v>
      </c>
      <c r="O28">
        <v>1</v>
      </c>
    </row>
    <row r="29" spans="1:18" x14ac:dyDescent="0.25">
      <c r="A29">
        <v>8003879954</v>
      </c>
      <c r="B29">
        <v>15</v>
      </c>
      <c r="C29">
        <v>30072018</v>
      </c>
      <c r="D29">
        <v>341</v>
      </c>
      <c r="E29" t="s">
        <v>25</v>
      </c>
      <c r="F29">
        <v>9938</v>
      </c>
      <c r="G29" t="s">
        <v>1157</v>
      </c>
      <c r="H29" s="2">
        <v>2630</v>
      </c>
      <c r="I29" t="s">
        <v>26</v>
      </c>
      <c r="J29" s="2">
        <v>3453185.84</v>
      </c>
      <c r="K29" t="s">
        <v>27</v>
      </c>
      <c r="L29">
        <v>170917</v>
      </c>
      <c r="M29" t="s">
        <v>1004</v>
      </c>
      <c r="O29">
        <v>1</v>
      </c>
      <c r="P29" t="s">
        <v>1158</v>
      </c>
      <c r="Q29" t="s">
        <v>1159</v>
      </c>
    </row>
    <row r="30" spans="1:18" x14ac:dyDescent="0.25">
      <c r="A30">
        <v>8003879954</v>
      </c>
      <c r="B30">
        <v>14</v>
      </c>
      <c r="C30">
        <v>30072018</v>
      </c>
      <c r="D30">
        <v>489</v>
      </c>
      <c r="E30" t="s">
        <v>31</v>
      </c>
      <c r="F30">
        <v>9938</v>
      </c>
      <c r="G30" t="s">
        <v>1157</v>
      </c>
      <c r="H30" s="2">
        <v>0.1</v>
      </c>
      <c r="I30" t="s">
        <v>26</v>
      </c>
      <c r="J30" s="2">
        <v>3455815.84</v>
      </c>
      <c r="K30" t="s">
        <v>27</v>
      </c>
      <c r="L30">
        <v>170917</v>
      </c>
      <c r="M30" t="s">
        <v>1160</v>
      </c>
      <c r="O30">
        <v>1</v>
      </c>
    </row>
    <row r="31" spans="1:18" x14ac:dyDescent="0.25">
      <c r="A31">
        <v>8003879954</v>
      </c>
      <c r="B31">
        <v>13</v>
      </c>
      <c r="C31">
        <v>30072018</v>
      </c>
      <c r="D31">
        <v>341</v>
      </c>
      <c r="E31" t="s">
        <v>25</v>
      </c>
      <c r="F31">
        <v>9938</v>
      </c>
      <c r="G31" t="s">
        <v>1161</v>
      </c>
      <c r="H31" s="2">
        <v>305</v>
      </c>
      <c r="I31" t="s">
        <v>26</v>
      </c>
      <c r="J31" s="2">
        <v>3455815.94</v>
      </c>
      <c r="K31" t="s">
        <v>27</v>
      </c>
      <c r="L31">
        <v>170917</v>
      </c>
      <c r="M31" t="s">
        <v>1162</v>
      </c>
      <c r="O31">
        <v>1</v>
      </c>
      <c r="P31" t="s">
        <v>1163</v>
      </c>
      <c r="Q31" t="s">
        <v>1164</v>
      </c>
    </row>
    <row r="32" spans="1:18" x14ac:dyDescent="0.25">
      <c r="A32">
        <v>8003879954</v>
      </c>
      <c r="B32">
        <v>12</v>
      </c>
      <c r="C32">
        <v>30072018</v>
      </c>
      <c r="D32">
        <v>489</v>
      </c>
      <c r="E32" t="s">
        <v>31</v>
      </c>
      <c r="F32">
        <v>9938</v>
      </c>
      <c r="G32" t="s">
        <v>1161</v>
      </c>
      <c r="H32" s="2">
        <v>0.1</v>
      </c>
      <c r="I32" t="s">
        <v>26</v>
      </c>
      <c r="J32" s="2">
        <v>3456120.94</v>
      </c>
      <c r="K32" t="s">
        <v>27</v>
      </c>
      <c r="L32">
        <v>170917</v>
      </c>
      <c r="M32" t="s">
        <v>1165</v>
      </c>
      <c r="O32">
        <v>1</v>
      </c>
    </row>
    <row r="33" spans="1:17" x14ac:dyDescent="0.25">
      <c r="A33">
        <v>8003879954</v>
      </c>
      <c r="B33">
        <v>11</v>
      </c>
      <c r="C33">
        <v>30072018</v>
      </c>
      <c r="D33">
        <v>60</v>
      </c>
      <c r="E33" t="s">
        <v>37</v>
      </c>
      <c r="F33">
        <v>9938</v>
      </c>
      <c r="G33" t="s">
        <v>1166</v>
      </c>
      <c r="H33" s="2">
        <v>442.05</v>
      </c>
      <c r="I33" t="s">
        <v>26</v>
      </c>
      <c r="J33" s="2">
        <v>3456121.04</v>
      </c>
      <c r="K33" t="s">
        <v>27</v>
      </c>
      <c r="L33">
        <v>170917</v>
      </c>
      <c r="M33" t="s">
        <v>1167</v>
      </c>
      <c r="O33">
        <v>1</v>
      </c>
      <c r="P33" t="s">
        <v>1168</v>
      </c>
      <c r="Q33" t="s">
        <v>52</v>
      </c>
    </row>
    <row r="34" spans="1:17" x14ac:dyDescent="0.25">
      <c r="A34">
        <v>8003879954</v>
      </c>
      <c r="B34">
        <v>10</v>
      </c>
      <c r="C34">
        <v>30072018</v>
      </c>
      <c r="D34">
        <v>341</v>
      </c>
      <c r="E34" t="s">
        <v>25</v>
      </c>
      <c r="F34">
        <v>9938</v>
      </c>
      <c r="G34" t="s">
        <v>1169</v>
      </c>
      <c r="H34" s="2">
        <v>90</v>
      </c>
      <c r="I34" t="s">
        <v>26</v>
      </c>
      <c r="J34" s="2">
        <v>3456563.09</v>
      </c>
      <c r="K34" t="s">
        <v>27</v>
      </c>
      <c r="L34">
        <v>170916</v>
      </c>
      <c r="M34" t="s">
        <v>47</v>
      </c>
      <c r="O34">
        <v>1</v>
      </c>
      <c r="P34" t="s">
        <v>1119</v>
      </c>
      <c r="Q34" t="s">
        <v>1170</v>
      </c>
    </row>
    <row r="35" spans="1:17" x14ac:dyDescent="0.25">
      <c r="A35">
        <v>8003879954</v>
      </c>
      <c r="B35">
        <v>9</v>
      </c>
      <c r="C35">
        <v>30072018</v>
      </c>
      <c r="D35">
        <v>489</v>
      </c>
      <c r="E35" t="s">
        <v>31</v>
      </c>
      <c r="F35">
        <v>9938</v>
      </c>
      <c r="G35" t="s">
        <v>1169</v>
      </c>
      <c r="H35" s="2">
        <v>0.1</v>
      </c>
      <c r="I35" t="s">
        <v>26</v>
      </c>
      <c r="J35" s="2">
        <v>3456653.09</v>
      </c>
      <c r="K35" t="s">
        <v>27</v>
      </c>
      <c r="L35">
        <v>170916</v>
      </c>
      <c r="M35" t="s">
        <v>1171</v>
      </c>
      <c r="O35">
        <v>1</v>
      </c>
    </row>
    <row r="36" spans="1:17" x14ac:dyDescent="0.25">
      <c r="A36">
        <v>8003879954</v>
      </c>
      <c r="B36">
        <v>8</v>
      </c>
      <c r="C36">
        <v>30072018</v>
      </c>
      <c r="D36">
        <v>341</v>
      </c>
      <c r="E36" t="s">
        <v>25</v>
      </c>
      <c r="F36">
        <v>9938</v>
      </c>
      <c r="G36" t="s">
        <v>1172</v>
      </c>
      <c r="H36" s="2">
        <v>2120</v>
      </c>
      <c r="I36" t="s">
        <v>26</v>
      </c>
      <c r="J36" s="2">
        <v>3456653.19</v>
      </c>
      <c r="K36" t="s">
        <v>27</v>
      </c>
      <c r="L36">
        <v>170916</v>
      </c>
      <c r="M36" t="s">
        <v>1173</v>
      </c>
      <c r="O36">
        <v>1</v>
      </c>
      <c r="P36" t="s">
        <v>1174</v>
      </c>
      <c r="Q36" t="s">
        <v>1175</v>
      </c>
    </row>
    <row r="37" spans="1:17" x14ac:dyDescent="0.25">
      <c r="A37">
        <v>8003879954</v>
      </c>
      <c r="B37">
        <v>7</v>
      </c>
      <c r="C37">
        <v>30072018</v>
      </c>
      <c r="D37">
        <v>489</v>
      </c>
      <c r="E37" t="s">
        <v>31</v>
      </c>
      <c r="F37">
        <v>9938</v>
      </c>
      <c r="G37" t="s">
        <v>1172</v>
      </c>
      <c r="H37" s="2">
        <v>0.1</v>
      </c>
      <c r="I37" t="s">
        <v>26</v>
      </c>
      <c r="J37" s="2">
        <v>3458773.19</v>
      </c>
      <c r="K37" t="s">
        <v>27</v>
      </c>
      <c r="L37">
        <v>170916</v>
      </c>
      <c r="M37" t="s">
        <v>1176</v>
      </c>
      <c r="O37">
        <v>1</v>
      </c>
    </row>
    <row r="38" spans="1:17" x14ac:dyDescent="0.25">
      <c r="A38">
        <v>8003879954</v>
      </c>
      <c r="B38">
        <v>6</v>
      </c>
      <c r="C38">
        <v>30072018</v>
      </c>
      <c r="D38">
        <v>341</v>
      </c>
      <c r="E38" t="s">
        <v>25</v>
      </c>
      <c r="F38">
        <v>9938</v>
      </c>
      <c r="G38" t="s">
        <v>1177</v>
      </c>
      <c r="H38" s="2">
        <v>175</v>
      </c>
      <c r="I38" t="s">
        <v>26</v>
      </c>
      <c r="J38" s="2">
        <v>3458773.29</v>
      </c>
      <c r="K38" t="s">
        <v>27</v>
      </c>
      <c r="L38">
        <v>170916</v>
      </c>
      <c r="M38" t="s">
        <v>1178</v>
      </c>
      <c r="O38">
        <v>1</v>
      </c>
      <c r="P38" t="s">
        <v>1179</v>
      </c>
      <c r="Q38" t="s">
        <v>1180</v>
      </c>
    </row>
    <row r="39" spans="1:17" x14ac:dyDescent="0.25">
      <c r="A39">
        <v>8003879954</v>
      </c>
      <c r="B39">
        <v>5</v>
      </c>
      <c r="C39">
        <v>30072018</v>
      </c>
      <c r="D39">
        <v>489</v>
      </c>
      <c r="E39" t="s">
        <v>31</v>
      </c>
      <c r="F39">
        <v>9938</v>
      </c>
      <c r="G39" t="s">
        <v>1177</v>
      </c>
      <c r="H39" s="2">
        <v>0.1</v>
      </c>
      <c r="I39" t="s">
        <v>26</v>
      </c>
      <c r="J39" s="2">
        <v>3458948.29</v>
      </c>
      <c r="K39" t="s">
        <v>27</v>
      </c>
      <c r="L39">
        <v>170916</v>
      </c>
      <c r="M39" t="s">
        <v>1181</v>
      </c>
      <c r="O39">
        <v>1</v>
      </c>
    </row>
    <row r="40" spans="1:17" x14ac:dyDescent="0.25">
      <c r="A40">
        <v>8003879954</v>
      </c>
      <c r="B40">
        <v>4</v>
      </c>
      <c r="C40">
        <v>30072018</v>
      </c>
      <c r="D40">
        <v>341</v>
      </c>
      <c r="E40" t="s">
        <v>25</v>
      </c>
      <c r="F40">
        <v>9938</v>
      </c>
      <c r="G40" t="s">
        <v>1182</v>
      </c>
      <c r="H40" s="2">
        <v>900</v>
      </c>
      <c r="I40" t="s">
        <v>26</v>
      </c>
      <c r="J40" s="2">
        <v>3458948.39</v>
      </c>
      <c r="K40" t="s">
        <v>27</v>
      </c>
      <c r="L40">
        <v>170916</v>
      </c>
      <c r="M40" t="s">
        <v>1183</v>
      </c>
      <c r="O40">
        <v>1</v>
      </c>
      <c r="P40" t="s">
        <v>1184</v>
      </c>
      <c r="Q40" t="s">
        <v>1185</v>
      </c>
    </row>
    <row r="41" spans="1:17" x14ac:dyDescent="0.25">
      <c r="A41">
        <v>8003879954</v>
      </c>
      <c r="B41">
        <v>3</v>
      </c>
      <c r="C41">
        <v>30072018</v>
      </c>
      <c r="D41">
        <v>489</v>
      </c>
      <c r="E41" t="s">
        <v>31</v>
      </c>
      <c r="F41">
        <v>9938</v>
      </c>
      <c r="G41" t="s">
        <v>1182</v>
      </c>
      <c r="H41" s="2">
        <v>0.1</v>
      </c>
      <c r="I41" t="s">
        <v>26</v>
      </c>
      <c r="J41" s="2">
        <v>3459848.39</v>
      </c>
      <c r="K41" t="s">
        <v>27</v>
      </c>
      <c r="L41">
        <v>170916</v>
      </c>
      <c r="M41" t="s">
        <v>1186</v>
      </c>
      <c r="O41">
        <v>1</v>
      </c>
    </row>
    <row r="42" spans="1:17" x14ac:dyDescent="0.25">
      <c r="A42">
        <v>8003879954</v>
      </c>
      <c r="B42">
        <v>2</v>
      </c>
      <c r="C42">
        <v>30072018</v>
      </c>
      <c r="D42">
        <v>341</v>
      </c>
      <c r="E42" t="s">
        <v>25</v>
      </c>
      <c r="F42">
        <v>9938</v>
      </c>
      <c r="G42" t="s">
        <v>1187</v>
      </c>
      <c r="H42" s="2">
        <v>6120</v>
      </c>
      <c r="I42" t="s">
        <v>26</v>
      </c>
      <c r="J42" s="2">
        <v>3459848.49</v>
      </c>
      <c r="K42" t="s">
        <v>27</v>
      </c>
      <c r="L42">
        <v>170915</v>
      </c>
      <c r="M42" t="s">
        <v>782</v>
      </c>
      <c r="O42">
        <v>1</v>
      </c>
      <c r="P42" t="s">
        <v>1188</v>
      </c>
      <c r="Q42" t="s">
        <v>1189</v>
      </c>
    </row>
    <row r="43" spans="1:17" x14ac:dyDescent="0.25">
      <c r="A43">
        <v>8003879954</v>
      </c>
      <c r="B43">
        <v>1</v>
      </c>
      <c r="C43">
        <v>30072018</v>
      </c>
      <c r="D43">
        <v>489</v>
      </c>
      <c r="E43" t="s">
        <v>31</v>
      </c>
      <c r="F43">
        <v>9938</v>
      </c>
      <c r="G43" t="s">
        <v>1187</v>
      </c>
      <c r="H43" s="2">
        <v>0.1</v>
      </c>
      <c r="I43" t="s">
        <v>26</v>
      </c>
      <c r="J43" s="2">
        <v>3465968.49</v>
      </c>
      <c r="K43" t="s">
        <v>27</v>
      </c>
      <c r="L43">
        <v>170915</v>
      </c>
      <c r="M43" t="s">
        <v>1190</v>
      </c>
      <c r="O43">
        <v>1</v>
      </c>
    </row>
    <row r="44" spans="1:17" x14ac:dyDescent="0.25">
      <c r="A44">
        <v>8003879954</v>
      </c>
      <c r="B44">
        <v>1</v>
      </c>
      <c r="C44">
        <v>27072018</v>
      </c>
      <c r="D44">
        <v>346</v>
      </c>
      <c r="E44" t="s">
        <v>137</v>
      </c>
      <c r="F44">
        <v>9938</v>
      </c>
      <c r="G44" t="s">
        <v>1191</v>
      </c>
      <c r="H44" s="2">
        <v>9907.7099999999991</v>
      </c>
      <c r="I44" t="s">
        <v>26</v>
      </c>
      <c r="J44" s="2">
        <v>3465968.59</v>
      </c>
      <c r="K44" t="s">
        <v>27</v>
      </c>
      <c r="L44">
        <v>155343</v>
      </c>
      <c r="M44" t="s">
        <v>139</v>
      </c>
      <c r="O44">
        <v>1</v>
      </c>
      <c r="P44" t="s">
        <v>1192</v>
      </c>
      <c r="Q44" t="s">
        <v>1193</v>
      </c>
    </row>
    <row r="45" spans="1:17" x14ac:dyDescent="0.25">
      <c r="A45">
        <v>8003879954</v>
      </c>
      <c r="B45">
        <v>11</v>
      </c>
      <c r="C45">
        <v>26072018</v>
      </c>
      <c r="D45">
        <v>123</v>
      </c>
      <c r="E45" t="s">
        <v>64</v>
      </c>
      <c r="F45">
        <v>2007</v>
      </c>
      <c r="G45" t="s">
        <v>1194</v>
      </c>
      <c r="H45" s="2">
        <v>2000</v>
      </c>
      <c r="I45" t="s">
        <v>27</v>
      </c>
      <c r="J45" s="2">
        <v>3475876.3</v>
      </c>
      <c r="K45" t="s">
        <v>27</v>
      </c>
      <c r="L45">
        <v>191830</v>
      </c>
      <c r="M45" t="s">
        <v>32</v>
      </c>
      <c r="O45">
        <v>1</v>
      </c>
    </row>
    <row r="46" spans="1:17" x14ac:dyDescent="0.25">
      <c r="A46">
        <v>8003879954</v>
      </c>
      <c r="B46">
        <v>10</v>
      </c>
      <c r="C46">
        <v>26072018</v>
      </c>
      <c r="D46">
        <v>415</v>
      </c>
      <c r="E46" t="s">
        <v>48</v>
      </c>
      <c r="F46">
        <v>72</v>
      </c>
      <c r="G46" t="s">
        <v>169</v>
      </c>
      <c r="H46" s="17">
        <v>10</v>
      </c>
      <c r="I46" t="s">
        <v>26</v>
      </c>
      <c r="J46" s="2">
        <v>3473876.3</v>
      </c>
      <c r="K46" t="s">
        <v>27</v>
      </c>
      <c r="L46">
        <v>175607</v>
      </c>
      <c r="M46" t="s">
        <v>1195</v>
      </c>
      <c r="O46">
        <v>1</v>
      </c>
    </row>
    <row r="47" spans="1:17" x14ac:dyDescent="0.25">
      <c r="A47">
        <v>8003879954</v>
      </c>
      <c r="B47">
        <v>9</v>
      </c>
      <c r="C47">
        <v>26072018</v>
      </c>
      <c r="D47">
        <v>349</v>
      </c>
      <c r="E47" t="s">
        <v>49</v>
      </c>
      <c r="F47">
        <v>72</v>
      </c>
      <c r="G47" t="s">
        <v>169</v>
      </c>
      <c r="H47" s="2">
        <v>96560</v>
      </c>
      <c r="I47" t="s">
        <v>26</v>
      </c>
      <c r="J47" s="2">
        <v>3473886.3</v>
      </c>
      <c r="K47" t="s">
        <v>27</v>
      </c>
      <c r="L47">
        <v>175607</v>
      </c>
      <c r="M47" t="s">
        <v>1195</v>
      </c>
      <c r="O47">
        <v>1</v>
      </c>
    </row>
    <row r="48" spans="1:17" x14ac:dyDescent="0.25">
      <c r="A48">
        <v>8003879954</v>
      </c>
      <c r="B48">
        <v>8</v>
      </c>
      <c r="C48">
        <v>26072018</v>
      </c>
      <c r="D48">
        <v>415</v>
      </c>
      <c r="E48" t="s">
        <v>48</v>
      </c>
      <c r="F48">
        <v>72</v>
      </c>
      <c r="G48" t="s">
        <v>169</v>
      </c>
      <c r="H48" s="17">
        <v>10</v>
      </c>
      <c r="I48" t="s">
        <v>26</v>
      </c>
      <c r="J48" s="2">
        <v>3570446.3</v>
      </c>
      <c r="K48" t="s">
        <v>27</v>
      </c>
      <c r="L48">
        <v>175132</v>
      </c>
      <c r="M48" t="s">
        <v>1196</v>
      </c>
      <c r="O48">
        <v>1</v>
      </c>
    </row>
    <row r="49" spans="1:15" x14ac:dyDescent="0.25">
      <c r="A49">
        <v>8003879954</v>
      </c>
      <c r="B49">
        <v>7</v>
      </c>
      <c r="C49">
        <v>26072018</v>
      </c>
      <c r="D49">
        <v>349</v>
      </c>
      <c r="E49" t="s">
        <v>49</v>
      </c>
      <c r="F49">
        <v>72</v>
      </c>
      <c r="G49" t="s">
        <v>169</v>
      </c>
      <c r="H49" s="2">
        <v>96560</v>
      </c>
      <c r="I49" t="s">
        <v>26</v>
      </c>
      <c r="J49" s="2">
        <v>3570456.3</v>
      </c>
      <c r="K49" t="s">
        <v>27</v>
      </c>
      <c r="L49">
        <v>175132</v>
      </c>
      <c r="M49" t="s">
        <v>1196</v>
      </c>
      <c r="O49">
        <v>1</v>
      </c>
    </row>
    <row r="50" spans="1:15" x14ac:dyDescent="0.25">
      <c r="A50">
        <v>8003879954</v>
      </c>
      <c r="B50">
        <v>6</v>
      </c>
      <c r="C50">
        <v>26072018</v>
      </c>
      <c r="D50">
        <v>415</v>
      </c>
      <c r="E50" t="s">
        <v>48</v>
      </c>
      <c r="F50">
        <v>72</v>
      </c>
      <c r="G50" t="s">
        <v>169</v>
      </c>
      <c r="H50" s="17">
        <v>10</v>
      </c>
      <c r="I50" t="s">
        <v>26</v>
      </c>
      <c r="J50" s="2">
        <v>3667016.3</v>
      </c>
      <c r="K50" t="s">
        <v>27</v>
      </c>
      <c r="L50">
        <v>174825</v>
      </c>
      <c r="M50" t="s">
        <v>1197</v>
      </c>
      <c r="O50">
        <v>1</v>
      </c>
    </row>
    <row r="51" spans="1:15" x14ac:dyDescent="0.25">
      <c r="A51">
        <v>8003879954</v>
      </c>
      <c r="B51">
        <v>5</v>
      </c>
      <c r="C51">
        <v>26072018</v>
      </c>
      <c r="D51">
        <v>349</v>
      </c>
      <c r="E51" t="s">
        <v>49</v>
      </c>
      <c r="F51">
        <v>72</v>
      </c>
      <c r="G51" t="s">
        <v>169</v>
      </c>
      <c r="H51" s="2">
        <v>96560</v>
      </c>
      <c r="I51" t="s">
        <v>26</v>
      </c>
      <c r="J51" s="2">
        <v>3667026.3</v>
      </c>
      <c r="K51" t="s">
        <v>27</v>
      </c>
      <c r="L51">
        <v>174825</v>
      </c>
      <c r="M51" t="s">
        <v>1197</v>
      </c>
      <c r="O51">
        <v>1</v>
      </c>
    </row>
    <row r="52" spans="1:15" x14ac:dyDescent="0.25">
      <c r="A52">
        <v>8003879954</v>
      </c>
      <c r="B52">
        <v>4</v>
      </c>
      <c r="C52">
        <v>26072018</v>
      </c>
      <c r="D52">
        <v>415</v>
      </c>
      <c r="E52" t="s">
        <v>48</v>
      </c>
      <c r="F52">
        <v>72</v>
      </c>
      <c r="G52" t="s">
        <v>169</v>
      </c>
      <c r="H52" s="17">
        <v>10</v>
      </c>
      <c r="I52" t="s">
        <v>26</v>
      </c>
      <c r="J52" s="2">
        <v>3763586.3</v>
      </c>
      <c r="K52" t="s">
        <v>27</v>
      </c>
      <c r="L52">
        <v>174525</v>
      </c>
      <c r="M52" t="s">
        <v>1198</v>
      </c>
      <c r="O52">
        <v>1</v>
      </c>
    </row>
    <row r="53" spans="1:15" x14ac:dyDescent="0.25">
      <c r="A53">
        <v>8003879954</v>
      </c>
      <c r="B53">
        <v>3</v>
      </c>
      <c r="C53">
        <v>26072018</v>
      </c>
      <c r="D53">
        <v>349</v>
      </c>
      <c r="E53" t="s">
        <v>49</v>
      </c>
      <c r="F53">
        <v>72</v>
      </c>
      <c r="G53" t="s">
        <v>169</v>
      </c>
      <c r="H53" s="2">
        <v>96560</v>
      </c>
      <c r="I53" t="s">
        <v>26</v>
      </c>
      <c r="J53" s="2">
        <v>3763596.3</v>
      </c>
      <c r="K53" t="s">
        <v>27</v>
      </c>
      <c r="L53">
        <v>174525</v>
      </c>
      <c r="M53" t="s">
        <v>1198</v>
      </c>
      <c r="O53">
        <v>1</v>
      </c>
    </row>
    <row r="54" spans="1:15" x14ac:dyDescent="0.25">
      <c r="A54">
        <v>8003879954</v>
      </c>
      <c r="B54">
        <v>2</v>
      </c>
      <c r="C54">
        <v>26072018</v>
      </c>
      <c r="D54">
        <v>415</v>
      </c>
      <c r="E54" t="s">
        <v>48</v>
      </c>
      <c r="F54">
        <v>72</v>
      </c>
      <c r="G54" t="s">
        <v>169</v>
      </c>
      <c r="H54" s="17">
        <v>10</v>
      </c>
      <c r="I54" t="s">
        <v>26</v>
      </c>
      <c r="J54" s="2">
        <v>3860156.3</v>
      </c>
      <c r="K54" t="s">
        <v>27</v>
      </c>
      <c r="L54">
        <v>174147</v>
      </c>
      <c r="M54" t="s">
        <v>1199</v>
      </c>
      <c r="O54">
        <v>1</v>
      </c>
    </row>
    <row r="55" spans="1:15" x14ac:dyDescent="0.25">
      <c r="A55">
        <v>8003879954</v>
      </c>
      <c r="B55">
        <v>1</v>
      </c>
      <c r="C55">
        <v>26072018</v>
      </c>
      <c r="D55">
        <v>349</v>
      </c>
      <c r="E55" t="s">
        <v>49</v>
      </c>
      <c r="F55">
        <v>72</v>
      </c>
      <c r="G55" t="s">
        <v>169</v>
      </c>
      <c r="H55" s="2">
        <v>67742.880000000005</v>
      </c>
      <c r="I55" t="s">
        <v>26</v>
      </c>
      <c r="J55" s="2">
        <v>3860166.3</v>
      </c>
      <c r="K55" t="s">
        <v>27</v>
      </c>
      <c r="L55">
        <v>174147</v>
      </c>
      <c r="M55" t="s">
        <v>1199</v>
      </c>
      <c r="O55">
        <v>1</v>
      </c>
    </row>
    <row r="56" spans="1:15" x14ac:dyDescent="0.25">
      <c r="A56">
        <v>8003879954</v>
      </c>
      <c r="B56">
        <v>10</v>
      </c>
      <c r="C56">
        <v>25072018</v>
      </c>
      <c r="D56">
        <v>819</v>
      </c>
      <c r="E56" t="s">
        <v>35</v>
      </c>
      <c r="H56" s="2">
        <v>4</v>
      </c>
      <c r="I56" t="s">
        <v>26</v>
      </c>
      <c r="J56" s="2">
        <v>3927909.18</v>
      </c>
      <c r="K56" t="s">
        <v>27</v>
      </c>
      <c r="L56">
        <v>10807</v>
      </c>
      <c r="M56" t="s">
        <v>32</v>
      </c>
      <c r="O56">
        <v>1</v>
      </c>
    </row>
    <row r="57" spans="1:15" x14ac:dyDescent="0.25">
      <c r="A57">
        <v>8003879954</v>
      </c>
      <c r="B57">
        <v>9</v>
      </c>
      <c r="C57">
        <v>25072018</v>
      </c>
      <c r="D57">
        <v>323</v>
      </c>
      <c r="E57" t="s">
        <v>50</v>
      </c>
      <c r="F57">
        <v>0</v>
      </c>
      <c r="G57" t="s">
        <v>1200</v>
      </c>
      <c r="H57" s="2">
        <v>65312.5</v>
      </c>
      <c r="I57" t="s">
        <v>26</v>
      </c>
      <c r="J57" s="2">
        <v>3927913.18</v>
      </c>
      <c r="K57" t="s">
        <v>27</v>
      </c>
      <c r="L57">
        <v>10652</v>
      </c>
      <c r="M57" t="s">
        <v>32</v>
      </c>
      <c r="O57">
        <v>1</v>
      </c>
    </row>
    <row r="58" spans="1:15" x14ac:dyDescent="0.25">
      <c r="A58">
        <v>8003879954</v>
      </c>
      <c r="B58">
        <v>8</v>
      </c>
      <c r="C58">
        <v>25072018</v>
      </c>
      <c r="D58">
        <v>323</v>
      </c>
      <c r="E58" t="s">
        <v>50</v>
      </c>
      <c r="F58">
        <v>0</v>
      </c>
      <c r="G58" t="s">
        <v>1201</v>
      </c>
      <c r="H58" s="2">
        <v>65312.5</v>
      </c>
      <c r="I58" t="s">
        <v>26</v>
      </c>
      <c r="J58" s="2">
        <v>3993225.68</v>
      </c>
      <c r="K58" t="s">
        <v>27</v>
      </c>
      <c r="L58">
        <v>10652</v>
      </c>
      <c r="M58" t="s">
        <v>32</v>
      </c>
      <c r="O58">
        <v>1</v>
      </c>
    </row>
    <row r="59" spans="1:15" x14ac:dyDescent="0.25">
      <c r="A59">
        <v>8003879954</v>
      </c>
      <c r="B59">
        <v>7</v>
      </c>
      <c r="C59">
        <v>25072018</v>
      </c>
      <c r="D59">
        <v>323</v>
      </c>
      <c r="E59" t="s">
        <v>50</v>
      </c>
      <c r="F59">
        <v>0</v>
      </c>
      <c r="G59" t="s">
        <v>1202</v>
      </c>
      <c r="H59" s="2">
        <v>71250</v>
      </c>
      <c r="I59" t="s">
        <v>26</v>
      </c>
      <c r="J59" s="2">
        <v>4058538.18</v>
      </c>
      <c r="K59" t="s">
        <v>27</v>
      </c>
      <c r="L59">
        <v>10652</v>
      </c>
      <c r="M59" t="s">
        <v>32</v>
      </c>
      <c r="O59">
        <v>1</v>
      </c>
    </row>
    <row r="60" spans="1:15" x14ac:dyDescent="0.25">
      <c r="A60">
        <v>8003879954</v>
      </c>
      <c r="B60">
        <v>6</v>
      </c>
      <c r="C60">
        <v>25072018</v>
      </c>
      <c r="D60">
        <v>323</v>
      </c>
      <c r="E60" t="s">
        <v>50</v>
      </c>
      <c r="F60">
        <v>0</v>
      </c>
      <c r="G60" t="s">
        <v>1203</v>
      </c>
      <c r="H60" s="2">
        <v>95000</v>
      </c>
      <c r="I60" t="s">
        <v>26</v>
      </c>
      <c r="J60" s="2">
        <v>4129788.18</v>
      </c>
      <c r="K60" t="s">
        <v>27</v>
      </c>
      <c r="L60">
        <v>10652</v>
      </c>
      <c r="M60" t="s">
        <v>32</v>
      </c>
      <c r="O60">
        <v>1</v>
      </c>
    </row>
    <row r="61" spans="1:15" x14ac:dyDescent="0.25">
      <c r="A61">
        <v>8003879954</v>
      </c>
      <c r="B61">
        <v>5</v>
      </c>
      <c r="C61">
        <v>25072018</v>
      </c>
      <c r="D61">
        <v>323</v>
      </c>
      <c r="E61" t="s">
        <v>50</v>
      </c>
      <c r="F61">
        <v>0</v>
      </c>
      <c r="G61" t="s">
        <v>1204</v>
      </c>
      <c r="H61" s="2">
        <v>95000</v>
      </c>
      <c r="I61" t="s">
        <v>26</v>
      </c>
      <c r="J61" s="2">
        <v>4224788.18</v>
      </c>
      <c r="K61" t="s">
        <v>27</v>
      </c>
      <c r="L61">
        <v>10652</v>
      </c>
      <c r="M61" t="s">
        <v>32</v>
      </c>
      <c r="O61">
        <v>1</v>
      </c>
    </row>
    <row r="62" spans="1:15" x14ac:dyDescent="0.25">
      <c r="A62">
        <v>8003879954</v>
      </c>
      <c r="B62">
        <v>4</v>
      </c>
      <c r="C62">
        <v>25072018</v>
      </c>
      <c r="D62">
        <v>323</v>
      </c>
      <c r="E62" t="s">
        <v>50</v>
      </c>
      <c r="F62">
        <v>0</v>
      </c>
      <c r="G62" t="s">
        <v>1205</v>
      </c>
      <c r="H62" s="2">
        <v>22481.8</v>
      </c>
      <c r="I62" t="s">
        <v>26</v>
      </c>
      <c r="J62" s="2">
        <v>4319788.18</v>
      </c>
      <c r="K62" t="s">
        <v>27</v>
      </c>
      <c r="L62">
        <v>10652</v>
      </c>
      <c r="M62" t="s">
        <v>32</v>
      </c>
      <c r="O62">
        <v>1</v>
      </c>
    </row>
    <row r="63" spans="1:15" x14ac:dyDescent="0.25">
      <c r="A63">
        <v>8003879954</v>
      </c>
      <c r="B63">
        <v>3</v>
      </c>
      <c r="C63">
        <v>25072018</v>
      </c>
      <c r="D63">
        <v>323</v>
      </c>
      <c r="E63" t="s">
        <v>50</v>
      </c>
      <c r="F63">
        <v>0</v>
      </c>
      <c r="G63" t="s">
        <v>1206</v>
      </c>
      <c r="H63" s="2">
        <v>51582</v>
      </c>
      <c r="I63" t="s">
        <v>26</v>
      </c>
      <c r="J63" s="2">
        <v>4342269.9800000004</v>
      </c>
      <c r="K63" t="s">
        <v>27</v>
      </c>
      <c r="L63">
        <v>10652</v>
      </c>
      <c r="M63" t="s">
        <v>32</v>
      </c>
      <c r="O63">
        <v>1</v>
      </c>
    </row>
    <row r="64" spans="1:15" x14ac:dyDescent="0.25">
      <c r="A64">
        <v>8003879954</v>
      </c>
      <c r="B64">
        <v>2</v>
      </c>
      <c r="C64">
        <v>25072018</v>
      </c>
      <c r="D64">
        <v>323</v>
      </c>
      <c r="E64" t="s">
        <v>50</v>
      </c>
      <c r="F64">
        <v>0</v>
      </c>
      <c r="G64" t="s">
        <v>1207</v>
      </c>
      <c r="H64" s="2">
        <v>52345</v>
      </c>
      <c r="I64" t="s">
        <v>26</v>
      </c>
      <c r="J64" s="2">
        <v>4393851.9800000004</v>
      </c>
      <c r="K64" t="s">
        <v>27</v>
      </c>
      <c r="L64">
        <v>10652</v>
      </c>
      <c r="M64" t="s">
        <v>32</v>
      </c>
      <c r="O64">
        <v>1</v>
      </c>
    </row>
    <row r="65" spans="1:17" x14ac:dyDescent="0.25">
      <c r="A65">
        <v>8003879954</v>
      </c>
      <c r="B65">
        <v>1</v>
      </c>
      <c r="C65">
        <v>25072018</v>
      </c>
      <c r="D65">
        <v>214</v>
      </c>
      <c r="E65" t="s">
        <v>1208</v>
      </c>
      <c r="F65">
        <v>6882</v>
      </c>
      <c r="G65" t="s">
        <v>1209</v>
      </c>
      <c r="H65" s="2">
        <v>98000</v>
      </c>
      <c r="I65" t="s">
        <v>27</v>
      </c>
      <c r="J65" s="2">
        <v>4446196.9800000004</v>
      </c>
      <c r="K65" t="s">
        <v>27</v>
      </c>
      <c r="L65">
        <v>94042</v>
      </c>
      <c r="M65" t="s">
        <v>32</v>
      </c>
      <c r="O65">
        <v>1</v>
      </c>
    </row>
    <row r="66" spans="1:17" x14ac:dyDescent="0.25">
      <c r="A66">
        <v>8003879954</v>
      </c>
      <c r="B66">
        <v>6</v>
      </c>
      <c r="C66">
        <v>24072018</v>
      </c>
      <c r="D66">
        <v>819</v>
      </c>
      <c r="E66" t="s">
        <v>35</v>
      </c>
      <c r="H66" s="2">
        <v>2.5</v>
      </c>
      <c r="I66" t="s">
        <v>26</v>
      </c>
      <c r="J66" s="2">
        <v>4348196.9800000004</v>
      </c>
      <c r="K66" t="s">
        <v>27</v>
      </c>
      <c r="L66">
        <v>11229</v>
      </c>
      <c r="M66" t="s">
        <v>32</v>
      </c>
      <c r="O66">
        <v>1</v>
      </c>
    </row>
    <row r="67" spans="1:17" x14ac:dyDescent="0.25">
      <c r="A67">
        <v>8003879954</v>
      </c>
      <c r="B67">
        <v>5</v>
      </c>
      <c r="C67">
        <v>24072018</v>
      </c>
      <c r="D67">
        <v>323</v>
      </c>
      <c r="E67" t="s">
        <v>50</v>
      </c>
      <c r="F67">
        <v>0</v>
      </c>
      <c r="G67" t="s">
        <v>1210</v>
      </c>
      <c r="H67" s="2">
        <v>98000</v>
      </c>
      <c r="I67" t="s">
        <v>26</v>
      </c>
      <c r="J67" s="2">
        <v>4348199.4800000004</v>
      </c>
      <c r="K67" t="s">
        <v>27</v>
      </c>
      <c r="L67">
        <v>11119</v>
      </c>
      <c r="M67" t="s">
        <v>32</v>
      </c>
      <c r="O67">
        <v>1</v>
      </c>
    </row>
    <row r="68" spans="1:17" x14ac:dyDescent="0.25">
      <c r="A68">
        <v>8003879954</v>
      </c>
      <c r="B68">
        <v>4</v>
      </c>
      <c r="C68">
        <v>24072018</v>
      </c>
      <c r="D68">
        <v>323</v>
      </c>
      <c r="E68" t="s">
        <v>50</v>
      </c>
      <c r="F68">
        <v>0</v>
      </c>
      <c r="G68" t="s">
        <v>1211</v>
      </c>
      <c r="H68" s="2">
        <v>73943.100000000006</v>
      </c>
      <c r="I68" t="s">
        <v>26</v>
      </c>
      <c r="J68" s="2">
        <v>4446199.4800000004</v>
      </c>
      <c r="K68" t="s">
        <v>27</v>
      </c>
      <c r="L68">
        <v>11119</v>
      </c>
      <c r="M68" t="s">
        <v>32</v>
      </c>
      <c r="O68">
        <v>1</v>
      </c>
    </row>
    <row r="69" spans="1:17" x14ac:dyDescent="0.25">
      <c r="A69">
        <v>8003879954</v>
      </c>
      <c r="B69">
        <v>3</v>
      </c>
      <c r="C69">
        <v>24072018</v>
      </c>
      <c r="D69">
        <v>323</v>
      </c>
      <c r="E69" t="s">
        <v>50</v>
      </c>
      <c r="F69">
        <v>0</v>
      </c>
      <c r="G69" t="s">
        <v>1212</v>
      </c>
      <c r="H69" s="2">
        <v>52000</v>
      </c>
      <c r="I69" t="s">
        <v>26</v>
      </c>
      <c r="J69" s="2">
        <v>4520142.58</v>
      </c>
      <c r="K69" t="s">
        <v>27</v>
      </c>
      <c r="L69">
        <v>11119</v>
      </c>
      <c r="M69" t="s">
        <v>32</v>
      </c>
      <c r="O69">
        <v>1</v>
      </c>
    </row>
    <row r="70" spans="1:17" x14ac:dyDescent="0.25">
      <c r="A70">
        <v>8003879954</v>
      </c>
      <c r="B70">
        <v>2</v>
      </c>
      <c r="C70">
        <v>24072018</v>
      </c>
      <c r="D70">
        <v>323</v>
      </c>
      <c r="E70" t="s">
        <v>50</v>
      </c>
      <c r="F70">
        <v>0</v>
      </c>
      <c r="G70" t="s">
        <v>1213</v>
      </c>
      <c r="H70" s="2">
        <v>52000</v>
      </c>
      <c r="I70" t="s">
        <v>26</v>
      </c>
      <c r="J70" s="2">
        <v>4572142.58</v>
      </c>
      <c r="K70" t="s">
        <v>27</v>
      </c>
      <c r="L70">
        <v>11119</v>
      </c>
      <c r="M70" t="s">
        <v>32</v>
      </c>
      <c r="O70">
        <v>1</v>
      </c>
    </row>
    <row r="71" spans="1:17" x14ac:dyDescent="0.25">
      <c r="A71">
        <v>8003879954</v>
      </c>
      <c r="B71">
        <v>1</v>
      </c>
      <c r="C71">
        <v>24072018</v>
      </c>
      <c r="D71">
        <v>323</v>
      </c>
      <c r="E71" t="s">
        <v>50</v>
      </c>
      <c r="F71">
        <v>0</v>
      </c>
      <c r="G71" t="s">
        <v>1214</v>
      </c>
      <c r="H71" s="2">
        <v>98000</v>
      </c>
      <c r="I71" t="s">
        <v>26</v>
      </c>
      <c r="J71" s="2">
        <v>4624142.58</v>
      </c>
      <c r="K71" t="s">
        <v>27</v>
      </c>
      <c r="L71">
        <v>11119</v>
      </c>
      <c r="M71" t="s">
        <v>32</v>
      </c>
      <c r="O71">
        <v>1</v>
      </c>
    </row>
    <row r="72" spans="1:17" x14ac:dyDescent="0.25">
      <c r="A72">
        <v>8003879954</v>
      </c>
      <c r="B72">
        <v>2</v>
      </c>
      <c r="C72">
        <v>19072018</v>
      </c>
      <c r="D72">
        <v>819</v>
      </c>
      <c r="E72" t="s">
        <v>35</v>
      </c>
      <c r="H72" s="2">
        <v>0.5</v>
      </c>
      <c r="I72" t="s">
        <v>26</v>
      </c>
      <c r="J72" s="2">
        <v>4722142.58</v>
      </c>
      <c r="K72" t="s">
        <v>27</v>
      </c>
      <c r="L72">
        <v>10240</v>
      </c>
      <c r="M72" t="s">
        <v>32</v>
      </c>
      <c r="O72">
        <v>1</v>
      </c>
    </row>
    <row r="73" spans="1:17" x14ac:dyDescent="0.25">
      <c r="A73">
        <v>8003879954</v>
      </c>
      <c r="B73">
        <v>1</v>
      </c>
      <c r="C73">
        <v>19072018</v>
      </c>
      <c r="D73">
        <v>323</v>
      </c>
      <c r="E73" t="s">
        <v>50</v>
      </c>
      <c r="F73">
        <v>0</v>
      </c>
      <c r="G73" t="s">
        <v>1215</v>
      </c>
      <c r="H73" s="2">
        <v>264.60000000000002</v>
      </c>
      <c r="I73" t="s">
        <v>26</v>
      </c>
      <c r="J73" s="2">
        <v>4722143.08</v>
      </c>
      <c r="K73" t="s">
        <v>27</v>
      </c>
      <c r="L73">
        <v>10107</v>
      </c>
      <c r="M73" t="s">
        <v>32</v>
      </c>
      <c r="O73">
        <v>1</v>
      </c>
    </row>
    <row r="74" spans="1:17" x14ac:dyDescent="0.25">
      <c r="A74">
        <v>8003879954</v>
      </c>
      <c r="B74">
        <v>1</v>
      </c>
      <c r="C74">
        <v>18072018</v>
      </c>
      <c r="D74">
        <v>101</v>
      </c>
      <c r="E74" t="s">
        <v>1216</v>
      </c>
      <c r="F74">
        <v>722</v>
      </c>
      <c r="G74" t="s">
        <v>1217</v>
      </c>
      <c r="H74" s="2">
        <v>169.7</v>
      </c>
      <c r="I74" t="s">
        <v>27</v>
      </c>
      <c r="J74" s="2">
        <v>4722407.68</v>
      </c>
      <c r="K74" t="s">
        <v>27</v>
      </c>
      <c r="L74">
        <v>103846</v>
      </c>
      <c r="M74" t="s">
        <v>1218</v>
      </c>
      <c r="O74">
        <v>1</v>
      </c>
    </row>
    <row r="75" spans="1:17" x14ac:dyDescent="0.25">
      <c r="A75">
        <v>8003879954</v>
      </c>
      <c r="B75">
        <v>44</v>
      </c>
      <c r="C75">
        <v>17072018</v>
      </c>
      <c r="D75">
        <v>345</v>
      </c>
      <c r="E75" t="s">
        <v>51</v>
      </c>
      <c r="F75">
        <v>9938</v>
      </c>
      <c r="G75" t="s">
        <v>1219</v>
      </c>
      <c r="H75" s="2">
        <v>124.5</v>
      </c>
      <c r="I75" t="s">
        <v>26</v>
      </c>
      <c r="J75" s="2">
        <v>4722237.9800000004</v>
      </c>
      <c r="K75" t="s">
        <v>27</v>
      </c>
      <c r="L75">
        <v>185542</v>
      </c>
      <c r="M75" t="s">
        <v>1220</v>
      </c>
      <c r="O75">
        <v>1</v>
      </c>
      <c r="P75" t="s">
        <v>1221</v>
      </c>
      <c r="Q75" t="s">
        <v>52</v>
      </c>
    </row>
    <row r="76" spans="1:17" x14ac:dyDescent="0.25">
      <c r="A76">
        <v>8003879954</v>
      </c>
      <c r="B76">
        <v>43</v>
      </c>
      <c r="C76">
        <v>17072018</v>
      </c>
      <c r="D76">
        <v>341</v>
      </c>
      <c r="E76" t="s">
        <v>25</v>
      </c>
      <c r="F76">
        <v>9938</v>
      </c>
      <c r="G76" t="s">
        <v>1222</v>
      </c>
      <c r="H76" s="2">
        <v>8900</v>
      </c>
      <c r="I76" t="s">
        <v>26</v>
      </c>
      <c r="J76" s="2">
        <v>4722362.4800000004</v>
      </c>
      <c r="K76" t="s">
        <v>27</v>
      </c>
      <c r="L76">
        <v>185542</v>
      </c>
      <c r="M76" t="s">
        <v>41</v>
      </c>
      <c r="O76">
        <v>1</v>
      </c>
      <c r="P76" t="s">
        <v>1223</v>
      </c>
      <c r="Q76" t="s">
        <v>1224</v>
      </c>
    </row>
    <row r="77" spans="1:17" x14ac:dyDescent="0.25">
      <c r="A77">
        <v>8003879954</v>
      </c>
      <c r="B77">
        <v>42</v>
      </c>
      <c r="C77">
        <v>17072018</v>
      </c>
      <c r="D77">
        <v>489</v>
      </c>
      <c r="E77" t="s">
        <v>31</v>
      </c>
      <c r="F77">
        <v>9938</v>
      </c>
      <c r="G77" t="s">
        <v>1222</v>
      </c>
      <c r="H77" s="2">
        <v>0.1</v>
      </c>
      <c r="I77" t="s">
        <v>26</v>
      </c>
      <c r="J77" s="2">
        <v>4731262.4800000004</v>
      </c>
      <c r="K77" t="s">
        <v>27</v>
      </c>
      <c r="L77">
        <v>185542</v>
      </c>
      <c r="M77" t="s">
        <v>1225</v>
      </c>
      <c r="O77">
        <v>1</v>
      </c>
    </row>
    <row r="78" spans="1:17" x14ac:dyDescent="0.25">
      <c r="A78">
        <v>8003879954</v>
      </c>
      <c r="B78">
        <v>41</v>
      </c>
      <c r="C78">
        <v>17072018</v>
      </c>
      <c r="D78">
        <v>343</v>
      </c>
      <c r="E78" t="s">
        <v>115</v>
      </c>
      <c r="F78">
        <v>9938</v>
      </c>
      <c r="G78" t="s">
        <v>1226</v>
      </c>
      <c r="H78" s="2">
        <v>1208.4000000000001</v>
      </c>
      <c r="I78" t="s">
        <v>26</v>
      </c>
      <c r="J78" s="2">
        <v>4731262.58</v>
      </c>
      <c r="K78" t="s">
        <v>27</v>
      </c>
      <c r="L78">
        <v>185542</v>
      </c>
      <c r="M78" t="s">
        <v>338</v>
      </c>
      <c r="O78">
        <v>1</v>
      </c>
    </row>
    <row r="79" spans="1:17" x14ac:dyDescent="0.25">
      <c r="A79">
        <v>8003879954</v>
      </c>
      <c r="B79">
        <v>40</v>
      </c>
      <c r="C79">
        <v>17072018</v>
      </c>
      <c r="D79">
        <v>343</v>
      </c>
      <c r="E79" t="s">
        <v>115</v>
      </c>
      <c r="F79">
        <v>9938</v>
      </c>
      <c r="G79" t="s">
        <v>1227</v>
      </c>
      <c r="H79" s="2">
        <v>29.1</v>
      </c>
      <c r="I79" t="s">
        <v>26</v>
      </c>
      <c r="J79" s="2">
        <v>4732470.9800000004</v>
      </c>
      <c r="K79" t="s">
        <v>27</v>
      </c>
      <c r="L79">
        <v>185542</v>
      </c>
      <c r="M79" t="s">
        <v>334</v>
      </c>
      <c r="O79">
        <v>1</v>
      </c>
    </row>
    <row r="80" spans="1:17" x14ac:dyDescent="0.25">
      <c r="A80">
        <v>8003879954</v>
      </c>
      <c r="B80">
        <v>39</v>
      </c>
      <c r="C80">
        <v>17072018</v>
      </c>
      <c r="D80">
        <v>341</v>
      </c>
      <c r="E80" t="s">
        <v>25</v>
      </c>
      <c r="F80">
        <v>9938</v>
      </c>
      <c r="G80" t="s">
        <v>1228</v>
      </c>
      <c r="H80" s="2">
        <v>48.65</v>
      </c>
      <c r="I80" t="s">
        <v>26</v>
      </c>
      <c r="J80" s="2">
        <v>4732500.08</v>
      </c>
      <c r="K80" t="s">
        <v>27</v>
      </c>
      <c r="L80">
        <v>185541</v>
      </c>
      <c r="M80" t="s">
        <v>75</v>
      </c>
      <c r="O80">
        <v>1</v>
      </c>
      <c r="P80" t="s">
        <v>1229</v>
      </c>
      <c r="Q80" t="s">
        <v>77</v>
      </c>
    </row>
    <row r="81" spans="1:17" x14ac:dyDescent="0.25">
      <c r="A81">
        <v>8003879954</v>
      </c>
      <c r="B81">
        <v>38</v>
      </c>
      <c r="C81">
        <v>17072018</v>
      </c>
      <c r="D81">
        <v>489</v>
      </c>
      <c r="E81" t="s">
        <v>31</v>
      </c>
      <c r="F81">
        <v>9938</v>
      </c>
      <c r="G81" t="s">
        <v>1228</v>
      </c>
      <c r="H81" s="2">
        <v>0.1</v>
      </c>
      <c r="I81" t="s">
        <v>26</v>
      </c>
      <c r="J81" s="2">
        <v>4732548.7300000004</v>
      </c>
      <c r="K81" t="s">
        <v>27</v>
      </c>
      <c r="L81">
        <v>185541</v>
      </c>
      <c r="M81" t="s">
        <v>1230</v>
      </c>
      <c r="O81">
        <v>1</v>
      </c>
    </row>
    <row r="82" spans="1:17" x14ac:dyDescent="0.25">
      <c r="A82">
        <v>8003879954</v>
      </c>
      <c r="B82">
        <v>37</v>
      </c>
      <c r="C82">
        <v>17072018</v>
      </c>
      <c r="D82">
        <v>341</v>
      </c>
      <c r="E82" t="s">
        <v>25</v>
      </c>
      <c r="F82">
        <v>9938</v>
      </c>
      <c r="G82" t="s">
        <v>1231</v>
      </c>
      <c r="H82" s="2">
        <v>1892.57</v>
      </c>
      <c r="I82" t="s">
        <v>26</v>
      </c>
      <c r="J82" s="2">
        <v>4732548.83</v>
      </c>
      <c r="K82" t="s">
        <v>27</v>
      </c>
      <c r="L82">
        <v>185541</v>
      </c>
      <c r="M82" t="s">
        <v>408</v>
      </c>
      <c r="O82">
        <v>1</v>
      </c>
      <c r="P82" t="s">
        <v>1232</v>
      </c>
      <c r="Q82" t="s">
        <v>410</v>
      </c>
    </row>
    <row r="83" spans="1:17" x14ac:dyDescent="0.25">
      <c r="A83">
        <v>8003879954</v>
      </c>
      <c r="B83">
        <v>36</v>
      </c>
      <c r="C83">
        <v>17072018</v>
      </c>
      <c r="D83">
        <v>489</v>
      </c>
      <c r="E83" t="s">
        <v>31</v>
      </c>
      <c r="F83">
        <v>9938</v>
      </c>
      <c r="G83" t="s">
        <v>1231</v>
      </c>
      <c r="H83" s="2">
        <v>0.1</v>
      </c>
      <c r="I83" t="s">
        <v>26</v>
      </c>
      <c r="J83" s="2">
        <v>4734441.4000000004</v>
      </c>
      <c r="K83" t="s">
        <v>27</v>
      </c>
      <c r="L83">
        <v>185541</v>
      </c>
      <c r="M83" t="s">
        <v>1233</v>
      </c>
      <c r="O83">
        <v>1</v>
      </c>
    </row>
    <row r="84" spans="1:17" x14ac:dyDescent="0.25">
      <c r="A84">
        <v>8003879954</v>
      </c>
      <c r="B84">
        <v>35</v>
      </c>
      <c r="C84">
        <v>17072018</v>
      </c>
      <c r="D84">
        <v>343</v>
      </c>
      <c r="E84" t="s">
        <v>115</v>
      </c>
      <c r="F84">
        <v>9938</v>
      </c>
      <c r="G84" t="s">
        <v>1234</v>
      </c>
      <c r="H84" s="2">
        <v>189.9</v>
      </c>
      <c r="I84" t="s">
        <v>26</v>
      </c>
      <c r="J84" s="2">
        <v>4734441.5</v>
      </c>
      <c r="K84" t="s">
        <v>27</v>
      </c>
      <c r="L84">
        <v>185541</v>
      </c>
      <c r="M84" t="s">
        <v>340</v>
      </c>
      <c r="O84">
        <v>1</v>
      </c>
    </row>
    <row r="85" spans="1:17" x14ac:dyDescent="0.25">
      <c r="A85">
        <v>8003879954</v>
      </c>
      <c r="B85">
        <v>34</v>
      </c>
      <c r="C85">
        <v>17072018</v>
      </c>
      <c r="D85">
        <v>60</v>
      </c>
      <c r="E85" t="s">
        <v>37</v>
      </c>
      <c r="F85">
        <v>9938</v>
      </c>
      <c r="G85" t="s">
        <v>1235</v>
      </c>
      <c r="H85" s="2">
        <v>360</v>
      </c>
      <c r="I85" t="s">
        <v>26</v>
      </c>
      <c r="J85" s="2">
        <v>4734631.4000000004</v>
      </c>
      <c r="K85" t="s">
        <v>27</v>
      </c>
      <c r="L85">
        <v>185541</v>
      </c>
      <c r="M85" t="s">
        <v>1236</v>
      </c>
      <c r="O85">
        <v>1</v>
      </c>
      <c r="P85" t="s">
        <v>1237</v>
      </c>
      <c r="Q85" t="s">
        <v>1238</v>
      </c>
    </row>
    <row r="86" spans="1:17" x14ac:dyDescent="0.25">
      <c r="A86">
        <v>8003879954</v>
      </c>
      <c r="B86">
        <v>33</v>
      </c>
      <c r="C86">
        <v>17072018</v>
      </c>
      <c r="D86">
        <v>341</v>
      </c>
      <c r="E86" t="s">
        <v>25</v>
      </c>
      <c r="F86">
        <v>9938</v>
      </c>
      <c r="G86" t="s">
        <v>1239</v>
      </c>
      <c r="H86" s="2">
        <v>270</v>
      </c>
      <c r="I86" t="s">
        <v>26</v>
      </c>
      <c r="J86" s="2">
        <v>4734991.4000000004</v>
      </c>
      <c r="K86" t="s">
        <v>27</v>
      </c>
      <c r="L86">
        <v>185225</v>
      </c>
      <c r="M86" t="s">
        <v>47</v>
      </c>
      <c r="O86">
        <v>1</v>
      </c>
      <c r="P86" t="s">
        <v>1240</v>
      </c>
      <c r="Q86" t="s">
        <v>1241</v>
      </c>
    </row>
    <row r="87" spans="1:17" x14ac:dyDescent="0.25">
      <c r="A87">
        <v>8003879954</v>
      </c>
      <c r="B87">
        <v>32</v>
      </c>
      <c r="C87">
        <v>17072018</v>
      </c>
      <c r="D87">
        <v>489</v>
      </c>
      <c r="E87" t="s">
        <v>31</v>
      </c>
      <c r="F87">
        <v>9938</v>
      </c>
      <c r="G87" t="s">
        <v>1239</v>
      </c>
      <c r="H87" s="2">
        <v>0.1</v>
      </c>
      <c r="I87" t="s">
        <v>26</v>
      </c>
      <c r="J87" s="2">
        <v>4735261.4000000004</v>
      </c>
      <c r="K87" t="s">
        <v>27</v>
      </c>
      <c r="L87">
        <v>185225</v>
      </c>
      <c r="M87" t="s">
        <v>1242</v>
      </c>
      <c r="O87">
        <v>1</v>
      </c>
    </row>
    <row r="88" spans="1:17" x14ac:dyDescent="0.25">
      <c r="A88">
        <v>8003879954</v>
      </c>
      <c r="B88">
        <v>31</v>
      </c>
      <c r="C88">
        <v>17072018</v>
      </c>
      <c r="D88">
        <v>345</v>
      </c>
      <c r="E88" t="s">
        <v>51</v>
      </c>
      <c r="F88">
        <v>9938</v>
      </c>
      <c r="G88" t="s">
        <v>1243</v>
      </c>
      <c r="H88" s="2">
        <v>120</v>
      </c>
      <c r="I88" t="s">
        <v>26</v>
      </c>
      <c r="J88" s="2">
        <v>4735261.5</v>
      </c>
      <c r="K88" t="s">
        <v>27</v>
      </c>
      <c r="L88">
        <v>185225</v>
      </c>
      <c r="M88" t="s">
        <v>1244</v>
      </c>
      <c r="O88">
        <v>1</v>
      </c>
      <c r="P88" t="s">
        <v>1245</v>
      </c>
      <c r="Q88" t="s">
        <v>52</v>
      </c>
    </row>
    <row r="89" spans="1:17" x14ac:dyDescent="0.25">
      <c r="A89">
        <v>8003879954</v>
      </c>
      <c r="B89">
        <v>30</v>
      </c>
      <c r="C89">
        <v>17072018</v>
      </c>
      <c r="D89">
        <v>341</v>
      </c>
      <c r="E89" t="s">
        <v>25</v>
      </c>
      <c r="F89">
        <v>9938</v>
      </c>
      <c r="G89" t="s">
        <v>1246</v>
      </c>
      <c r="H89" s="2">
        <v>2888</v>
      </c>
      <c r="I89" t="s">
        <v>26</v>
      </c>
      <c r="J89" s="2">
        <v>4735381.5</v>
      </c>
      <c r="K89" t="s">
        <v>27</v>
      </c>
      <c r="L89">
        <v>185224</v>
      </c>
      <c r="M89" t="s">
        <v>1247</v>
      </c>
      <c r="O89">
        <v>1</v>
      </c>
      <c r="P89" t="s">
        <v>1248</v>
      </c>
      <c r="Q89" t="s">
        <v>1249</v>
      </c>
    </row>
    <row r="90" spans="1:17" x14ac:dyDescent="0.25">
      <c r="A90">
        <v>8003879954</v>
      </c>
      <c r="B90">
        <v>29</v>
      </c>
      <c r="C90">
        <v>17072018</v>
      </c>
      <c r="D90">
        <v>489</v>
      </c>
      <c r="E90" t="s">
        <v>31</v>
      </c>
      <c r="F90">
        <v>9938</v>
      </c>
      <c r="G90" t="s">
        <v>1246</v>
      </c>
      <c r="H90" s="2">
        <v>0.1</v>
      </c>
      <c r="I90" t="s">
        <v>26</v>
      </c>
      <c r="J90" s="2">
        <v>4738269.5</v>
      </c>
      <c r="K90" t="s">
        <v>27</v>
      </c>
      <c r="L90">
        <v>185224</v>
      </c>
      <c r="M90" t="s">
        <v>1250</v>
      </c>
      <c r="O90">
        <v>1</v>
      </c>
    </row>
    <row r="91" spans="1:17" x14ac:dyDescent="0.25">
      <c r="A91">
        <v>8003879954</v>
      </c>
      <c r="B91">
        <v>28</v>
      </c>
      <c r="C91">
        <v>17072018</v>
      </c>
      <c r="D91">
        <v>343</v>
      </c>
      <c r="E91" t="s">
        <v>115</v>
      </c>
      <c r="F91">
        <v>9938</v>
      </c>
      <c r="G91" t="s">
        <v>1251</v>
      </c>
      <c r="H91" s="2">
        <v>1334.05</v>
      </c>
      <c r="I91" t="s">
        <v>26</v>
      </c>
      <c r="J91" s="2">
        <v>4738269.5999999996</v>
      </c>
      <c r="K91" t="s">
        <v>27</v>
      </c>
      <c r="L91">
        <v>185224</v>
      </c>
      <c r="M91" t="s">
        <v>336</v>
      </c>
      <c r="O91">
        <v>1</v>
      </c>
    </row>
    <row r="92" spans="1:17" x14ac:dyDescent="0.25">
      <c r="A92">
        <v>8003879954</v>
      </c>
      <c r="B92">
        <v>27</v>
      </c>
      <c r="C92">
        <v>17072018</v>
      </c>
      <c r="D92">
        <v>60</v>
      </c>
      <c r="E92" t="s">
        <v>37</v>
      </c>
      <c r="F92">
        <v>9938</v>
      </c>
      <c r="G92" t="s">
        <v>1252</v>
      </c>
      <c r="H92" s="2">
        <v>5300</v>
      </c>
      <c r="I92" t="s">
        <v>26</v>
      </c>
      <c r="J92" s="2">
        <v>4739603.6500000004</v>
      </c>
      <c r="K92" t="s">
        <v>27</v>
      </c>
      <c r="L92">
        <v>185224</v>
      </c>
      <c r="M92" t="s">
        <v>1253</v>
      </c>
      <c r="O92">
        <v>1</v>
      </c>
      <c r="P92" t="s">
        <v>1254</v>
      </c>
      <c r="Q92" t="s">
        <v>1255</v>
      </c>
    </row>
    <row r="93" spans="1:17" x14ac:dyDescent="0.25">
      <c r="A93">
        <v>8003879954</v>
      </c>
      <c r="B93">
        <v>26</v>
      </c>
      <c r="C93">
        <v>17072018</v>
      </c>
      <c r="D93">
        <v>341</v>
      </c>
      <c r="E93" t="s">
        <v>25</v>
      </c>
      <c r="F93">
        <v>9938</v>
      </c>
      <c r="G93" t="s">
        <v>1256</v>
      </c>
      <c r="H93" s="2">
        <v>816</v>
      </c>
      <c r="I93" t="s">
        <v>26</v>
      </c>
      <c r="J93" s="2">
        <v>4744903.6500000004</v>
      </c>
      <c r="K93" t="s">
        <v>27</v>
      </c>
      <c r="L93">
        <v>185224</v>
      </c>
      <c r="M93" t="s">
        <v>1257</v>
      </c>
      <c r="O93">
        <v>1</v>
      </c>
      <c r="P93" t="s">
        <v>1258</v>
      </c>
      <c r="Q93" t="s">
        <v>1259</v>
      </c>
    </row>
    <row r="94" spans="1:17" x14ac:dyDescent="0.25">
      <c r="A94">
        <v>8003879954</v>
      </c>
      <c r="B94">
        <v>25</v>
      </c>
      <c r="C94">
        <v>17072018</v>
      </c>
      <c r="D94">
        <v>489</v>
      </c>
      <c r="E94" t="s">
        <v>31</v>
      </c>
      <c r="F94">
        <v>9938</v>
      </c>
      <c r="G94" t="s">
        <v>1256</v>
      </c>
      <c r="H94" s="2">
        <v>0.1</v>
      </c>
      <c r="I94" t="s">
        <v>26</v>
      </c>
      <c r="J94" s="2">
        <v>4745719.6500000004</v>
      </c>
      <c r="K94" t="s">
        <v>27</v>
      </c>
      <c r="L94">
        <v>185224</v>
      </c>
      <c r="M94" t="s">
        <v>1260</v>
      </c>
      <c r="O94">
        <v>1</v>
      </c>
    </row>
    <row r="95" spans="1:17" x14ac:dyDescent="0.25">
      <c r="A95">
        <v>8003879954</v>
      </c>
      <c r="B95">
        <v>24</v>
      </c>
      <c r="C95">
        <v>17072018</v>
      </c>
      <c r="D95">
        <v>341</v>
      </c>
      <c r="E95" t="s">
        <v>25</v>
      </c>
      <c r="F95">
        <v>9938</v>
      </c>
      <c r="G95" t="s">
        <v>1261</v>
      </c>
      <c r="H95" s="2">
        <v>90</v>
      </c>
      <c r="I95" t="s">
        <v>26</v>
      </c>
      <c r="J95" s="2">
        <v>4745719.75</v>
      </c>
      <c r="K95" t="s">
        <v>27</v>
      </c>
      <c r="L95">
        <v>185224</v>
      </c>
      <c r="M95" t="s">
        <v>1262</v>
      </c>
      <c r="O95">
        <v>1</v>
      </c>
      <c r="P95" t="s">
        <v>1263</v>
      </c>
      <c r="Q95" t="s">
        <v>1264</v>
      </c>
    </row>
    <row r="96" spans="1:17" x14ac:dyDescent="0.25">
      <c r="A96">
        <v>8003879954</v>
      </c>
      <c r="B96">
        <v>23</v>
      </c>
      <c r="C96">
        <v>17072018</v>
      </c>
      <c r="D96">
        <v>489</v>
      </c>
      <c r="E96" t="s">
        <v>31</v>
      </c>
      <c r="F96">
        <v>9938</v>
      </c>
      <c r="G96" t="s">
        <v>1261</v>
      </c>
      <c r="H96" s="2">
        <v>0.1</v>
      </c>
      <c r="I96" t="s">
        <v>26</v>
      </c>
      <c r="J96" s="2">
        <v>4745809.75</v>
      </c>
      <c r="K96" t="s">
        <v>27</v>
      </c>
      <c r="L96">
        <v>185224</v>
      </c>
      <c r="M96" t="s">
        <v>1265</v>
      </c>
      <c r="O96">
        <v>1</v>
      </c>
    </row>
    <row r="97" spans="1:17" x14ac:dyDescent="0.25">
      <c r="A97">
        <v>8003879954</v>
      </c>
      <c r="B97">
        <v>22</v>
      </c>
      <c r="C97">
        <v>17072018</v>
      </c>
      <c r="D97">
        <v>341</v>
      </c>
      <c r="E97" t="s">
        <v>25</v>
      </c>
      <c r="F97">
        <v>9938</v>
      </c>
      <c r="G97" t="s">
        <v>1266</v>
      </c>
      <c r="H97" s="2">
        <v>3500</v>
      </c>
      <c r="I97" t="s">
        <v>26</v>
      </c>
      <c r="J97" s="2">
        <v>4745809.8499999996</v>
      </c>
      <c r="K97" t="s">
        <v>27</v>
      </c>
      <c r="L97">
        <v>185223</v>
      </c>
      <c r="M97" t="s">
        <v>268</v>
      </c>
      <c r="O97">
        <v>1</v>
      </c>
      <c r="P97" t="s">
        <v>1267</v>
      </c>
      <c r="Q97" t="s">
        <v>1268</v>
      </c>
    </row>
    <row r="98" spans="1:17" x14ac:dyDescent="0.25">
      <c r="A98">
        <v>8003879954</v>
      </c>
      <c r="B98">
        <v>21</v>
      </c>
      <c r="C98">
        <v>17072018</v>
      </c>
      <c r="D98">
        <v>489</v>
      </c>
      <c r="E98" t="s">
        <v>31</v>
      </c>
      <c r="F98">
        <v>9938</v>
      </c>
      <c r="G98" t="s">
        <v>1266</v>
      </c>
      <c r="H98" s="2">
        <v>0.1</v>
      </c>
      <c r="I98" t="s">
        <v>26</v>
      </c>
      <c r="J98" s="2">
        <v>4749309.8499999996</v>
      </c>
      <c r="K98" t="s">
        <v>27</v>
      </c>
      <c r="L98">
        <v>185223</v>
      </c>
      <c r="M98" t="s">
        <v>1269</v>
      </c>
      <c r="O98">
        <v>1</v>
      </c>
    </row>
    <row r="99" spans="1:17" x14ac:dyDescent="0.25">
      <c r="A99">
        <v>8003879954</v>
      </c>
      <c r="B99">
        <v>20</v>
      </c>
      <c r="C99">
        <v>17072018</v>
      </c>
      <c r="D99">
        <v>341</v>
      </c>
      <c r="E99" t="s">
        <v>25</v>
      </c>
      <c r="F99">
        <v>9938</v>
      </c>
      <c r="G99" t="s">
        <v>1270</v>
      </c>
      <c r="H99" s="2">
        <v>120</v>
      </c>
      <c r="I99" t="s">
        <v>26</v>
      </c>
      <c r="J99" s="2">
        <v>4749309.95</v>
      </c>
      <c r="K99" t="s">
        <v>27</v>
      </c>
      <c r="L99">
        <v>185223</v>
      </c>
      <c r="M99" t="s">
        <v>39</v>
      </c>
      <c r="O99">
        <v>1</v>
      </c>
      <c r="P99" t="s">
        <v>1271</v>
      </c>
      <c r="Q99" t="s">
        <v>1272</v>
      </c>
    </row>
    <row r="100" spans="1:17" x14ac:dyDescent="0.25">
      <c r="A100">
        <v>8003879954</v>
      </c>
      <c r="B100">
        <v>19</v>
      </c>
      <c r="C100">
        <v>17072018</v>
      </c>
      <c r="D100">
        <v>489</v>
      </c>
      <c r="E100" t="s">
        <v>31</v>
      </c>
      <c r="F100">
        <v>9938</v>
      </c>
      <c r="G100" t="s">
        <v>1270</v>
      </c>
      <c r="H100" s="2">
        <v>0.1</v>
      </c>
      <c r="I100" t="s">
        <v>26</v>
      </c>
      <c r="J100" s="2">
        <v>4749429.95</v>
      </c>
      <c r="K100" t="s">
        <v>27</v>
      </c>
      <c r="L100">
        <v>185223</v>
      </c>
      <c r="M100" t="s">
        <v>1273</v>
      </c>
      <c r="O100">
        <v>1</v>
      </c>
    </row>
    <row r="101" spans="1:17" x14ac:dyDescent="0.25">
      <c r="A101">
        <v>8003879954</v>
      </c>
      <c r="B101">
        <v>18</v>
      </c>
      <c r="C101">
        <v>17072018</v>
      </c>
      <c r="D101">
        <v>60</v>
      </c>
      <c r="E101" t="s">
        <v>37</v>
      </c>
      <c r="F101">
        <v>9938</v>
      </c>
      <c r="G101" t="s">
        <v>1274</v>
      </c>
      <c r="H101" s="2">
        <v>2450</v>
      </c>
      <c r="I101" t="s">
        <v>26</v>
      </c>
      <c r="J101" s="2">
        <v>4749430.05</v>
      </c>
      <c r="K101" t="s">
        <v>27</v>
      </c>
      <c r="L101">
        <v>185223</v>
      </c>
      <c r="M101" t="s">
        <v>1275</v>
      </c>
      <c r="O101">
        <v>1</v>
      </c>
      <c r="P101" t="s">
        <v>1276</v>
      </c>
      <c r="Q101" t="s">
        <v>1277</v>
      </c>
    </row>
    <row r="102" spans="1:17" x14ac:dyDescent="0.25">
      <c r="A102">
        <v>8003879954</v>
      </c>
      <c r="B102">
        <v>17</v>
      </c>
      <c r="C102">
        <v>17072018</v>
      </c>
      <c r="D102">
        <v>341</v>
      </c>
      <c r="E102" t="s">
        <v>25</v>
      </c>
      <c r="F102">
        <v>9938</v>
      </c>
      <c r="G102" t="s">
        <v>1278</v>
      </c>
      <c r="H102" s="2">
        <v>60</v>
      </c>
      <c r="I102" t="s">
        <v>26</v>
      </c>
      <c r="J102" s="2">
        <v>4751880.05</v>
      </c>
      <c r="K102" t="s">
        <v>27</v>
      </c>
      <c r="L102">
        <v>184808</v>
      </c>
      <c r="M102" t="s">
        <v>119</v>
      </c>
      <c r="O102">
        <v>1</v>
      </c>
      <c r="P102" t="s">
        <v>1279</v>
      </c>
      <c r="Q102" t="s">
        <v>1280</v>
      </c>
    </row>
    <row r="103" spans="1:17" x14ac:dyDescent="0.25">
      <c r="A103">
        <v>8003879954</v>
      </c>
      <c r="B103">
        <v>16</v>
      </c>
      <c r="C103">
        <v>17072018</v>
      </c>
      <c r="D103">
        <v>489</v>
      </c>
      <c r="E103" t="s">
        <v>31</v>
      </c>
      <c r="F103">
        <v>9938</v>
      </c>
      <c r="G103" t="s">
        <v>1278</v>
      </c>
      <c r="H103" s="2">
        <v>0.1</v>
      </c>
      <c r="I103" t="s">
        <v>26</v>
      </c>
      <c r="J103" s="2">
        <v>4751940.05</v>
      </c>
      <c r="K103" t="s">
        <v>27</v>
      </c>
      <c r="L103">
        <v>184808</v>
      </c>
      <c r="M103" t="s">
        <v>1281</v>
      </c>
      <c r="O103">
        <v>1</v>
      </c>
    </row>
    <row r="104" spans="1:17" x14ac:dyDescent="0.25">
      <c r="A104">
        <v>8003879954</v>
      </c>
      <c r="B104">
        <v>15</v>
      </c>
      <c r="C104">
        <v>17072018</v>
      </c>
      <c r="D104">
        <v>341</v>
      </c>
      <c r="E104" t="s">
        <v>25</v>
      </c>
      <c r="F104">
        <v>9938</v>
      </c>
      <c r="G104" t="s">
        <v>1282</v>
      </c>
      <c r="H104" s="2">
        <v>130.69999999999999</v>
      </c>
      <c r="I104" t="s">
        <v>26</v>
      </c>
      <c r="J104" s="2">
        <v>4751940.1500000004</v>
      </c>
      <c r="K104" t="s">
        <v>27</v>
      </c>
      <c r="L104">
        <v>184807</v>
      </c>
      <c r="M104" t="s">
        <v>207</v>
      </c>
      <c r="O104">
        <v>1</v>
      </c>
      <c r="P104" t="s">
        <v>1283</v>
      </c>
      <c r="Q104" t="s">
        <v>1284</v>
      </c>
    </row>
    <row r="105" spans="1:17" x14ac:dyDescent="0.25">
      <c r="A105">
        <v>8003879954</v>
      </c>
      <c r="B105">
        <v>14</v>
      </c>
      <c r="C105">
        <v>17072018</v>
      </c>
      <c r="D105">
        <v>489</v>
      </c>
      <c r="E105" t="s">
        <v>31</v>
      </c>
      <c r="F105">
        <v>9938</v>
      </c>
      <c r="G105" t="s">
        <v>1282</v>
      </c>
      <c r="H105" s="2">
        <v>0.1</v>
      </c>
      <c r="I105" t="s">
        <v>26</v>
      </c>
      <c r="J105" s="2">
        <v>4752070.8499999996</v>
      </c>
      <c r="K105" t="s">
        <v>27</v>
      </c>
      <c r="L105">
        <v>184807</v>
      </c>
      <c r="M105" t="s">
        <v>1285</v>
      </c>
      <c r="O105">
        <v>1</v>
      </c>
    </row>
    <row r="106" spans="1:17" x14ac:dyDescent="0.25">
      <c r="A106">
        <v>8003879954</v>
      </c>
      <c r="B106">
        <v>13</v>
      </c>
      <c r="C106">
        <v>17072018</v>
      </c>
      <c r="D106">
        <v>60</v>
      </c>
      <c r="E106" t="s">
        <v>37</v>
      </c>
      <c r="F106">
        <v>9938</v>
      </c>
      <c r="G106" t="s">
        <v>1286</v>
      </c>
      <c r="H106" s="2">
        <v>1285.6600000000001</v>
      </c>
      <c r="I106" t="s">
        <v>26</v>
      </c>
      <c r="J106" s="2">
        <v>4752070.95</v>
      </c>
      <c r="K106" t="s">
        <v>27</v>
      </c>
      <c r="L106">
        <v>184807</v>
      </c>
      <c r="M106" t="s">
        <v>1287</v>
      </c>
      <c r="O106">
        <v>1</v>
      </c>
      <c r="P106" t="s">
        <v>1288</v>
      </c>
      <c r="Q106" t="s">
        <v>606</v>
      </c>
    </row>
    <row r="107" spans="1:17" x14ac:dyDescent="0.25">
      <c r="A107">
        <v>8003879954</v>
      </c>
      <c r="B107">
        <v>12</v>
      </c>
      <c r="C107">
        <v>17072018</v>
      </c>
      <c r="D107">
        <v>341</v>
      </c>
      <c r="E107" t="s">
        <v>25</v>
      </c>
      <c r="F107">
        <v>9938</v>
      </c>
      <c r="G107" t="s">
        <v>1289</v>
      </c>
      <c r="H107" s="2">
        <v>150</v>
      </c>
      <c r="I107" t="s">
        <v>26</v>
      </c>
      <c r="J107" s="2">
        <v>4753356.6100000003</v>
      </c>
      <c r="K107" t="s">
        <v>27</v>
      </c>
      <c r="L107">
        <v>184804</v>
      </c>
      <c r="M107" t="s">
        <v>212</v>
      </c>
      <c r="O107">
        <v>1</v>
      </c>
      <c r="P107" t="s">
        <v>1290</v>
      </c>
      <c r="Q107" t="s">
        <v>1291</v>
      </c>
    </row>
    <row r="108" spans="1:17" x14ac:dyDescent="0.25">
      <c r="A108">
        <v>8003879954</v>
      </c>
      <c r="B108">
        <v>11</v>
      </c>
      <c r="C108">
        <v>17072018</v>
      </c>
      <c r="D108">
        <v>489</v>
      </c>
      <c r="E108" t="s">
        <v>31</v>
      </c>
      <c r="F108">
        <v>9938</v>
      </c>
      <c r="G108" t="s">
        <v>1289</v>
      </c>
      <c r="H108" s="2">
        <v>0.1</v>
      </c>
      <c r="I108" t="s">
        <v>26</v>
      </c>
      <c r="J108" s="2">
        <v>4753506.6100000003</v>
      </c>
      <c r="K108" t="s">
        <v>27</v>
      </c>
      <c r="L108">
        <v>184804</v>
      </c>
      <c r="M108" t="s">
        <v>1292</v>
      </c>
      <c r="O108">
        <v>1</v>
      </c>
    </row>
    <row r="109" spans="1:17" x14ac:dyDescent="0.25">
      <c r="A109">
        <v>8003879954</v>
      </c>
      <c r="B109">
        <v>10</v>
      </c>
      <c r="C109">
        <v>17072018</v>
      </c>
      <c r="D109">
        <v>341</v>
      </c>
      <c r="E109" t="s">
        <v>25</v>
      </c>
      <c r="F109">
        <v>9938</v>
      </c>
      <c r="G109" t="s">
        <v>1293</v>
      </c>
      <c r="H109" s="2">
        <v>1363</v>
      </c>
      <c r="I109" t="s">
        <v>26</v>
      </c>
      <c r="J109" s="2">
        <v>4753506.71</v>
      </c>
      <c r="K109" t="s">
        <v>27</v>
      </c>
      <c r="L109">
        <v>184804</v>
      </c>
      <c r="M109" t="s">
        <v>263</v>
      </c>
      <c r="O109">
        <v>1</v>
      </c>
      <c r="P109" t="s">
        <v>1294</v>
      </c>
      <c r="Q109" t="s">
        <v>1295</v>
      </c>
    </row>
    <row r="110" spans="1:17" x14ac:dyDescent="0.25">
      <c r="A110">
        <v>8003879954</v>
      </c>
      <c r="B110">
        <v>9</v>
      </c>
      <c r="C110">
        <v>17072018</v>
      </c>
      <c r="D110">
        <v>489</v>
      </c>
      <c r="E110" t="s">
        <v>31</v>
      </c>
      <c r="F110">
        <v>9938</v>
      </c>
      <c r="G110" t="s">
        <v>1293</v>
      </c>
      <c r="H110" s="2">
        <v>0.1</v>
      </c>
      <c r="I110" t="s">
        <v>26</v>
      </c>
      <c r="J110" s="2">
        <v>4754869.71</v>
      </c>
      <c r="K110" t="s">
        <v>27</v>
      </c>
      <c r="L110">
        <v>184804</v>
      </c>
      <c r="M110" t="s">
        <v>1296</v>
      </c>
      <c r="O110">
        <v>1</v>
      </c>
    </row>
    <row r="111" spans="1:17" x14ac:dyDescent="0.25">
      <c r="A111">
        <v>8003879954</v>
      </c>
      <c r="B111">
        <v>8</v>
      </c>
      <c r="C111">
        <v>17072018</v>
      </c>
      <c r="D111">
        <v>343</v>
      </c>
      <c r="E111" t="s">
        <v>115</v>
      </c>
      <c r="F111">
        <v>9938</v>
      </c>
      <c r="G111" t="s">
        <v>1297</v>
      </c>
      <c r="H111" s="2">
        <v>564</v>
      </c>
      <c r="I111" t="s">
        <v>26</v>
      </c>
      <c r="J111" s="2">
        <v>4754869.8099999996</v>
      </c>
      <c r="K111" t="s">
        <v>27</v>
      </c>
      <c r="L111">
        <v>184805</v>
      </c>
      <c r="M111" t="s">
        <v>117</v>
      </c>
      <c r="O111">
        <v>1</v>
      </c>
    </row>
    <row r="112" spans="1:17" x14ac:dyDescent="0.25">
      <c r="A112">
        <v>8003879954</v>
      </c>
      <c r="B112">
        <v>7</v>
      </c>
      <c r="C112">
        <v>17072018</v>
      </c>
      <c r="D112">
        <v>341</v>
      </c>
      <c r="E112" t="s">
        <v>25</v>
      </c>
      <c r="F112">
        <v>9938</v>
      </c>
      <c r="G112" t="s">
        <v>1298</v>
      </c>
      <c r="H112" s="2">
        <v>9250</v>
      </c>
      <c r="I112" t="s">
        <v>26</v>
      </c>
      <c r="J112" s="2">
        <v>4755433.8099999996</v>
      </c>
      <c r="K112" t="s">
        <v>27</v>
      </c>
      <c r="L112">
        <v>184804</v>
      </c>
      <c r="M112" t="s">
        <v>273</v>
      </c>
      <c r="O112">
        <v>1</v>
      </c>
      <c r="P112" t="s">
        <v>1299</v>
      </c>
      <c r="Q112" t="s">
        <v>1300</v>
      </c>
    </row>
    <row r="113" spans="1:18" x14ac:dyDescent="0.25">
      <c r="A113">
        <v>8003879954</v>
      </c>
      <c r="B113">
        <v>6</v>
      </c>
      <c r="C113">
        <v>17072018</v>
      </c>
      <c r="D113">
        <v>489</v>
      </c>
      <c r="E113" t="s">
        <v>31</v>
      </c>
      <c r="F113">
        <v>9938</v>
      </c>
      <c r="G113" t="s">
        <v>1298</v>
      </c>
      <c r="H113" s="2">
        <v>0.1</v>
      </c>
      <c r="I113" t="s">
        <v>26</v>
      </c>
      <c r="J113" s="2">
        <v>4764683.8099999996</v>
      </c>
      <c r="K113" t="s">
        <v>27</v>
      </c>
      <c r="L113">
        <v>184804</v>
      </c>
      <c r="M113" t="s">
        <v>1301</v>
      </c>
      <c r="O113">
        <v>1</v>
      </c>
    </row>
    <row r="114" spans="1:18" x14ac:dyDescent="0.25">
      <c r="A114">
        <v>8003879954</v>
      </c>
      <c r="B114">
        <v>5</v>
      </c>
      <c r="C114">
        <v>17072018</v>
      </c>
      <c r="D114">
        <v>341</v>
      </c>
      <c r="E114" t="s">
        <v>25</v>
      </c>
      <c r="F114">
        <v>9938</v>
      </c>
      <c r="G114" t="s">
        <v>1302</v>
      </c>
      <c r="H114" s="2">
        <v>300</v>
      </c>
      <c r="I114" t="s">
        <v>26</v>
      </c>
      <c r="J114" s="2">
        <v>4764683.91</v>
      </c>
      <c r="K114" t="s">
        <v>27</v>
      </c>
      <c r="L114">
        <v>184805</v>
      </c>
      <c r="M114" t="s">
        <v>1303</v>
      </c>
      <c r="O114">
        <v>1</v>
      </c>
      <c r="P114" t="s">
        <v>1304</v>
      </c>
      <c r="Q114" t="s">
        <v>1305</v>
      </c>
    </row>
    <row r="115" spans="1:18" x14ac:dyDescent="0.25">
      <c r="A115">
        <v>8003879954</v>
      </c>
      <c r="B115">
        <v>4</v>
      </c>
      <c r="C115">
        <v>17072018</v>
      </c>
      <c r="D115">
        <v>489</v>
      </c>
      <c r="E115" t="s">
        <v>31</v>
      </c>
      <c r="F115">
        <v>9938</v>
      </c>
      <c r="G115" t="s">
        <v>1302</v>
      </c>
      <c r="H115" s="2">
        <v>0.1</v>
      </c>
      <c r="I115" t="s">
        <v>26</v>
      </c>
      <c r="J115" s="2">
        <v>4764983.91</v>
      </c>
      <c r="K115" t="s">
        <v>27</v>
      </c>
      <c r="L115">
        <v>184805</v>
      </c>
      <c r="M115" t="s">
        <v>1306</v>
      </c>
      <c r="O115">
        <v>1</v>
      </c>
    </row>
    <row r="116" spans="1:18" x14ac:dyDescent="0.25">
      <c r="A116">
        <v>8003879954</v>
      </c>
      <c r="B116">
        <v>3</v>
      </c>
      <c r="C116">
        <v>17072018</v>
      </c>
      <c r="D116">
        <v>341</v>
      </c>
      <c r="E116" t="s">
        <v>25</v>
      </c>
      <c r="F116">
        <v>9938</v>
      </c>
      <c r="G116" t="s">
        <v>1307</v>
      </c>
      <c r="H116" s="2">
        <v>78.150000000000006</v>
      </c>
      <c r="I116" t="s">
        <v>26</v>
      </c>
      <c r="J116" s="2">
        <v>4764984.01</v>
      </c>
      <c r="K116" t="s">
        <v>27</v>
      </c>
      <c r="L116">
        <v>184804</v>
      </c>
      <c r="M116" t="s">
        <v>111</v>
      </c>
      <c r="O116">
        <v>1</v>
      </c>
      <c r="P116" t="s">
        <v>1308</v>
      </c>
      <c r="Q116" t="s">
        <v>1309</v>
      </c>
    </row>
    <row r="117" spans="1:18" x14ac:dyDescent="0.25">
      <c r="A117">
        <v>8003879954</v>
      </c>
      <c r="B117">
        <v>2</v>
      </c>
      <c r="C117">
        <v>17072018</v>
      </c>
      <c r="D117">
        <v>489</v>
      </c>
      <c r="E117" t="s">
        <v>31</v>
      </c>
      <c r="F117">
        <v>9938</v>
      </c>
      <c r="G117" t="s">
        <v>1307</v>
      </c>
      <c r="H117" s="2">
        <v>0.1</v>
      </c>
      <c r="I117" t="s">
        <v>26</v>
      </c>
      <c r="J117" s="2">
        <v>4765062.16</v>
      </c>
      <c r="K117" t="s">
        <v>27</v>
      </c>
      <c r="L117">
        <v>184804</v>
      </c>
      <c r="M117" t="s">
        <v>1310</v>
      </c>
      <c r="O117">
        <v>1</v>
      </c>
    </row>
    <row r="118" spans="1:18" x14ac:dyDescent="0.25">
      <c r="A118">
        <v>8003879954</v>
      </c>
      <c r="B118">
        <v>1</v>
      </c>
      <c r="C118">
        <v>17072018</v>
      </c>
      <c r="D118">
        <v>60</v>
      </c>
      <c r="E118" t="s">
        <v>37</v>
      </c>
      <c r="F118">
        <v>9938</v>
      </c>
      <c r="G118" t="s">
        <v>1311</v>
      </c>
      <c r="H118" s="2">
        <v>3790.5</v>
      </c>
      <c r="I118" t="s">
        <v>26</v>
      </c>
      <c r="J118" s="2">
        <v>4765062.26</v>
      </c>
      <c r="K118" t="s">
        <v>27</v>
      </c>
      <c r="L118">
        <v>184804</v>
      </c>
      <c r="M118" t="s">
        <v>1312</v>
      </c>
      <c r="O118">
        <v>1</v>
      </c>
      <c r="P118" t="s">
        <v>1313</v>
      </c>
      <c r="Q118" t="s">
        <v>1314</v>
      </c>
    </row>
    <row r="119" spans="1:18" x14ac:dyDescent="0.25">
      <c r="A119">
        <v>8003879954</v>
      </c>
      <c r="B119">
        <v>1</v>
      </c>
      <c r="C119">
        <v>16072018</v>
      </c>
      <c r="D119">
        <v>5</v>
      </c>
      <c r="E119" t="s">
        <v>54</v>
      </c>
      <c r="H119" s="2">
        <v>550000</v>
      </c>
      <c r="I119" t="s">
        <v>27</v>
      </c>
      <c r="J119" s="2">
        <v>4768852.76</v>
      </c>
      <c r="K119" t="s">
        <v>27</v>
      </c>
      <c r="L119">
        <v>92219</v>
      </c>
      <c r="M119" t="s">
        <v>1315</v>
      </c>
      <c r="O119">
        <v>1</v>
      </c>
      <c r="P119" t="s">
        <v>1316</v>
      </c>
      <c r="Q119" t="s">
        <v>381</v>
      </c>
      <c r="R119" t="s">
        <v>382</v>
      </c>
    </row>
    <row r="120" spans="1:18" x14ac:dyDescent="0.25">
      <c r="A120">
        <v>8003879954</v>
      </c>
      <c r="B120">
        <v>4</v>
      </c>
      <c r="C120">
        <v>13072018</v>
      </c>
      <c r="D120">
        <v>415</v>
      </c>
      <c r="E120" t="s">
        <v>48</v>
      </c>
      <c r="F120">
        <v>72</v>
      </c>
      <c r="G120" t="s">
        <v>1317</v>
      </c>
      <c r="H120" s="17">
        <v>30</v>
      </c>
      <c r="I120" t="s">
        <v>26</v>
      </c>
      <c r="J120" s="2">
        <v>4218852.76</v>
      </c>
      <c r="K120" t="s">
        <v>27</v>
      </c>
      <c r="L120">
        <v>143716</v>
      </c>
      <c r="M120" t="s">
        <v>1318</v>
      </c>
      <c r="O120">
        <v>1</v>
      </c>
    </row>
    <row r="121" spans="1:18" x14ac:dyDescent="0.25">
      <c r="A121">
        <v>8003879954</v>
      </c>
      <c r="B121">
        <v>3</v>
      </c>
      <c r="C121">
        <v>13072018</v>
      </c>
      <c r="D121">
        <v>349</v>
      </c>
      <c r="E121" t="s">
        <v>49</v>
      </c>
      <c r="F121">
        <v>72</v>
      </c>
      <c r="G121" t="s">
        <v>1317</v>
      </c>
      <c r="H121" s="2">
        <v>14621.97</v>
      </c>
      <c r="I121" t="s">
        <v>26</v>
      </c>
      <c r="J121" s="2">
        <v>4218882.76</v>
      </c>
      <c r="K121" t="s">
        <v>27</v>
      </c>
      <c r="L121">
        <v>143716</v>
      </c>
      <c r="M121" t="s">
        <v>1318</v>
      </c>
      <c r="O121">
        <v>1</v>
      </c>
    </row>
    <row r="122" spans="1:18" x14ac:dyDescent="0.25">
      <c r="A122">
        <v>8003879954</v>
      </c>
      <c r="B122">
        <v>2</v>
      </c>
      <c r="C122">
        <v>13072018</v>
      </c>
      <c r="D122">
        <v>415</v>
      </c>
      <c r="E122" t="s">
        <v>48</v>
      </c>
      <c r="F122">
        <v>72</v>
      </c>
      <c r="G122" t="s">
        <v>1319</v>
      </c>
      <c r="H122" s="17">
        <v>10</v>
      </c>
      <c r="I122" t="s">
        <v>26</v>
      </c>
      <c r="J122" s="2">
        <v>4233504.7300000004</v>
      </c>
      <c r="K122" t="s">
        <v>27</v>
      </c>
      <c r="L122">
        <v>142538</v>
      </c>
      <c r="M122" t="s">
        <v>1320</v>
      </c>
      <c r="O122">
        <v>1</v>
      </c>
    </row>
    <row r="123" spans="1:18" x14ac:dyDescent="0.25">
      <c r="A123">
        <v>8003879954</v>
      </c>
      <c r="B123">
        <v>1</v>
      </c>
      <c r="C123">
        <v>13072018</v>
      </c>
      <c r="D123">
        <v>349</v>
      </c>
      <c r="E123" t="s">
        <v>49</v>
      </c>
      <c r="F123">
        <v>72</v>
      </c>
      <c r="G123" t="s">
        <v>1319</v>
      </c>
      <c r="H123" s="2">
        <v>14447.04</v>
      </c>
      <c r="I123" t="s">
        <v>26</v>
      </c>
      <c r="J123" s="2">
        <v>4233514.7300000004</v>
      </c>
      <c r="K123" t="s">
        <v>27</v>
      </c>
      <c r="L123">
        <v>142538</v>
      </c>
      <c r="M123" t="s">
        <v>1320</v>
      </c>
      <c r="O123">
        <v>1</v>
      </c>
    </row>
    <row r="124" spans="1:18" x14ac:dyDescent="0.25">
      <c r="A124">
        <v>8003879954</v>
      </c>
      <c r="B124">
        <v>7</v>
      </c>
      <c r="C124">
        <v>12072018</v>
      </c>
      <c r="D124">
        <v>819</v>
      </c>
      <c r="E124" t="s">
        <v>35</v>
      </c>
      <c r="H124" s="2">
        <v>0.5</v>
      </c>
      <c r="I124" t="s">
        <v>26</v>
      </c>
      <c r="J124" s="2">
        <v>4247961.7699999996</v>
      </c>
      <c r="K124" t="s">
        <v>27</v>
      </c>
      <c r="L124">
        <v>5956</v>
      </c>
      <c r="M124" t="s">
        <v>32</v>
      </c>
      <c r="O124">
        <v>1</v>
      </c>
    </row>
    <row r="125" spans="1:18" x14ac:dyDescent="0.25">
      <c r="A125">
        <v>8003879954</v>
      </c>
      <c r="B125">
        <v>6</v>
      </c>
      <c r="C125">
        <v>12072018</v>
      </c>
      <c r="D125">
        <v>819</v>
      </c>
      <c r="E125" t="s">
        <v>35</v>
      </c>
      <c r="H125" s="2">
        <v>0.5</v>
      </c>
      <c r="I125" t="s">
        <v>26</v>
      </c>
      <c r="J125" s="2">
        <v>4247962.2699999996</v>
      </c>
      <c r="K125" t="s">
        <v>27</v>
      </c>
      <c r="L125">
        <v>5956</v>
      </c>
      <c r="M125" t="s">
        <v>32</v>
      </c>
      <c r="O125">
        <v>1</v>
      </c>
    </row>
    <row r="126" spans="1:18" x14ac:dyDescent="0.25">
      <c r="A126">
        <v>8003879954</v>
      </c>
      <c r="B126">
        <v>5</v>
      </c>
      <c r="C126">
        <v>12072018</v>
      </c>
      <c r="D126">
        <v>323</v>
      </c>
      <c r="E126" t="s">
        <v>50</v>
      </c>
      <c r="F126">
        <v>0</v>
      </c>
      <c r="G126" t="s">
        <v>1321</v>
      </c>
      <c r="H126" s="2">
        <v>10823.89</v>
      </c>
      <c r="I126" t="s">
        <v>26</v>
      </c>
      <c r="J126" s="2">
        <v>4247962.7699999996</v>
      </c>
      <c r="K126" t="s">
        <v>27</v>
      </c>
      <c r="L126">
        <v>5827</v>
      </c>
      <c r="M126" t="s">
        <v>32</v>
      </c>
      <c r="O126">
        <v>1</v>
      </c>
    </row>
    <row r="127" spans="1:18" x14ac:dyDescent="0.25">
      <c r="A127">
        <v>8003879954</v>
      </c>
      <c r="B127">
        <v>4</v>
      </c>
      <c r="C127">
        <v>12072018</v>
      </c>
      <c r="D127">
        <v>321</v>
      </c>
      <c r="E127" t="s">
        <v>36</v>
      </c>
      <c r="F127">
        <v>0</v>
      </c>
      <c r="G127" t="s">
        <v>1322</v>
      </c>
      <c r="H127" s="2">
        <v>471.9</v>
      </c>
      <c r="I127" t="s">
        <v>26</v>
      </c>
      <c r="J127" s="2">
        <v>4258786.66</v>
      </c>
      <c r="K127" t="s">
        <v>27</v>
      </c>
      <c r="L127">
        <v>5827</v>
      </c>
      <c r="M127" t="s">
        <v>32</v>
      </c>
      <c r="O127">
        <v>1</v>
      </c>
    </row>
    <row r="128" spans="1:18" x14ac:dyDescent="0.25">
      <c r="A128">
        <v>8003879954</v>
      </c>
      <c r="B128">
        <v>3</v>
      </c>
      <c r="C128">
        <v>12072018</v>
      </c>
      <c r="D128">
        <v>123</v>
      </c>
      <c r="E128" t="s">
        <v>64</v>
      </c>
      <c r="F128">
        <v>2007</v>
      </c>
      <c r="G128" t="s">
        <v>1323</v>
      </c>
      <c r="H128" s="2">
        <v>1029.8</v>
      </c>
      <c r="I128" t="s">
        <v>27</v>
      </c>
      <c r="J128" s="2">
        <v>4259258.5599999996</v>
      </c>
      <c r="K128" t="s">
        <v>27</v>
      </c>
      <c r="L128">
        <v>190251</v>
      </c>
      <c r="M128" t="s">
        <v>32</v>
      </c>
      <c r="O128">
        <v>1</v>
      </c>
    </row>
    <row r="129" spans="1:18" x14ac:dyDescent="0.25">
      <c r="A129">
        <v>8003879954</v>
      </c>
      <c r="B129">
        <v>2</v>
      </c>
      <c r="C129">
        <v>12072018</v>
      </c>
      <c r="D129">
        <v>343</v>
      </c>
      <c r="E129" t="s">
        <v>115</v>
      </c>
      <c r="F129">
        <v>9938</v>
      </c>
      <c r="G129" t="s">
        <v>1324</v>
      </c>
      <c r="H129" s="2">
        <v>22288</v>
      </c>
      <c r="I129" t="s">
        <v>26</v>
      </c>
      <c r="J129" s="2">
        <v>4258228.76</v>
      </c>
      <c r="K129" t="s">
        <v>27</v>
      </c>
      <c r="L129">
        <v>145857</v>
      </c>
      <c r="M129" t="s">
        <v>1325</v>
      </c>
      <c r="O129">
        <v>1</v>
      </c>
    </row>
    <row r="130" spans="1:18" x14ac:dyDescent="0.25">
      <c r="A130">
        <v>8003879954</v>
      </c>
      <c r="B130">
        <v>1</v>
      </c>
      <c r="C130">
        <v>12072018</v>
      </c>
      <c r="D130">
        <v>5</v>
      </c>
      <c r="E130" t="s">
        <v>54</v>
      </c>
      <c r="H130" s="2">
        <v>2600000</v>
      </c>
      <c r="I130" t="s">
        <v>27</v>
      </c>
      <c r="J130" s="2">
        <v>4280516.76</v>
      </c>
      <c r="K130" t="s">
        <v>27</v>
      </c>
      <c r="L130">
        <v>95205</v>
      </c>
      <c r="M130" t="s">
        <v>1315</v>
      </c>
      <c r="O130">
        <v>1</v>
      </c>
      <c r="P130" t="s">
        <v>1326</v>
      </c>
      <c r="Q130" t="s">
        <v>381</v>
      </c>
      <c r="R130" t="s">
        <v>382</v>
      </c>
    </row>
    <row r="131" spans="1:18" x14ac:dyDescent="0.25">
      <c r="A131">
        <v>8003879954</v>
      </c>
      <c r="B131">
        <v>2</v>
      </c>
      <c r="C131">
        <v>11072018</v>
      </c>
      <c r="D131">
        <v>819</v>
      </c>
      <c r="E131" t="s">
        <v>35</v>
      </c>
      <c r="H131" s="2">
        <v>0.5</v>
      </c>
      <c r="I131" t="s">
        <v>26</v>
      </c>
      <c r="J131" s="2">
        <v>1680516.76</v>
      </c>
      <c r="K131" t="s">
        <v>27</v>
      </c>
      <c r="L131">
        <v>11853</v>
      </c>
      <c r="M131" t="s">
        <v>32</v>
      </c>
      <c r="O131">
        <v>1</v>
      </c>
    </row>
    <row r="132" spans="1:18" x14ac:dyDescent="0.25">
      <c r="A132">
        <v>8003879954</v>
      </c>
      <c r="B132">
        <v>1</v>
      </c>
      <c r="C132">
        <v>11072018</v>
      </c>
      <c r="D132">
        <v>323</v>
      </c>
      <c r="E132" t="s">
        <v>50</v>
      </c>
      <c r="F132">
        <v>0</v>
      </c>
      <c r="G132" t="s">
        <v>1327</v>
      </c>
      <c r="H132" s="2">
        <v>170</v>
      </c>
      <c r="I132" t="s">
        <v>26</v>
      </c>
      <c r="J132" s="2">
        <v>1680517.26</v>
      </c>
      <c r="K132" t="s">
        <v>27</v>
      </c>
      <c r="L132">
        <v>11744</v>
      </c>
      <c r="M132" t="s">
        <v>32</v>
      </c>
      <c r="O132">
        <v>1</v>
      </c>
    </row>
    <row r="133" spans="1:18" x14ac:dyDescent="0.25">
      <c r="A133">
        <v>8003879954</v>
      </c>
      <c r="B133">
        <v>2</v>
      </c>
      <c r="C133">
        <v>10072018</v>
      </c>
      <c r="D133">
        <v>343</v>
      </c>
      <c r="E133" t="s">
        <v>115</v>
      </c>
      <c r="F133">
        <v>9938</v>
      </c>
      <c r="G133" t="s">
        <v>1328</v>
      </c>
      <c r="H133" s="2">
        <v>1556.7</v>
      </c>
      <c r="I133" t="s">
        <v>26</v>
      </c>
      <c r="J133" s="2">
        <v>1680687.26</v>
      </c>
      <c r="K133" t="s">
        <v>27</v>
      </c>
      <c r="L133">
        <v>141403</v>
      </c>
      <c r="M133" t="s">
        <v>1329</v>
      </c>
      <c r="O133">
        <v>1</v>
      </c>
    </row>
    <row r="134" spans="1:18" x14ac:dyDescent="0.25">
      <c r="A134">
        <v>8003879954</v>
      </c>
      <c r="B134">
        <v>1</v>
      </c>
      <c r="C134">
        <v>10072018</v>
      </c>
      <c r="D134">
        <v>343</v>
      </c>
      <c r="E134" t="s">
        <v>115</v>
      </c>
      <c r="F134">
        <v>9938</v>
      </c>
      <c r="G134" t="s">
        <v>1330</v>
      </c>
      <c r="H134" s="2">
        <v>4608.8500000000004</v>
      </c>
      <c r="I134" t="s">
        <v>26</v>
      </c>
      <c r="J134" s="2">
        <v>1682243.96</v>
      </c>
      <c r="K134" t="s">
        <v>27</v>
      </c>
      <c r="L134">
        <v>141401</v>
      </c>
      <c r="M134" t="s">
        <v>1331</v>
      </c>
      <c r="O134">
        <v>1</v>
      </c>
    </row>
    <row r="135" spans="1:18" x14ac:dyDescent="0.25">
      <c r="A135">
        <v>8003879954</v>
      </c>
      <c r="B135">
        <v>54</v>
      </c>
      <c r="C135">
        <v>6072018</v>
      </c>
      <c r="D135">
        <v>341</v>
      </c>
      <c r="E135" t="s">
        <v>25</v>
      </c>
      <c r="F135">
        <v>9938</v>
      </c>
      <c r="G135" t="s">
        <v>1332</v>
      </c>
      <c r="H135" s="2">
        <v>14</v>
      </c>
      <c r="I135" t="s">
        <v>26</v>
      </c>
      <c r="J135" s="2">
        <v>1686852.81</v>
      </c>
      <c r="K135" t="s">
        <v>27</v>
      </c>
      <c r="L135">
        <v>164717</v>
      </c>
      <c r="M135" t="s">
        <v>111</v>
      </c>
      <c r="O135">
        <v>1</v>
      </c>
      <c r="P135" t="s">
        <v>1333</v>
      </c>
      <c r="Q135" t="s">
        <v>1334</v>
      </c>
    </row>
    <row r="136" spans="1:18" x14ac:dyDescent="0.25">
      <c r="A136">
        <v>8003879954</v>
      </c>
      <c r="B136">
        <v>53</v>
      </c>
      <c r="C136">
        <v>6072018</v>
      </c>
      <c r="D136">
        <v>489</v>
      </c>
      <c r="E136" t="s">
        <v>31</v>
      </c>
      <c r="F136">
        <v>9938</v>
      </c>
      <c r="G136" t="s">
        <v>1332</v>
      </c>
      <c r="H136" s="2">
        <v>0.1</v>
      </c>
      <c r="I136" t="s">
        <v>26</v>
      </c>
      <c r="J136" s="2">
        <v>1686866.81</v>
      </c>
      <c r="K136" t="s">
        <v>27</v>
      </c>
      <c r="L136">
        <v>164717</v>
      </c>
      <c r="M136" t="s">
        <v>1335</v>
      </c>
      <c r="O136">
        <v>1</v>
      </c>
    </row>
    <row r="137" spans="1:18" x14ac:dyDescent="0.25">
      <c r="A137">
        <v>8003879954</v>
      </c>
      <c r="B137">
        <v>52</v>
      </c>
      <c r="C137">
        <v>6072018</v>
      </c>
      <c r="D137">
        <v>341</v>
      </c>
      <c r="E137" t="s">
        <v>25</v>
      </c>
      <c r="F137">
        <v>9938</v>
      </c>
      <c r="G137" t="s">
        <v>1336</v>
      </c>
      <c r="H137" s="2">
        <v>90</v>
      </c>
      <c r="I137" t="s">
        <v>26</v>
      </c>
      <c r="J137" s="2">
        <v>1686866.91</v>
      </c>
      <c r="K137" t="s">
        <v>27</v>
      </c>
      <c r="L137">
        <v>164611</v>
      </c>
      <c r="M137" t="s">
        <v>1337</v>
      </c>
      <c r="O137">
        <v>1</v>
      </c>
      <c r="P137" t="s">
        <v>1338</v>
      </c>
      <c r="Q137" t="s">
        <v>1339</v>
      </c>
    </row>
    <row r="138" spans="1:18" x14ac:dyDescent="0.25">
      <c r="A138">
        <v>8003879954</v>
      </c>
      <c r="B138">
        <v>51</v>
      </c>
      <c r="C138">
        <v>6072018</v>
      </c>
      <c r="D138">
        <v>489</v>
      </c>
      <c r="E138" t="s">
        <v>31</v>
      </c>
      <c r="F138">
        <v>9938</v>
      </c>
      <c r="G138" t="s">
        <v>1336</v>
      </c>
      <c r="H138" s="2">
        <v>0.1</v>
      </c>
      <c r="I138" t="s">
        <v>26</v>
      </c>
      <c r="J138" s="2">
        <v>1686956.91</v>
      </c>
      <c r="K138" t="s">
        <v>27</v>
      </c>
      <c r="L138">
        <v>164611</v>
      </c>
      <c r="M138" t="s">
        <v>1340</v>
      </c>
      <c r="O138">
        <v>1</v>
      </c>
    </row>
    <row r="139" spans="1:18" x14ac:dyDescent="0.25">
      <c r="A139">
        <v>8003879954</v>
      </c>
      <c r="B139">
        <v>50</v>
      </c>
      <c r="C139">
        <v>6072018</v>
      </c>
      <c r="D139">
        <v>341</v>
      </c>
      <c r="E139" t="s">
        <v>25</v>
      </c>
      <c r="F139">
        <v>9938</v>
      </c>
      <c r="G139" t="s">
        <v>1341</v>
      </c>
      <c r="H139" s="2">
        <v>150</v>
      </c>
      <c r="I139" t="s">
        <v>26</v>
      </c>
      <c r="J139" s="2">
        <v>1686957.01</v>
      </c>
      <c r="K139" t="s">
        <v>27</v>
      </c>
      <c r="L139">
        <v>164513</v>
      </c>
      <c r="M139" t="s">
        <v>1004</v>
      </c>
      <c r="O139">
        <v>1</v>
      </c>
      <c r="P139" t="s">
        <v>1342</v>
      </c>
      <c r="Q139" t="s">
        <v>1343</v>
      </c>
    </row>
    <row r="140" spans="1:18" x14ac:dyDescent="0.25">
      <c r="A140">
        <v>8003879954</v>
      </c>
      <c r="B140">
        <v>49</v>
      </c>
      <c r="C140">
        <v>6072018</v>
      </c>
      <c r="D140">
        <v>489</v>
      </c>
      <c r="E140" t="s">
        <v>31</v>
      </c>
      <c r="F140">
        <v>9938</v>
      </c>
      <c r="G140" t="s">
        <v>1341</v>
      </c>
      <c r="H140" s="2">
        <v>0.1</v>
      </c>
      <c r="I140" t="s">
        <v>26</v>
      </c>
      <c r="J140" s="2">
        <v>1687107.01</v>
      </c>
      <c r="K140" t="s">
        <v>27</v>
      </c>
      <c r="L140">
        <v>164513</v>
      </c>
      <c r="M140" t="s">
        <v>1344</v>
      </c>
      <c r="O140">
        <v>1</v>
      </c>
    </row>
    <row r="141" spans="1:18" x14ac:dyDescent="0.25">
      <c r="A141">
        <v>8003879954</v>
      </c>
      <c r="B141">
        <v>48</v>
      </c>
      <c r="C141">
        <v>6072018</v>
      </c>
      <c r="D141">
        <v>341</v>
      </c>
      <c r="E141" t="s">
        <v>25</v>
      </c>
      <c r="F141">
        <v>9938</v>
      </c>
      <c r="G141" t="s">
        <v>1345</v>
      </c>
      <c r="H141" s="2">
        <v>198</v>
      </c>
      <c r="I141" t="s">
        <v>26</v>
      </c>
      <c r="J141" s="2">
        <v>1687107.11</v>
      </c>
      <c r="K141" t="s">
        <v>27</v>
      </c>
      <c r="L141">
        <v>163741</v>
      </c>
      <c r="M141" t="s">
        <v>39</v>
      </c>
      <c r="O141">
        <v>1</v>
      </c>
      <c r="P141" t="s">
        <v>1346</v>
      </c>
      <c r="Q141" t="s">
        <v>1347</v>
      </c>
    </row>
    <row r="142" spans="1:18" x14ac:dyDescent="0.25">
      <c r="A142">
        <v>8003879954</v>
      </c>
      <c r="B142">
        <v>47</v>
      </c>
      <c r="C142">
        <v>6072018</v>
      </c>
      <c r="D142">
        <v>489</v>
      </c>
      <c r="E142" t="s">
        <v>31</v>
      </c>
      <c r="F142">
        <v>9938</v>
      </c>
      <c r="G142" t="s">
        <v>1345</v>
      </c>
      <c r="H142" s="2">
        <v>0.1</v>
      </c>
      <c r="I142" t="s">
        <v>26</v>
      </c>
      <c r="J142" s="2">
        <v>1687305.11</v>
      </c>
      <c r="K142" t="s">
        <v>27</v>
      </c>
      <c r="L142">
        <v>163741</v>
      </c>
      <c r="M142" t="s">
        <v>1348</v>
      </c>
      <c r="O142">
        <v>1</v>
      </c>
    </row>
    <row r="143" spans="1:18" x14ac:dyDescent="0.25">
      <c r="A143">
        <v>8003879954</v>
      </c>
      <c r="B143">
        <v>46</v>
      </c>
      <c r="C143">
        <v>6072018</v>
      </c>
      <c r="D143">
        <v>341</v>
      </c>
      <c r="E143" t="s">
        <v>25</v>
      </c>
      <c r="F143">
        <v>9938</v>
      </c>
      <c r="G143" t="s">
        <v>1349</v>
      </c>
      <c r="H143" s="2">
        <v>230</v>
      </c>
      <c r="I143" t="s">
        <v>26</v>
      </c>
      <c r="J143" s="2">
        <v>1687305.21</v>
      </c>
      <c r="K143" t="s">
        <v>27</v>
      </c>
      <c r="L143">
        <v>163715</v>
      </c>
      <c r="M143" t="s">
        <v>212</v>
      </c>
      <c r="O143">
        <v>1</v>
      </c>
      <c r="P143" t="s">
        <v>1350</v>
      </c>
      <c r="Q143" t="s">
        <v>1351</v>
      </c>
    </row>
    <row r="144" spans="1:18" x14ac:dyDescent="0.25">
      <c r="A144">
        <v>8003879954</v>
      </c>
      <c r="B144">
        <v>45</v>
      </c>
      <c r="C144">
        <v>6072018</v>
      </c>
      <c r="D144">
        <v>489</v>
      </c>
      <c r="E144" t="s">
        <v>31</v>
      </c>
      <c r="F144">
        <v>9938</v>
      </c>
      <c r="G144" t="s">
        <v>1349</v>
      </c>
      <c r="H144" s="2">
        <v>0.1</v>
      </c>
      <c r="I144" t="s">
        <v>26</v>
      </c>
      <c r="J144" s="2">
        <v>1687535.21</v>
      </c>
      <c r="K144" t="s">
        <v>27</v>
      </c>
      <c r="L144">
        <v>163715</v>
      </c>
      <c r="M144" t="s">
        <v>1352</v>
      </c>
      <c r="O144">
        <v>1</v>
      </c>
    </row>
    <row r="145" spans="1:17" x14ac:dyDescent="0.25">
      <c r="A145">
        <v>8003879954</v>
      </c>
      <c r="B145">
        <v>44</v>
      </c>
      <c r="C145">
        <v>6072018</v>
      </c>
      <c r="D145">
        <v>341</v>
      </c>
      <c r="E145" t="s">
        <v>25</v>
      </c>
      <c r="F145">
        <v>9938</v>
      </c>
      <c r="G145" t="s">
        <v>1353</v>
      </c>
      <c r="H145" s="2">
        <v>240</v>
      </c>
      <c r="I145" t="s">
        <v>26</v>
      </c>
      <c r="J145" s="2">
        <v>1687535.31</v>
      </c>
      <c r="K145" t="s">
        <v>27</v>
      </c>
      <c r="L145">
        <v>163704</v>
      </c>
      <c r="M145" t="s">
        <v>40</v>
      </c>
      <c r="O145">
        <v>1</v>
      </c>
      <c r="P145" t="s">
        <v>1354</v>
      </c>
      <c r="Q145" t="s">
        <v>1355</v>
      </c>
    </row>
    <row r="146" spans="1:17" x14ac:dyDescent="0.25">
      <c r="A146">
        <v>8003879954</v>
      </c>
      <c r="B146">
        <v>43</v>
      </c>
      <c r="C146">
        <v>6072018</v>
      </c>
      <c r="D146">
        <v>489</v>
      </c>
      <c r="E146" t="s">
        <v>31</v>
      </c>
      <c r="F146">
        <v>9938</v>
      </c>
      <c r="G146" t="s">
        <v>1353</v>
      </c>
      <c r="H146" s="2">
        <v>0.1</v>
      </c>
      <c r="I146" t="s">
        <v>26</v>
      </c>
      <c r="J146" s="2">
        <v>1687775.31</v>
      </c>
      <c r="K146" t="s">
        <v>27</v>
      </c>
      <c r="L146">
        <v>163704</v>
      </c>
      <c r="M146" t="s">
        <v>1356</v>
      </c>
      <c r="O146">
        <v>1</v>
      </c>
    </row>
    <row r="147" spans="1:17" x14ac:dyDescent="0.25">
      <c r="A147">
        <v>8003879954</v>
      </c>
      <c r="B147">
        <v>42</v>
      </c>
      <c r="C147">
        <v>6072018</v>
      </c>
      <c r="D147">
        <v>341</v>
      </c>
      <c r="E147" t="s">
        <v>25</v>
      </c>
      <c r="F147">
        <v>9938</v>
      </c>
      <c r="G147" t="s">
        <v>1357</v>
      </c>
      <c r="H147" s="2">
        <v>240</v>
      </c>
      <c r="I147" t="s">
        <v>26</v>
      </c>
      <c r="J147" s="2">
        <v>1687775.41</v>
      </c>
      <c r="K147" t="s">
        <v>27</v>
      </c>
      <c r="L147">
        <v>163703</v>
      </c>
      <c r="M147" t="s">
        <v>722</v>
      </c>
      <c r="O147">
        <v>1</v>
      </c>
      <c r="P147" t="s">
        <v>1358</v>
      </c>
      <c r="Q147" t="s">
        <v>44</v>
      </c>
    </row>
    <row r="148" spans="1:17" x14ac:dyDescent="0.25">
      <c r="A148">
        <v>8003879954</v>
      </c>
      <c r="B148">
        <v>41</v>
      </c>
      <c r="C148">
        <v>6072018</v>
      </c>
      <c r="D148">
        <v>489</v>
      </c>
      <c r="E148" t="s">
        <v>31</v>
      </c>
      <c r="F148">
        <v>9938</v>
      </c>
      <c r="G148" t="s">
        <v>1357</v>
      </c>
      <c r="H148" s="2">
        <v>0.1</v>
      </c>
      <c r="I148" t="s">
        <v>26</v>
      </c>
      <c r="J148" s="2">
        <v>1688015.41</v>
      </c>
      <c r="K148" t="s">
        <v>27</v>
      </c>
      <c r="L148">
        <v>163703</v>
      </c>
      <c r="M148" t="s">
        <v>1359</v>
      </c>
      <c r="O148">
        <v>1</v>
      </c>
    </row>
    <row r="149" spans="1:17" x14ac:dyDescent="0.25">
      <c r="A149">
        <v>8003879954</v>
      </c>
      <c r="B149">
        <v>40</v>
      </c>
      <c r="C149">
        <v>6072018</v>
      </c>
      <c r="D149">
        <v>341</v>
      </c>
      <c r="E149" t="s">
        <v>25</v>
      </c>
      <c r="F149">
        <v>9938</v>
      </c>
      <c r="G149" t="s">
        <v>1360</v>
      </c>
      <c r="H149" s="2">
        <v>270</v>
      </c>
      <c r="I149" t="s">
        <v>26</v>
      </c>
      <c r="J149" s="2">
        <v>1688015.51</v>
      </c>
      <c r="K149" t="s">
        <v>27</v>
      </c>
      <c r="L149">
        <v>163645</v>
      </c>
      <c r="M149" t="s">
        <v>47</v>
      </c>
      <c r="O149">
        <v>1</v>
      </c>
      <c r="P149" t="s">
        <v>1361</v>
      </c>
      <c r="Q149" t="s">
        <v>1362</v>
      </c>
    </row>
    <row r="150" spans="1:17" x14ac:dyDescent="0.25">
      <c r="A150">
        <v>8003879954</v>
      </c>
      <c r="B150">
        <v>39</v>
      </c>
      <c r="C150">
        <v>6072018</v>
      </c>
      <c r="D150">
        <v>489</v>
      </c>
      <c r="E150" t="s">
        <v>31</v>
      </c>
      <c r="F150">
        <v>9938</v>
      </c>
      <c r="G150" t="s">
        <v>1360</v>
      </c>
      <c r="H150" s="2">
        <v>0.1</v>
      </c>
      <c r="I150" t="s">
        <v>26</v>
      </c>
      <c r="J150" s="2">
        <v>1688285.51</v>
      </c>
      <c r="K150" t="s">
        <v>27</v>
      </c>
      <c r="L150">
        <v>163645</v>
      </c>
      <c r="M150" t="s">
        <v>1363</v>
      </c>
      <c r="O150">
        <v>1</v>
      </c>
    </row>
    <row r="151" spans="1:17" x14ac:dyDescent="0.25">
      <c r="A151">
        <v>8003879954</v>
      </c>
      <c r="B151">
        <v>38</v>
      </c>
      <c r="C151">
        <v>6072018</v>
      </c>
      <c r="D151">
        <v>341</v>
      </c>
      <c r="E151" t="s">
        <v>25</v>
      </c>
      <c r="F151">
        <v>9938</v>
      </c>
      <c r="G151" t="s">
        <v>1364</v>
      </c>
      <c r="H151" s="2">
        <v>325</v>
      </c>
      <c r="I151" t="s">
        <v>26</v>
      </c>
      <c r="J151" s="2">
        <v>1688285.61</v>
      </c>
      <c r="K151" t="s">
        <v>27</v>
      </c>
      <c r="L151">
        <v>163558</v>
      </c>
      <c r="M151" t="s">
        <v>1365</v>
      </c>
      <c r="O151">
        <v>1</v>
      </c>
      <c r="P151" t="s">
        <v>1366</v>
      </c>
      <c r="Q151" t="s">
        <v>1367</v>
      </c>
    </row>
    <row r="152" spans="1:17" x14ac:dyDescent="0.25">
      <c r="A152">
        <v>8003879954</v>
      </c>
      <c r="B152">
        <v>37</v>
      </c>
      <c r="C152">
        <v>6072018</v>
      </c>
      <c r="D152">
        <v>489</v>
      </c>
      <c r="E152" t="s">
        <v>31</v>
      </c>
      <c r="F152">
        <v>9938</v>
      </c>
      <c r="G152" t="s">
        <v>1364</v>
      </c>
      <c r="H152" s="2">
        <v>0.1</v>
      </c>
      <c r="I152" t="s">
        <v>26</v>
      </c>
      <c r="J152" s="2">
        <v>1688610.61</v>
      </c>
      <c r="K152" t="s">
        <v>27</v>
      </c>
      <c r="L152">
        <v>163558</v>
      </c>
      <c r="M152" t="s">
        <v>1368</v>
      </c>
      <c r="O152">
        <v>1</v>
      </c>
    </row>
    <row r="153" spans="1:17" x14ac:dyDescent="0.25">
      <c r="A153">
        <v>8003879954</v>
      </c>
      <c r="B153">
        <v>36</v>
      </c>
      <c r="C153">
        <v>6072018</v>
      </c>
      <c r="D153">
        <v>341</v>
      </c>
      <c r="E153" t="s">
        <v>25</v>
      </c>
      <c r="F153">
        <v>9938</v>
      </c>
      <c r="G153" t="s">
        <v>1369</v>
      </c>
      <c r="H153" s="2">
        <v>1237.5</v>
      </c>
      <c r="I153" t="s">
        <v>26</v>
      </c>
      <c r="J153" s="2">
        <v>1688610.71</v>
      </c>
      <c r="K153" t="s">
        <v>27</v>
      </c>
      <c r="L153">
        <v>162201</v>
      </c>
      <c r="M153" t="s">
        <v>1370</v>
      </c>
      <c r="O153">
        <v>1</v>
      </c>
      <c r="P153" t="s">
        <v>1371</v>
      </c>
      <c r="Q153" t="s">
        <v>1372</v>
      </c>
    </row>
    <row r="154" spans="1:17" x14ac:dyDescent="0.25">
      <c r="A154">
        <v>8003879954</v>
      </c>
      <c r="B154">
        <v>35</v>
      </c>
      <c r="C154">
        <v>6072018</v>
      </c>
      <c r="D154">
        <v>489</v>
      </c>
      <c r="E154" t="s">
        <v>31</v>
      </c>
      <c r="F154">
        <v>9938</v>
      </c>
      <c r="G154" t="s">
        <v>1369</v>
      </c>
      <c r="H154" s="2">
        <v>0.1</v>
      </c>
      <c r="I154" t="s">
        <v>26</v>
      </c>
      <c r="J154" s="2">
        <v>1689848.21</v>
      </c>
      <c r="K154" t="s">
        <v>27</v>
      </c>
      <c r="L154">
        <v>162201</v>
      </c>
      <c r="M154" t="s">
        <v>1373</v>
      </c>
      <c r="O154">
        <v>1</v>
      </c>
    </row>
    <row r="155" spans="1:17" x14ac:dyDescent="0.25">
      <c r="A155">
        <v>8003879954</v>
      </c>
      <c r="B155">
        <v>34</v>
      </c>
      <c r="C155">
        <v>6072018</v>
      </c>
      <c r="D155">
        <v>341</v>
      </c>
      <c r="E155" t="s">
        <v>25</v>
      </c>
      <c r="F155">
        <v>9938</v>
      </c>
      <c r="G155" t="s">
        <v>1374</v>
      </c>
      <c r="H155" s="2">
        <v>1500</v>
      </c>
      <c r="I155" t="s">
        <v>26</v>
      </c>
      <c r="J155" s="2">
        <v>1689848.31</v>
      </c>
      <c r="K155" t="s">
        <v>27</v>
      </c>
      <c r="L155">
        <v>162033</v>
      </c>
      <c r="M155" t="s">
        <v>810</v>
      </c>
      <c r="O155">
        <v>1</v>
      </c>
      <c r="P155" t="s">
        <v>1375</v>
      </c>
      <c r="Q155" t="s">
        <v>812</v>
      </c>
    </row>
    <row r="156" spans="1:17" x14ac:dyDescent="0.25">
      <c r="A156">
        <v>8003879954</v>
      </c>
      <c r="B156">
        <v>33</v>
      </c>
      <c r="C156">
        <v>6072018</v>
      </c>
      <c r="D156">
        <v>489</v>
      </c>
      <c r="E156" t="s">
        <v>31</v>
      </c>
      <c r="F156">
        <v>9938</v>
      </c>
      <c r="G156" t="s">
        <v>1374</v>
      </c>
      <c r="H156" s="2">
        <v>0.1</v>
      </c>
      <c r="I156" t="s">
        <v>26</v>
      </c>
      <c r="J156" s="2">
        <v>1691348.31</v>
      </c>
      <c r="K156" t="s">
        <v>27</v>
      </c>
      <c r="L156">
        <v>162033</v>
      </c>
      <c r="M156" t="s">
        <v>1376</v>
      </c>
      <c r="O156">
        <v>1</v>
      </c>
    </row>
    <row r="157" spans="1:17" x14ac:dyDescent="0.25">
      <c r="A157">
        <v>8003879954</v>
      </c>
      <c r="B157">
        <v>32</v>
      </c>
      <c r="C157">
        <v>6072018</v>
      </c>
      <c r="D157">
        <v>345</v>
      </c>
      <c r="E157" t="s">
        <v>51</v>
      </c>
      <c r="F157">
        <v>9938</v>
      </c>
      <c r="G157" t="s">
        <v>1377</v>
      </c>
      <c r="H157" s="2">
        <v>123.5</v>
      </c>
      <c r="I157" t="s">
        <v>26</v>
      </c>
      <c r="J157" s="2">
        <v>1691348.41</v>
      </c>
      <c r="K157" t="s">
        <v>27</v>
      </c>
      <c r="L157">
        <v>162032</v>
      </c>
      <c r="M157" t="s">
        <v>1378</v>
      </c>
      <c r="O157">
        <v>1</v>
      </c>
      <c r="P157" t="s">
        <v>1379</v>
      </c>
      <c r="Q157" t="s">
        <v>52</v>
      </c>
    </row>
    <row r="158" spans="1:17" x14ac:dyDescent="0.25">
      <c r="A158">
        <v>8003879954</v>
      </c>
      <c r="B158">
        <v>31</v>
      </c>
      <c r="C158">
        <v>6072018</v>
      </c>
      <c r="D158">
        <v>60</v>
      </c>
      <c r="E158" t="s">
        <v>37</v>
      </c>
      <c r="F158">
        <v>9938</v>
      </c>
      <c r="G158" t="s">
        <v>1380</v>
      </c>
      <c r="H158" s="2">
        <v>270</v>
      </c>
      <c r="I158" t="s">
        <v>26</v>
      </c>
      <c r="J158" s="2">
        <v>1691471.91</v>
      </c>
      <c r="K158" t="s">
        <v>27</v>
      </c>
      <c r="L158">
        <v>161915</v>
      </c>
      <c r="M158" t="s">
        <v>1381</v>
      </c>
      <c r="O158">
        <v>1</v>
      </c>
      <c r="P158" t="s">
        <v>1382</v>
      </c>
      <c r="Q158" t="s">
        <v>1383</v>
      </c>
    </row>
    <row r="159" spans="1:17" x14ac:dyDescent="0.25">
      <c r="A159">
        <v>8003879954</v>
      </c>
      <c r="B159">
        <v>30</v>
      </c>
      <c r="C159">
        <v>6072018</v>
      </c>
      <c r="D159">
        <v>60</v>
      </c>
      <c r="E159" t="s">
        <v>37</v>
      </c>
      <c r="F159">
        <v>9938</v>
      </c>
      <c r="G159" t="s">
        <v>1384</v>
      </c>
      <c r="H159" s="2">
        <v>390</v>
      </c>
      <c r="I159" t="s">
        <v>26</v>
      </c>
      <c r="J159" s="2">
        <v>1691741.91</v>
      </c>
      <c r="K159" t="s">
        <v>27</v>
      </c>
      <c r="L159">
        <v>161836</v>
      </c>
      <c r="M159" t="s">
        <v>1385</v>
      </c>
      <c r="O159">
        <v>1</v>
      </c>
      <c r="P159" t="s">
        <v>1386</v>
      </c>
      <c r="Q159" t="s">
        <v>1387</v>
      </c>
    </row>
    <row r="160" spans="1:17" x14ac:dyDescent="0.25">
      <c r="A160">
        <v>8003879954</v>
      </c>
      <c r="B160">
        <v>29</v>
      </c>
      <c r="C160">
        <v>6072018</v>
      </c>
      <c r="D160">
        <v>60</v>
      </c>
      <c r="E160" t="s">
        <v>37</v>
      </c>
      <c r="F160">
        <v>9938</v>
      </c>
      <c r="G160" t="s">
        <v>1388</v>
      </c>
      <c r="H160" s="2">
        <v>480</v>
      </c>
      <c r="I160" t="s">
        <v>26</v>
      </c>
      <c r="J160" s="2">
        <v>1692131.91</v>
      </c>
      <c r="K160" t="s">
        <v>27</v>
      </c>
      <c r="L160">
        <v>161810</v>
      </c>
      <c r="M160" t="s">
        <v>1389</v>
      </c>
      <c r="O160">
        <v>1</v>
      </c>
      <c r="P160" t="s">
        <v>1390</v>
      </c>
      <c r="Q160" t="s">
        <v>1391</v>
      </c>
    </row>
    <row r="161" spans="1:17" x14ac:dyDescent="0.25">
      <c r="A161">
        <v>8003879954</v>
      </c>
      <c r="B161">
        <v>28</v>
      </c>
      <c r="C161">
        <v>6072018</v>
      </c>
      <c r="D161">
        <v>341</v>
      </c>
      <c r="E161" t="s">
        <v>25</v>
      </c>
      <c r="F161">
        <v>9938</v>
      </c>
      <c r="G161" t="s">
        <v>1392</v>
      </c>
      <c r="H161" s="2">
        <v>2000</v>
      </c>
      <c r="I161" t="s">
        <v>26</v>
      </c>
      <c r="J161" s="2">
        <v>1692611.91</v>
      </c>
      <c r="K161" t="s">
        <v>27</v>
      </c>
      <c r="L161">
        <v>161811</v>
      </c>
      <c r="M161" t="s">
        <v>43</v>
      </c>
      <c r="O161">
        <v>1</v>
      </c>
      <c r="P161" t="s">
        <v>1393</v>
      </c>
      <c r="Q161" t="s">
        <v>44</v>
      </c>
    </row>
    <row r="162" spans="1:17" x14ac:dyDescent="0.25">
      <c r="A162">
        <v>8003879954</v>
      </c>
      <c r="B162">
        <v>27</v>
      </c>
      <c r="C162">
        <v>6072018</v>
      </c>
      <c r="D162">
        <v>489</v>
      </c>
      <c r="E162" t="s">
        <v>31</v>
      </c>
      <c r="F162">
        <v>9938</v>
      </c>
      <c r="G162" t="s">
        <v>1392</v>
      </c>
      <c r="H162" s="2">
        <v>0.1</v>
      </c>
      <c r="I162" t="s">
        <v>26</v>
      </c>
      <c r="J162" s="2">
        <v>1694611.91</v>
      </c>
      <c r="K162" t="s">
        <v>27</v>
      </c>
      <c r="L162">
        <v>161811</v>
      </c>
      <c r="M162" t="s">
        <v>1394</v>
      </c>
      <c r="O162">
        <v>1</v>
      </c>
    </row>
    <row r="163" spans="1:17" x14ac:dyDescent="0.25">
      <c r="A163">
        <v>8003879954</v>
      </c>
      <c r="B163">
        <v>26</v>
      </c>
      <c r="C163">
        <v>6072018</v>
      </c>
      <c r="D163">
        <v>341</v>
      </c>
      <c r="E163" t="s">
        <v>25</v>
      </c>
      <c r="F163">
        <v>9938</v>
      </c>
      <c r="G163" t="s">
        <v>1395</v>
      </c>
      <c r="H163" s="2">
        <v>2600</v>
      </c>
      <c r="I163" t="s">
        <v>26</v>
      </c>
      <c r="J163" s="2">
        <v>1694612.01</v>
      </c>
      <c r="K163" t="s">
        <v>27</v>
      </c>
      <c r="L163">
        <v>161644</v>
      </c>
      <c r="M163" t="s">
        <v>46</v>
      </c>
      <c r="O163">
        <v>1</v>
      </c>
      <c r="P163" t="s">
        <v>1396</v>
      </c>
      <c r="Q163" t="s">
        <v>1397</v>
      </c>
    </row>
    <row r="164" spans="1:17" x14ac:dyDescent="0.25">
      <c r="A164">
        <v>8003879954</v>
      </c>
      <c r="B164">
        <v>25</v>
      </c>
      <c r="C164">
        <v>6072018</v>
      </c>
      <c r="D164">
        <v>489</v>
      </c>
      <c r="E164" t="s">
        <v>31</v>
      </c>
      <c r="F164">
        <v>9938</v>
      </c>
      <c r="G164" t="s">
        <v>1395</v>
      </c>
      <c r="H164" s="2">
        <v>0.1</v>
      </c>
      <c r="I164" t="s">
        <v>26</v>
      </c>
      <c r="J164" s="2">
        <v>1697212.01</v>
      </c>
      <c r="K164" t="s">
        <v>27</v>
      </c>
      <c r="L164">
        <v>161644</v>
      </c>
      <c r="M164" t="s">
        <v>1398</v>
      </c>
      <c r="O164">
        <v>1</v>
      </c>
    </row>
    <row r="165" spans="1:17" x14ac:dyDescent="0.25">
      <c r="A165">
        <v>8003879954</v>
      </c>
      <c r="B165">
        <v>24</v>
      </c>
      <c r="C165">
        <v>6072018</v>
      </c>
      <c r="D165">
        <v>341</v>
      </c>
      <c r="E165" t="s">
        <v>25</v>
      </c>
      <c r="F165">
        <v>9938</v>
      </c>
      <c r="G165" t="s">
        <v>1399</v>
      </c>
      <c r="H165" s="2">
        <v>2836</v>
      </c>
      <c r="I165" t="s">
        <v>26</v>
      </c>
      <c r="J165" s="2">
        <v>1697212.11</v>
      </c>
      <c r="K165" t="s">
        <v>27</v>
      </c>
      <c r="L165">
        <v>161609</v>
      </c>
      <c r="M165" t="s">
        <v>408</v>
      </c>
      <c r="O165">
        <v>1</v>
      </c>
      <c r="P165" t="s">
        <v>1400</v>
      </c>
      <c r="Q165" t="s">
        <v>1401</v>
      </c>
    </row>
    <row r="166" spans="1:17" x14ac:dyDescent="0.25">
      <c r="A166">
        <v>8003879954</v>
      </c>
      <c r="B166">
        <v>23</v>
      </c>
      <c r="C166">
        <v>6072018</v>
      </c>
      <c r="D166">
        <v>489</v>
      </c>
      <c r="E166" t="s">
        <v>31</v>
      </c>
      <c r="F166">
        <v>9938</v>
      </c>
      <c r="G166" t="s">
        <v>1399</v>
      </c>
      <c r="H166" s="2">
        <v>0.1</v>
      </c>
      <c r="I166" t="s">
        <v>26</v>
      </c>
      <c r="J166" s="2">
        <v>1700048.11</v>
      </c>
      <c r="K166" t="s">
        <v>27</v>
      </c>
      <c r="L166">
        <v>161609</v>
      </c>
      <c r="M166" t="s">
        <v>1402</v>
      </c>
      <c r="O166">
        <v>1</v>
      </c>
    </row>
    <row r="167" spans="1:17" x14ac:dyDescent="0.25">
      <c r="A167">
        <v>8003879954</v>
      </c>
      <c r="B167">
        <v>22</v>
      </c>
      <c r="C167">
        <v>6072018</v>
      </c>
      <c r="D167">
        <v>341</v>
      </c>
      <c r="E167" t="s">
        <v>25</v>
      </c>
      <c r="F167">
        <v>9938</v>
      </c>
      <c r="G167" t="s">
        <v>1403</v>
      </c>
      <c r="H167" s="2">
        <v>3020</v>
      </c>
      <c r="I167" t="s">
        <v>26</v>
      </c>
      <c r="J167" s="2">
        <v>1700048.21</v>
      </c>
      <c r="K167" t="s">
        <v>27</v>
      </c>
      <c r="L167">
        <v>161549</v>
      </c>
      <c r="M167" t="s">
        <v>1404</v>
      </c>
      <c r="O167">
        <v>1</v>
      </c>
      <c r="P167" t="s">
        <v>1405</v>
      </c>
      <c r="Q167" t="s">
        <v>1406</v>
      </c>
    </row>
    <row r="168" spans="1:17" x14ac:dyDescent="0.25">
      <c r="A168">
        <v>8003879954</v>
      </c>
      <c r="B168">
        <v>21</v>
      </c>
      <c r="C168">
        <v>6072018</v>
      </c>
      <c r="D168">
        <v>489</v>
      </c>
      <c r="E168" t="s">
        <v>31</v>
      </c>
      <c r="F168">
        <v>9938</v>
      </c>
      <c r="G168" t="s">
        <v>1403</v>
      </c>
      <c r="H168" s="2">
        <v>0.1</v>
      </c>
      <c r="I168" t="s">
        <v>26</v>
      </c>
      <c r="J168" s="2">
        <v>1703068.21</v>
      </c>
      <c r="K168" t="s">
        <v>27</v>
      </c>
      <c r="L168">
        <v>161549</v>
      </c>
      <c r="M168" t="s">
        <v>1407</v>
      </c>
      <c r="O168">
        <v>1</v>
      </c>
    </row>
    <row r="169" spans="1:17" x14ac:dyDescent="0.25">
      <c r="A169">
        <v>8003879954</v>
      </c>
      <c r="B169">
        <v>20</v>
      </c>
      <c r="C169">
        <v>6072018</v>
      </c>
      <c r="D169">
        <v>341</v>
      </c>
      <c r="E169" t="s">
        <v>25</v>
      </c>
      <c r="F169">
        <v>9938</v>
      </c>
      <c r="G169" t="s">
        <v>1408</v>
      </c>
      <c r="H169" s="2">
        <v>4000</v>
      </c>
      <c r="I169" t="s">
        <v>26</v>
      </c>
      <c r="J169" s="2">
        <v>1703068.31</v>
      </c>
      <c r="K169" t="s">
        <v>27</v>
      </c>
      <c r="L169">
        <v>160843</v>
      </c>
      <c r="M169" t="s">
        <v>314</v>
      </c>
      <c r="O169">
        <v>1</v>
      </c>
      <c r="P169" t="s">
        <v>1409</v>
      </c>
      <c r="Q169" t="s">
        <v>1410</v>
      </c>
    </row>
    <row r="170" spans="1:17" x14ac:dyDescent="0.25">
      <c r="A170">
        <v>8003879954</v>
      </c>
      <c r="B170">
        <v>19</v>
      </c>
      <c r="C170">
        <v>6072018</v>
      </c>
      <c r="D170">
        <v>489</v>
      </c>
      <c r="E170" t="s">
        <v>31</v>
      </c>
      <c r="F170">
        <v>9938</v>
      </c>
      <c r="G170" t="s">
        <v>1408</v>
      </c>
      <c r="H170" s="2">
        <v>0.1</v>
      </c>
      <c r="I170" t="s">
        <v>26</v>
      </c>
      <c r="J170" s="2">
        <v>1707068.31</v>
      </c>
      <c r="K170" t="s">
        <v>27</v>
      </c>
      <c r="L170">
        <v>160843</v>
      </c>
      <c r="M170" t="s">
        <v>1411</v>
      </c>
      <c r="O170">
        <v>1</v>
      </c>
    </row>
    <row r="171" spans="1:17" x14ac:dyDescent="0.25">
      <c r="A171">
        <v>8003879954</v>
      </c>
      <c r="B171">
        <v>18</v>
      </c>
      <c r="C171">
        <v>6072018</v>
      </c>
      <c r="D171">
        <v>341</v>
      </c>
      <c r="E171" t="s">
        <v>25</v>
      </c>
      <c r="F171">
        <v>9938</v>
      </c>
      <c r="G171" t="s">
        <v>1412</v>
      </c>
      <c r="H171" s="2">
        <v>4200</v>
      </c>
      <c r="I171" t="s">
        <v>26</v>
      </c>
      <c r="J171" s="2">
        <v>1707068.41</v>
      </c>
      <c r="K171" t="s">
        <v>27</v>
      </c>
      <c r="L171">
        <v>160824</v>
      </c>
      <c r="M171" t="s">
        <v>714</v>
      </c>
      <c r="O171">
        <v>1</v>
      </c>
      <c r="P171" t="s">
        <v>1413</v>
      </c>
      <c r="Q171" t="s">
        <v>1414</v>
      </c>
    </row>
    <row r="172" spans="1:17" x14ac:dyDescent="0.25">
      <c r="A172">
        <v>8003879954</v>
      </c>
      <c r="B172">
        <v>17</v>
      </c>
      <c r="C172">
        <v>6072018</v>
      </c>
      <c r="D172">
        <v>489</v>
      </c>
      <c r="E172" t="s">
        <v>31</v>
      </c>
      <c r="F172">
        <v>9938</v>
      </c>
      <c r="G172" t="s">
        <v>1412</v>
      </c>
      <c r="H172" s="2">
        <v>0.1</v>
      </c>
      <c r="I172" t="s">
        <v>26</v>
      </c>
      <c r="J172" s="2">
        <v>1711268.41</v>
      </c>
      <c r="K172" t="s">
        <v>27</v>
      </c>
      <c r="L172">
        <v>160824</v>
      </c>
      <c r="M172" t="s">
        <v>1415</v>
      </c>
      <c r="O172">
        <v>1</v>
      </c>
    </row>
    <row r="173" spans="1:17" x14ac:dyDescent="0.25">
      <c r="A173">
        <v>8003879954</v>
      </c>
      <c r="B173">
        <v>16</v>
      </c>
      <c r="C173">
        <v>6072018</v>
      </c>
      <c r="D173">
        <v>341</v>
      </c>
      <c r="E173" t="s">
        <v>25</v>
      </c>
      <c r="F173">
        <v>9938</v>
      </c>
      <c r="G173" t="s">
        <v>1416</v>
      </c>
      <c r="H173" s="2">
        <v>4357</v>
      </c>
      <c r="I173" t="s">
        <v>26</v>
      </c>
      <c r="J173" s="2">
        <v>1711268.51</v>
      </c>
      <c r="K173" t="s">
        <v>27</v>
      </c>
      <c r="L173">
        <v>160809</v>
      </c>
      <c r="M173" t="s">
        <v>263</v>
      </c>
      <c r="O173">
        <v>1</v>
      </c>
      <c r="P173" t="s">
        <v>1417</v>
      </c>
      <c r="Q173" t="s">
        <v>1418</v>
      </c>
    </row>
    <row r="174" spans="1:17" x14ac:dyDescent="0.25">
      <c r="A174">
        <v>8003879954</v>
      </c>
      <c r="B174">
        <v>15</v>
      </c>
      <c r="C174">
        <v>6072018</v>
      </c>
      <c r="D174">
        <v>489</v>
      </c>
      <c r="E174" t="s">
        <v>31</v>
      </c>
      <c r="F174">
        <v>9938</v>
      </c>
      <c r="G174" t="s">
        <v>1416</v>
      </c>
      <c r="H174" s="2">
        <v>0.1</v>
      </c>
      <c r="I174" t="s">
        <v>26</v>
      </c>
      <c r="J174" s="2">
        <v>1715625.51</v>
      </c>
      <c r="K174" t="s">
        <v>27</v>
      </c>
      <c r="L174">
        <v>160809</v>
      </c>
      <c r="M174" t="s">
        <v>1419</v>
      </c>
      <c r="O174">
        <v>1</v>
      </c>
    </row>
    <row r="175" spans="1:17" x14ac:dyDescent="0.25">
      <c r="A175">
        <v>8003879954</v>
      </c>
      <c r="B175">
        <v>14</v>
      </c>
      <c r="C175">
        <v>6072018</v>
      </c>
      <c r="D175">
        <v>341</v>
      </c>
      <c r="E175" t="s">
        <v>25</v>
      </c>
      <c r="F175">
        <v>9938</v>
      </c>
      <c r="G175" t="s">
        <v>1420</v>
      </c>
      <c r="H175" s="2">
        <v>5102.9399999999996</v>
      </c>
      <c r="I175" t="s">
        <v>26</v>
      </c>
      <c r="J175" s="2">
        <v>1715625.61</v>
      </c>
      <c r="K175" t="s">
        <v>27</v>
      </c>
      <c r="L175">
        <v>160723</v>
      </c>
      <c r="M175" t="s">
        <v>1079</v>
      </c>
      <c r="O175">
        <v>1</v>
      </c>
      <c r="P175" t="s">
        <v>1421</v>
      </c>
      <c r="Q175" t="s">
        <v>1422</v>
      </c>
    </row>
    <row r="176" spans="1:17" x14ac:dyDescent="0.25">
      <c r="A176">
        <v>8003879954</v>
      </c>
      <c r="B176">
        <v>13</v>
      </c>
      <c r="C176">
        <v>6072018</v>
      </c>
      <c r="D176">
        <v>489</v>
      </c>
      <c r="E176" t="s">
        <v>31</v>
      </c>
      <c r="F176">
        <v>9938</v>
      </c>
      <c r="G176" t="s">
        <v>1420</v>
      </c>
      <c r="H176" s="2">
        <v>0.1</v>
      </c>
      <c r="I176" t="s">
        <v>26</v>
      </c>
      <c r="J176" s="2">
        <v>1720728.55</v>
      </c>
      <c r="K176" t="s">
        <v>27</v>
      </c>
      <c r="L176">
        <v>160723</v>
      </c>
      <c r="M176" t="s">
        <v>1423</v>
      </c>
      <c r="O176">
        <v>1</v>
      </c>
    </row>
    <row r="177" spans="1:17" x14ac:dyDescent="0.25">
      <c r="A177">
        <v>8003879954</v>
      </c>
      <c r="B177">
        <v>12</v>
      </c>
      <c r="C177">
        <v>6072018</v>
      </c>
      <c r="D177">
        <v>60</v>
      </c>
      <c r="E177" t="s">
        <v>37</v>
      </c>
      <c r="F177">
        <v>9938</v>
      </c>
      <c r="G177" t="s">
        <v>1424</v>
      </c>
      <c r="H177" s="2">
        <v>1860</v>
      </c>
      <c r="I177" t="s">
        <v>26</v>
      </c>
      <c r="J177" s="2">
        <v>1720728.65</v>
      </c>
      <c r="K177" t="s">
        <v>27</v>
      </c>
      <c r="L177">
        <v>160618</v>
      </c>
      <c r="M177" t="s">
        <v>1425</v>
      </c>
      <c r="O177">
        <v>1</v>
      </c>
      <c r="P177" t="s">
        <v>1426</v>
      </c>
      <c r="Q177" t="s">
        <v>1427</v>
      </c>
    </row>
    <row r="178" spans="1:17" x14ac:dyDescent="0.25">
      <c r="A178">
        <v>8003879954</v>
      </c>
      <c r="B178">
        <v>11</v>
      </c>
      <c r="C178">
        <v>6072018</v>
      </c>
      <c r="D178">
        <v>60</v>
      </c>
      <c r="E178" t="s">
        <v>37</v>
      </c>
      <c r="F178">
        <v>9938</v>
      </c>
      <c r="G178" t="s">
        <v>1428</v>
      </c>
      <c r="H178" s="2">
        <v>2125.0500000000002</v>
      </c>
      <c r="I178" t="s">
        <v>26</v>
      </c>
      <c r="J178" s="2">
        <v>1722588.65</v>
      </c>
      <c r="K178" t="s">
        <v>27</v>
      </c>
      <c r="L178">
        <v>160540</v>
      </c>
      <c r="M178" t="s">
        <v>1429</v>
      </c>
      <c r="O178">
        <v>1</v>
      </c>
      <c r="P178" t="s">
        <v>1430</v>
      </c>
      <c r="Q178" t="s">
        <v>52</v>
      </c>
    </row>
    <row r="179" spans="1:17" x14ac:dyDescent="0.25">
      <c r="A179">
        <v>8003879954</v>
      </c>
      <c r="B179">
        <v>10</v>
      </c>
      <c r="C179">
        <v>6072018</v>
      </c>
      <c r="D179">
        <v>341</v>
      </c>
      <c r="E179" t="s">
        <v>25</v>
      </c>
      <c r="F179">
        <v>9938</v>
      </c>
      <c r="G179" t="s">
        <v>1431</v>
      </c>
      <c r="H179" s="2">
        <v>8750</v>
      </c>
      <c r="I179" t="s">
        <v>26</v>
      </c>
      <c r="J179" s="2">
        <v>1724713.7</v>
      </c>
      <c r="K179" t="s">
        <v>27</v>
      </c>
      <c r="L179">
        <v>160534</v>
      </c>
      <c r="M179" t="s">
        <v>273</v>
      </c>
      <c r="O179">
        <v>1</v>
      </c>
      <c r="P179" t="s">
        <v>1432</v>
      </c>
      <c r="Q179" t="s">
        <v>1433</v>
      </c>
    </row>
    <row r="180" spans="1:17" x14ac:dyDescent="0.25">
      <c r="A180">
        <v>8003879954</v>
      </c>
      <c r="B180">
        <v>9</v>
      </c>
      <c r="C180">
        <v>6072018</v>
      </c>
      <c r="D180">
        <v>489</v>
      </c>
      <c r="E180" t="s">
        <v>31</v>
      </c>
      <c r="F180">
        <v>9938</v>
      </c>
      <c r="G180" t="s">
        <v>1431</v>
      </c>
      <c r="H180" s="2">
        <v>0.1</v>
      </c>
      <c r="I180" t="s">
        <v>26</v>
      </c>
      <c r="J180" s="2">
        <v>1733463.7</v>
      </c>
      <c r="K180" t="s">
        <v>27</v>
      </c>
      <c r="L180">
        <v>160534</v>
      </c>
      <c r="M180" t="s">
        <v>1434</v>
      </c>
      <c r="O180">
        <v>1</v>
      </c>
    </row>
    <row r="181" spans="1:17" x14ac:dyDescent="0.25">
      <c r="A181">
        <v>8003879954</v>
      </c>
      <c r="B181">
        <v>8</v>
      </c>
      <c r="C181">
        <v>6072018</v>
      </c>
      <c r="D181">
        <v>341</v>
      </c>
      <c r="E181" t="s">
        <v>25</v>
      </c>
      <c r="F181">
        <v>9938</v>
      </c>
      <c r="G181" t="s">
        <v>1435</v>
      </c>
      <c r="H181" s="2">
        <v>9434</v>
      </c>
      <c r="I181" t="s">
        <v>26</v>
      </c>
      <c r="J181" s="2">
        <v>1733463.8</v>
      </c>
      <c r="K181" t="s">
        <v>27</v>
      </c>
      <c r="L181">
        <v>160529</v>
      </c>
      <c r="M181" t="s">
        <v>41</v>
      </c>
      <c r="O181">
        <v>1</v>
      </c>
      <c r="P181" t="s">
        <v>1436</v>
      </c>
      <c r="Q181" t="s">
        <v>1437</v>
      </c>
    </row>
    <row r="182" spans="1:17" x14ac:dyDescent="0.25">
      <c r="A182">
        <v>8003879954</v>
      </c>
      <c r="B182">
        <v>7</v>
      </c>
      <c r="C182">
        <v>6072018</v>
      </c>
      <c r="D182">
        <v>489</v>
      </c>
      <c r="E182" t="s">
        <v>31</v>
      </c>
      <c r="F182">
        <v>9938</v>
      </c>
      <c r="G182" t="s">
        <v>1435</v>
      </c>
      <c r="H182" s="2">
        <v>0.1</v>
      </c>
      <c r="I182" t="s">
        <v>26</v>
      </c>
      <c r="J182" s="2">
        <v>1742897.8</v>
      </c>
      <c r="K182" t="s">
        <v>27</v>
      </c>
      <c r="L182">
        <v>160529</v>
      </c>
      <c r="M182" t="s">
        <v>1438</v>
      </c>
      <c r="O182">
        <v>1</v>
      </c>
    </row>
    <row r="183" spans="1:17" x14ac:dyDescent="0.25">
      <c r="A183">
        <v>8003879954</v>
      </c>
      <c r="B183">
        <v>6</v>
      </c>
      <c r="C183">
        <v>6072018</v>
      </c>
      <c r="D183">
        <v>341</v>
      </c>
      <c r="E183" t="s">
        <v>25</v>
      </c>
      <c r="F183">
        <v>9938</v>
      </c>
      <c r="G183" t="s">
        <v>1439</v>
      </c>
      <c r="H183" s="2">
        <v>9800</v>
      </c>
      <c r="I183" t="s">
        <v>26</v>
      </c>
      <c r="J183" s="2">
        <v>1742897.9</v>
      </c>
      <c r="K183" t="s">
        <v>27</v>
      </c>
      <c r="L183">
        <v>160521</v>
      </c>
      <c r="M183" t="s">
        <v>1440</v>
      </c>
      <c r="O183">
        <v>1</v>
      </c>
      <c r="P183" t="s">
        <v>1441</v>
      </c>
      <c r="Q183" t="s">
        <v>1442</v>
      </c>
    </row>
    <row r="184" spans="1:17" x14ac:dyDescent="0.25">
      <c r="A184">
        <v>8003879954</v>
      </c>
      <c r="B184">
        <v>5</v>
      </c>
      <c r="C184">
        <v>6072018</v>
      </c>
      <c r="D184">
        <v>489</v>
      </c>
      <c r="E184" t="s">
        <v>31</v>
      </c>
      <c r="F184">
        <v>9938</v>
      </c>
      <c r="G184" t="s">
        <v>1439</v>
      </c>
      <c r="H184" s="2">
        <v>0.1</v>
      </c>
      <c r="I184" t="s">
        <v>26</v>
      </c>
      <c r="J184" s="2">
        <v>1752697.9</v>
      </c>
      <c r="K184" t="s">
        <v>27</v>
      </c>
      <c r="L184">
        <v>160521</v>
      </c>
      <c r="M184" t="s">
        <v>1443</v>
      </c>
      <c r="O184">
        <v>1</v>
      </c>
    </row>
    <row r="185" spans="1:17" x14ac:dyDescent="0.25">
      <c r="A185">
        <v>8003879954</v>
      </c>
      <c r="B185">
        <v>4</v>
      </c>
      <c r="C185">
        <v>6072018</v>
      </c>
      <c r="D185">
        <v>345</v>
      </c>
      <c r="E185" t="s">
        <v>51</v>
      </c>
      <c r="F185">
        <v>9938</v>
      </c>
      <c r="G185" t="s">
        <v>1444</v>
      </c>
      <c r="H185" s="2">
        <v>4813.34</v>
      </c>
      <c r="I185" t="s">
        <v>26</v>
      </c>
      <c r="J185" s="2">
        <v>1752698</v>
      </c>
      <c r="K185" t="s">
        <v>27</v>
      </c>
      <c r="L185">
        <v>160328</v>
      </c>
      <c r="M185" t="s">
        <v>1445</v>
      </c>
      <c r="O185">
        <v>1</v>
      </c>
      <c r="P185" t="s">
        <v>1446</v>
      </c>
      <c r="Q185" t="s">
        <v>52</v>
      </c>
    </row>
    <row r="186" spans="1:17" x14ac:dyDescent="0.25">
      <c r="A186">
        <v>8003879954</v>
      </c>
      <c r="B186">
        <v>3</v>
      </c>
      <c r="C186">
        <v>6072018</v>
      </c>
      <c r="D186">
        <v>345</v>
      </c>
      <c r="E186" t="s">
        <v>51</v>
      </c>
      <c r="F186">
        <v>9938</v>
      </c>
      <c r="G186" t="s">
        <v>1447</v>
      </c>
      <c r="H186" s="2">
        <v>5491.65</v>
      </c>
      <c r="I186" t="s">
        <v>26</v>
      </c>
      <c r="J186" s="2">
        <v>1757511.34</v>
      </c>
      <c r="K186" t="s">
        <v>27</v>
      </c>
      <c r="L186">
        <v>160315</v>
      </c>
      <c r="M186" t="s">
        <v>1448</v>
      </c>
      <c r="O186">
        <v>1</v>
      </c>
      <c r="P186" t="s">
        <v>1449</v>
      </c>
      <c r="Q186" t="s">
        <v>52</v>
      </c>
    </row>
    <row r="187" spans="1:17" x14ac:dyDescent="0.25">
      <c r="A187">
        <v>8003879954</v>
      </c>
      <c r="B187">
        <v>2</v>
      </c>
      <c r="C187">
        <v>6072018</v>
      </c>
      <c r="D187">
        <v>341</v>
      </c>
      <c r="E187" t="s">
        <v>25</v>
      </c>
      <c r="F187">
        <v>9938</v>
      </c>
      <c r="G187" t="s">
        <v>1450</v>
      </c>
      <c r="H187" s="2">
        <v>9460.16</v>
      </c>
      <c r="I187" t="s">
        <v>26</v>
      </c>
      <c r="J187">
        <v>1763002.99</v>
      </c>
      <c r="K187" t="s">
        <v>27</v>
      </c>
      <c r="L187">
        <v>111252</v>
      </c>
      <c r="M187" t="s">
        <v>1451</v>
      </c>
      <c r="O187">
        <v>1</v>
      </c>
      <c r="P187" t="s">
        <v>1452</v>
      </c>
      <c r="Q187" t="s">
        <v>1453</v>
      </c>
    </row>
    <row r="188" spans="1:17" x14ac:dyDescent="0.25">
      <c r="A188">
        <v>8003879954</v>
      </c>
      <c r="B188">
        <v>1</v>
      </c>
      <c r="C188">
        <v>6072018</v>
      </c>
      <c r="D188">
        <v>489</v>
      </c>
      <c r="E188" t="s">
        <v>31</v>
      </c>
      <c r="F188">
        <v>9938</v>
      </c>
      <c r="G188" t="s">
        <v>1450</v>
      </c>
      <c r="H188" s="2">
        <v>0.1</v>
      </c>
      <c r="I188" t="s">
        <v>26</v>
      </c>
      <c r="J188">
        <v>1772463.15</v>
      </c>
      <c r="K188" t="s">
        <v>27</v>
      </c>
      <c r="L188">
        <v>111252</v>
      </c>
      <c r="M188" t="s">
        <v>1454</v>
      </c>
      <c r="O188">
        <v>1</v>
      </c>
    </row>
    <row r="189" spans="1:17" x14ac:dyDescent="0.25">
      <c r="A189">
        <v>8003879954</v>
      </c>
      <c r="B189">
        <v>16</v>
      </c>
      <c r="C189">
        <v>3072018</v>
      </c>
      <c r="D189">
        <v>819</v>
      </c>
      <c r="E189" t="s">
        <v>35</v>
      </c>
      <c r="H189" s="2">
        <v>0.5</v>
      </c>
      <c r="I189" t="s">
        <v>26</v>
      </c>
      <c r="J189">
        <v>1772463.25</v>
      </c>
      <c r="K189" t="s">
        <v>27</v>
      </c>
      <c r="L189">
        <v>10251</v>
      </c>
      <c r="M189" t="s">
        <v>32</v>
      </c>
      <c r="O189">
        <v>1</v>
      </c>
    </row>
    <row r="190" spans="1:17" x14ac:dyDescent="0.25">
      <c r="A190">
        <v>8003879954</v>
      </c>
      <c r="B190">
        <v>15</v>
      </c>
      <c r="C190">
        <v>3072018</v>
      </c>
      <c r="D190">
        <v>819</v>
      </c>
      <c r="E190" t="s">
        <v>35</v>
      </c>
      <c r="H190" s="2">
        <v>1</v>
      </c>
      <c r="I190" t="s">
        <v>26</v>
      </c>
      <c r="J190" s="2">
        <v>1772463.75</v>
      </c>
      <c r="K190" t="s">
        <v>27</v>
      </c>
      <c r="L190">
        <v>10251</v>
      </c>
      <c r="M190" t="s">
        <v>32</v>
      </c>
      <c r="O190">
        <v>1</v>
      </c>
    </row>
    <row r="191" spans="1:17" x14ac:dyDescent="0.25">
      <c r="A191">
        <v>8003879954</v>
      </c>
      <c r="B191">
        <v>14</v>
      </c>
      <c r="C191">
        <v>3072018</v>
      </c>
      <c r="D191">
        <v>323</v>
      </c>
      <c r="E191" t="s">
        <v>50</v>
      </c>
      <c r="F191">
        <v>0</v>
      </c>
      <c r="G191" t="s">
        <v>1455</v>
      </c>
      <c r="H191" s="2">
        <v>39000</v>
      </c>
      <c r="I191" t="s">
        <v>26</v>
      </c>
      <c r="J191" s="2">
        <v>1772464.75</v>
      </c>
      <c r="K191" t="s">
        <v>27</v>
      </c>
      <c r="L191">
        <v>10122</v>
      </c>
      <c r="M191" t="s">
        <v>32</v>
      </c>
      <c r="O191">
        <v>1</v>
      </c>
    </row>
    <row r="192" spans="1:17" x14ac:dyDescent="0.25">
      <c r="A192">
        <v>8003879954</v>
      </c>
      <c r="B192">
        <v>13</v>
      </c>
      <c r="C192">
        <v>3072018</v>
      </c>
      <c r="D192">
        <v>321</v>
      </c>
      <c r="E192" t="s">
        <v>36</v>
      </c>
      <c r="F192">
        <v>0</v>
      </c>
      <c r="G192" t="s">
        <v>1456</v>
      </c>
      <c r="H192" s="2">
        <v>15000</v>
      </c>
      <c r="I192" t="s">
        <v>26</v>
      </c>
      <c r="J192" s="2">
        <v>1811464.75</v>
      </c>
      <c r="K192" t="s">
        <v>27</v>
      </c>
      <c r="L192">
        <v>10122</v>
      </c>
      <c r="M192" t="s">
        <v>32</v>
      </c>
      <c r="O192">
        <v>1</v>
      </c>
    </row>
    <row r="193" spans="1:17" x14ac:dyDescent="0.25">
      <c r="A193">
        <v>8003879954</v>
      </c>
      <c r="B193">
        <v>12</v>
      </c>
      <c r="C193">
        <v>3072018</v>
      </c>
      <c r="D193">
        <v>323</v>
      </c>
      <c r="E193" t="s">
        <v>50</v>
      </c>
      <c r="F193">
        <v>0</v>
      </c>
      <c r="G193" t="s">
        <v>1457</v>
      </c>
      <c r="H193" s="2">
        <v>12607.72</v>
      </c>
      <c r="I193" t="s">
        <v>26</v>
      </c>
      <c r="J193" s="2">
        <v>1826464.75</v>
      </c>
      <c r="K193" t="s">
        <v>27</v>
      </c>
      <c r="L193">
        <v>10122</v>
      </c>
      <c r="M193" t="s">
        <v>32</v>
      </c>
      <c r="O193">
        <v>1</v>
      </c>
    </row>
    <row r="194" spans="1:17" x14ac:dyDescent="0.25">
      <c r="A194">
        <v>8003879954</v>
      </c>
      <c r="B194">
        <v>11</v>
      </c>
      <c r="C194">
        <v>3072018</v>
      </c>
      <c r="D194">
        <v>121</v>
      </c>
      <c r="E194" t="s">
        <v>150</v>
      </c>
      <c r="F194">
        <v>2007</v>
      </c>
      <c r="G194" t="s">
        <v>1458</v>
      </c>
      <c r="H194" s="2">
        <v>2000</v>
      </c>
      <c r="I194" t="s">
        <v>27</v>
      </c>
      <c r="J194" s="2">
        <v>1839072.47</v>
      </c>
      <c r="K194" t="s">
        <v>27</v>
      </c>
      <c r="L194">
        <v>190252</v>
      </c>
      <c r="M194" t="s">
        <v>32</v>
      </c>
      <c r="O194">
        <v>1</v>
      </c>
    </row>
    <row r="195" spans="1:17" x14ac:dyDescent="0.25">
      <c r="A195">
        <v>8003879954</v>
      </c>
      <c r="B195">
        <v>10</v>
      </c>
      <c r="C195">
        <v>3072018</v>
      </c>
      <c r="D195">
        <v>341</v>
      </c>
      <c r="E195" t="s">
        <v>25</v>
      </c>
      <c r="F195">
        <v>9938</v>
      </c>
      <c r="G195" t="s">
        <v>1459</v>
      </c>
      <c r="H195" s="2">
        <v>850</v>
      </c>
      <c r="I195" t="s">
        <v>26</v>
      </c>
      <c r="J195" s="2">
        <v>1837072.47</v>
      </c>
      <c r="K195" t="s">
        <v>27</v>
      </c>
      <c r="L195">
        <v>143254</v>
      </c>
      <c r="M195" t="s">
        <v>747</v>
      </c>
      <c r="O195">
        <v>1</v>
      </c>
      <c r="P195" t="s">
        <v>1460</v>
      </c>
      <c r="Q195" t="s">
        <v>749</v>
      </c>
    </row>
    <row r="196" spans="1:17" x14ac:dyDescent="0.25">
      <c r="A196">
        <v>8003879954</v>
      </c>
      <c r="B196">
        <v>9</v>
      </c>
      <c r="C196">
        <v>3072018</v>
      </c>
      <c r="D196">
        <v>489</v>
      </c>
      <c r="E196" t="s">
        <v>31</v>
      </c>
      <c r="F196">
        <v>9938</v>
      </c>
      <c r="G196" t="s">
        <v>1459</v>
      </c>
      <c r="H196" s="2">
        <v>0.1</v>
      </c>
      <c r="I196" t="s">
        <v>26</v>
      </c>
      <c r="J196" s="2">
        <v>1837922.47</v>
      </c>
      <c r="K196" t="s">
        <v>27</v>
      </c>
      <c r="L196">
        <v>143254</v>
      </c>
      <c r="M196" t="s">
        <v>1461</v>
      </c>
      <c r="O196">
        <v>1</v>
      </c>
    </row>
    <row r="197" spans="1:17" x14ac:dyDescent="0.25">
      <c r="A197">
        <v>8003879954</v>
      </c>
      <c r="B197">
        <v>8</v>
      </c>
      <c r="C197">
        <v>3072018</v>
      </c>
      <c r="D197">
        <v>345</v>
      </c>
      <c r="E197" t="s">
        <v>51</v>
      </c>
      <c r="F197">
        <v>9938</v>
      </c>
      <c r="G197" t="s">
        <v>1462</v>
      </c>
      <c r="H197" s="2">
        <v>3000</v>
      </c>
      <c r="I197" t="s">
        <v>26</v>
      </c>
      <c r="J197" s="2">
        <v>1837922.57</v>
      </c>
      <c r="K197" t="s">
        <v>27</v>
      </c>
      <c r="L197">
        <v>143254</v>
      </c>
      <c r="M197" t="s">
        <v>829</v>
      </c>
      <c r="O197">
        <v>1</v>
      </c>
      <c r="P197" t="s">
        <v>1463</v>
      </c>
      <c r="Q197" t="s">
        <v>1126</v>
      </c>
    </row>
    <row r="198" spans="1:17" x14ac:dyDescent="0.25">
      <c r="A198">
        <v>8003879954</v>
      </c>
      <c r="B198">
        <v>7</v>
      </c>
      <c r="C198">
        <v>3072018</v>
      </c>
      <c r="D198">
        <v>60</v>
      </c>
      <c r="E198" t="s">
        <v>37</v>
      </c>
      <c r="F198">
        <v>9938</v>
      </c>
      <c r="G198" t="s">
        <v>1464</v>
      </c>
      <c r="H198" s="2">
        <v>155</v>
      </c>
      <c r="I198" t="s">
        <v>26</v>
      </c>
      <c r="J198" s="2">
        <v>1840922.57</v>
      </c>
      <c r="K198" t="s">
        <v>27</v>
      </c>
      <c r="L198">
        <v>143254</v>
      </c>
      <c r="M198" t="s">
        <v>1465</v>
      </c>
      <c r="O198">
        <v>1</v>
      </c>
      <c r="P198" t="s">
        <v>1466</v>
      </c>
      <c r="Q198" t="s">
        <v>378</v>
      </c>
    </row>
    <row r="199" spans="1:17" x14ac:dyDescent="0.25">
      <c r="A199">
        <v>8003879954</v>
      </c>
      <c r="B199">
        <v>6</v>
      </c>
      <c r="C199">
        <v>3072018</v>
      </c>
      <c r="D199">
        <v>341</v>
      </c>
      <c r="E199" t="s">
        <v>25</v>
      </c>
      <c r="F199">
        <v>9938</v>
      </c>
      <c r="G199" t="s">
        <v>1467</v>
      </c>
      <c r="H199" s="2">
        <v>2500</v>
      </c>
      <c r="I199" t="s">
        <v>26</v>
      </c>
      <c r="J199" s="2">
        <v>1841077.57</v>
      </c>
      <c r="K199" t="s">
        <v>27</v>
      </c>
      <c r="L199">
        <v>143253</v>
      </c>
      <c r="M199" t="s">
        <v>658</v>
      </c>
      <c r="O199">
        <v>1</v>
      </c>
      <c r="P199" t="s">
        <v>1468</v>
      </c>
      <c r="Q199" t="s">
        <v>1469</v>
      </c>
    </row>
    <row r="200" spans="1:17" x14ac:dyDescent="0.25">
      <c r="A200">
        <v>8003879954</v>
      </c>
      <c r="B200">
        <v>5</v>
      </c>
      <c r="C200">
        <v>3072018</v>
      </c>
      <c r="D200">
        <v>489</v>
      </c>
      <c r="E200" t="s">
        <v>31</v>
      </c>
      <c r="F200">
        <v>9938</v>
      </c>
      <c r="G200" t="s">
        <v>1467</v>
      </c>
      <c r="H200" s="2">
        <v>0.1</v>
      </c>
      <c r="I200" t="s">
        <v>26</v>
      </c>
      <c r="J200" s="2">
        <v>1843577.57</v>
      </c>
      <c r="K200" t="s">
        <v>27</v>
      </c>
      <c r="L200">
        <v>143253</v>
      </c>
      <c r="M200" t="s">
        <v>1470</v>
      </c>
      <c r="O200">
        <v>1</v>
      </c>
    </row>
    <row r="201" spans="1:17" x14ac:dyDescent="0.25">
      <c r="A201">
        <v>8003879954</v>
      </c>
      <c r="B201">
        <v>4</v>
      </c>
      <c r="C201">
        <v>3072018</v>
      </c>
      <c r="D201">
        <v>341</v>
      </c>
      <c r="E201" t="s">
        <v>25</v>
      </c>
      <c r="F201">
        <v>9938</v>
      </c>
      <c r="G201" t="s">
        <v>1471</v>
      </c>
      <c r="H201" s="2">
        <v>362.09</v>
      </c>
      <c r="I201" t="s">
        <v>26</v>
      </c>
      <c r="J201" s="2">
        <v>1843577.67</v>
      </c>
      <c r="K201" t="s">
        <v>27</v>
      </c>
      <c r="L201">
        <v>143253</v>
      </c>
      <c r="M201" t="s">
        <v>28</v>
      </c>
      <c r="O201">
        <v>1</v>
      </c>
      <c r="P201" t="s">
        <v>1472</v>
      </c>
      <c r="Q201" t="s">
        <v>29</v>
      </c>
    </row>
    <row r="202" spans="1:17" x14ac:dyDescent="0.25">
      <c r="A202">
        <v>8003879954</v>
      </c>
      <c r="B202">
        <v>3</v>
      </c>
      <c r="C202">
        <v>3072018</v>
      </c>
      <c r="D202">
        <v>489</v>
      </c>
      <c r="E202" t="s">
        <v>31</v>
      </c>
      <c r="F202">
        <v>9938</v>
      </c>
      <c r="G202" t="s">
        <v>1471</v>
      </c>
      <c r="H202" s="2">
        <v>0.1</v>
      </c>
      <c r="I202" t="s">
        <v>26</v>
      </c>
      <c r="J202" s="2">
        <v>1843939.76</v>
      </c>
      <c r="K202" t="s">
        <v>27</v>
      </c>
      <c r="L202">
        <v>143253</v>
      </c>
      <c r="M202" t="s">
        <v>1473</v>
      </c>
      <c r="O202">
        <v>1</v>
      </c>
    </row>
    <row r="203" spans="1:17" x14ac:dyDescent="0.25">
      <c r="A203">
        <v>8003879954</v>
      </c>
      <c r="B203">
        <v>2</v>
      </c>
      <c r="C203">
        <v>3072018</v>
      </c>
      <c r="D203">
        <v>341</v>
      </c>
      <c r="E203" t="s">
        <v>25</v>
      </c>
      <c r="F203">
        <v>9938</v>
      </c>
      <c r="G203" t="s">
        <v>1474</v>
      </c>
      <c r="H203" s="2">
        <v>350</v>
      </c>
      <c r="I203" t="s">
        <v>26</v>
      </c>
      <c r="J203" s="2">
        <v>1843939.86</v>
      </c>
      <c r="K203" t="s">
        <v>27</v>
      </c>
      <c r="L203">
        <v>143253</v>
      </c>
      <c r="M203" t="s">
        <v>824</v>
      </c>
      <c r="O203">
        <v>1</v>
      </c>
      <c r="P203" t="s">
        <v>1475</v>
      </c>
      <c r="Q203" t="s">
        <v>1051</v>
      </c>
    </row>
    <row r="204" spans="1:17" x14ac:dyDescent="0.25">
      <c r="A204">
        <v>8003879954</v>
      </c>
      <c r="B204">
        <v>1</v>
      </c>
      <c r="C204">
        <v>3072018</v>
      </c>
      <c r="D204">
        <v>489</v>
      </c>
      <c r="E204" t="s">
        <v>31</v>
      </c>
      <c r="F204">
        <v>9938</v>
      </c>
      <c r="G204" t="s">
        <v>1474</v>
      </c>
      <c r="H204" s="2">
        <v>0.1</v>
      </c>
      <c r="I204" t="s">
        <v>26</v>
      </c>
      <c r="J204" s="2">
        <v>1844289.86</v>
      </c>
      <c r="K204" t="s">
        <v>27</v>
      </c>
      <c r="L204">
        <v>143253</v>
      </c>
      <c r="M204" t="s">
        <v>1476</v>
      </c>
      <c r="O204">
        <v>1</v>
      </c>
    </row>
    <row r="207" spans="1:17" x14ac:dyDescent="0.25">
      <c r="H207" s="2">
        <f>SUBTOTAL(9,H10:H204)</f>
        <v>5004268.4599999916</v>
      </c>
    </row>
  </sheetData>
  <autoFilter ref="A8:M204" xr:uid="{1BF77A78-E8F8-4566-B379-8C6E5C66EE2C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F0E9-8469-4706-B5BA-E46DDF81E2A6}">
  <dimension ref="A1:R190"/>
  <sheetViews>
    <sheetView topLeftCell="A13" workbookViewId="0">
      <selection activeCell="F20" sqref="F20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2" bestFit="1" customWidth="1"/>
    <col min="9" max="9" width="14.140625" customWidth="1"/>
    <col min="10" max="10" width="13.28515625" style="2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1477</v>
      </c>
    </row>
    <row r="5" spans="1:18" x14ac:dyDescent="0.25">
      <c r="A5" t="s">
        <v>1478</v>
      </c>
    </row>
    <row r="6" spans="1:18" x14ac:dyDescent="0.25">
      <c r="A6" t="s">
        <v>1479</v>
      </c>
    </row>
    <row r="8" spans="1:18" s="15" customFormat="1" ht="49.5" customHeight="1" x14ac:dyDescent="0.25">
      <c r="A8" s="15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4" t="s">
        <v>14</v>
      </c>
      <c r="I8" s="15" t="s">
        <v>15</v>
      </c>
      <c r="J8" s="4" t="s">
        <v>16</v>
      </c>
      <c r="K8" s="15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</row>
    <row r="10" spans="1:18" s="16" customFormat="1" x14ac:dyDescent="0.25">
      <c r="A10" s="16">
        <v>8003879954</v>
      </c>
      <c r="B10" s="16">
        <v>6</v>
      </c>
      <c r="C10" s="16">
        <v>31082018</v>
      </c>
      <c r="D10" s="16">
        <v>341</v>
      </c>
      <c r="E10" s="16" t="s">
        <v>25</v>
      </c>
      <c r="F10" s="16">
        <v>9938</v>
      </c>
      <c r="G10" s="16" t="s">
        <v>1480</v>
      </c>
      <c r="H10" s="10">
        <v>350</v>
      </c>
      <c r="I10" s="16" t="s">
        <v>26</v>
      </c>
      <c r="J10" s="10">
        <v>2456290.2999999998</v>
      </c>
      <c r="K10" s="16" t="s">
        <v>27</v>
      </c>
      <c r="L10" s="16">
        <v>80300</v>
      </c>
      <c r="M10" s="16" t="s">
        <v>824</v>
      </c>
      <c r="O10" s="16">
        <v>1</v>
      </c>
      <c r="P10" s="16" t="s">
        <v>1481</v>
      </c>
      <c r="Q10" s="16" t="s">
        <v>1051</v>
      </c>
    </row>
    <row r="11" spans="1:18" s="16" customFormat="1" x14ac:dyDescent="0.25">
      <c r="A11" s="16">
        <v>8003879954</v>
      </c>
      <c r="B11" s="16">
        <v>5</v>
      </c>
      <c r="C11" s="16">
        <v>31082018</v>
      </c>
      <c r="D11" s="16">
        <v>489</v>
      </c>
      <c r="E11" s="16" t="s">
        <v>31</v>
      </c>
      <c r="F11" s="16">
        <v>9938</v>
      </c>
      <c r="G11" s="16" t="s">
        <v>1480</v>
      </c>
      <c r="H11" s="10">
        <v>0.1</v>
      </c>
      <c r="I11" s="16" t="s">
        <v>26</v>
      </c>
      <c r="J11" s="10">
        <v>2456640.2999999998</v>
      </c>
      <c r="K11" s="16" t="s">
        <v>27</v>
      </c>
      <c r="L11" s="16">
        <v>80300</v>
      </c>
      <c r="M11" s="16" t="s">
        <v>1482</v>
      </c>
      <c r="O11" s="16">
        <v>1</v>
      </c>
    </row>
    <row r="12" spans="1:18" s="16" customFormat="1" x14ac:dyDescent="0.25">
      <c r="A12" s="16">
        <v>8003879954</v>
      </c>
      <c r="B12" s="16">
        <v>4</v>
      </c>
      <c r="C12" s="16">
        <v>31082018</v>
      </c>
      <c r="D12" s="16">
        <v>345</v>
      </c>
      <c r="E12" s="16" t="s">
        <v>51</v>
      </c>
      <c r="F12" s="16">
        <v>9938</v>
      </c>
      <c r="G12" s="16" t="s">
        <v>1483</v>
      </c>
      <c r="H12" s="10">
        <v>3000</v>
      </c>
      <c r="I12" s="16" t="s">
        <v>26</v>
      </c>
      <c r="J12" s="10">
        <v>2456640.4</v>
      </c>
      <c r="K12" s="16" t="s">
        <v>27</v>
      </c>
      <c r="L12" s="16">
        <v>80254</v>
      </c>
      <c r="M12" s="16" t="s">
        <v>829</v>
      </c>
      <c r="O12" s="16">
        <v>1</v>
      </c>
      <c r="P12" s="16" t="s">
        <v>1484</v>
      </c>
      <c r="Q12" s="16" t="s">
        <v>1485</v>
      </c>
    </row>
    <row r="13" spans="1:18" s="16" customFormat="1" x14ac:dyDescent="0.25">
      <c r="A13" s="16">
        <v>8003879954</v>
      </c>
      <c r="B13" s="16">
        <v>3</v>
      </c>
      <c r="C13" s="16">
        <v>31082018</v>
      </c>
      <c r="D13" s="16">
        <v>343</v>
      </c>
      <c r="E13" s="16" t="s">
        <v>115</v>
      </c>
      <c r="F13" s="16">
        <v>9938</v>
      </c>
      <c r="G13" s="16" t="s">
        <v>1486</v>
      </c>
      <c r="H13" s="10">
        <v>1406</v>
      </c>
      <c r="I13" s="16" t="s">
        <v>26</v>
      </c>
      <c r="J13" s="10">
        <v>2459640.4</v>
      </c>
      <c r="K13" s="16" t="s">
        <v>27</v>
      </c>
      <c r="L13" s="16">
        <v>80027</v>
      </c>
      <c r="M13" s="16" t="s">
        <v>1487</v>
      </c>
      <c r="O13" s="16">
        <v>1</v>
      </c>
    </row>
    <row r="14" spans="1:18" s="16" customFormat="1" x14ac:dyDescent="0.25">
      <c r="A14" s="16">
        <v>8003879954</v>
      </c>
      <c r="B14" s="16">
        <v>2</v>
      </c>
      <c r="C14" s="16">
        <v>31082018</v>
      </c>
      <c r="D14" s="16">
        <v>341</v>
      </c>
      <c r="E14" s="16" t="s">
        <v>25</v>
      </c>
      <c r="F14" s="16">
        <v>9938</v>
      </c>
      <c r="G14" s="16" t="s">
        <v>1488</v>
      </c>
      <c r="H14" s="10">
        <v>2500</v>
      </c>
      <c r="I14" s="16" t="s">
        <v>26</v>
      </c>
      <c r="J14" s="10">
        <v>2461046.4</v>
      </c>
      <c r="K14" s="16" t="s">
        <v>27</v>
      </c>
      <c r="L14" s="16">
        <v>43408</v>
      </c>
      <c r="M14" s="16" t="s">
        <v>658</v>
      </c>
      <c r="O14" s="16">
        <v>1</v>
      </c>
      <c r="P14" s="16" t="s">
        <v>1489</v>
      </c>
      <c r="Q14" s="16" t="s">
        <v>1490</v>
      </c>
    </row>
    <row r="15" spans="1:18" s="16" customFormat="1" x14ac:dyDescent="0.25">
      <c r="A15" s="16">
        <v>8003879954</v>
      </c>
      <c r="B15" s="16">
        <v>1</v>
      </c>
      <c r="C15" s="16">
        <v>31082018</v>
      </c>
      <c r="D15" s="16">
        <v>489</v>
      </c>
      <c r="E15" s="16" t="s">
        <v>31</v>
      </c>
      <c r="F15" s="16">
        <v>9938</v>
      </c>
      <c r="G15" s="16" t="s">
        <v>1488</v>
      </c>
      <c r="H15" s="10">
        <v>0.1</v>
      </c>
      <c r="I15" s="16" t="s">
        <v>26</v>
      </c>
      <c r="J15" s="10">
        <v>2463546.4</v>
      </c>
      <c r="K15" s="16" t="s">
        <v>27</v>
      </c>
      <c r="L15" s="16">
        <v>43408</v>
      </c>
      <c r="M15" s="16" t="s">
        <v>1491</v>
      </c>
      <c r="O15" s="16">
        <v>1</v>
      </c>
    </row>
    <row r="16" spans="1:18" s="16" customFormat="1" x14ac:dyDescent="0.25">
      <c r="A16" s="16">
        <v>8003879954</v>
      </c>
      <c r="B16" s="16">
        <v>3</v>
      </c>
      <c r="C16" s="16">
        <v>30082018</v>
      </c>
      <c r="D16" s="16">
        <v>489</v>
      </c>
      <c r="E16" s="16" t="s">
        <v>1805</v>
      </c>
      <c r="F16" s="16">
        <v>3471</v>
      </c>
      <c r="G16" s="16" t="s">
        <v>1492</v>
      </c>
      <c r="H16" s="18">
        <v>2.1</v>
      </c>
      <c r="I16" s="16" t="s">
        <v>26</v>
      </c>
      <c r="J16" s="10">
        <v>2463546.5</v>
      </c>
      <c r="K16" s="16" t="s">
        <v>27</v>
      </c>
      <c r="L16" s="16">
        <v>104935</v>
      </c>
      <c r="M16" s="16" t="s">
        <v>32</v>
      </c>
      <c r="O16" s="16">
        <v>1</v>
      </c>
    </row>
    <row r="17" spans="1:18" s="16" customFormat="1" x14ac:dyDescent="0.25">
      <c r="A17" s="16">
        <v>8003879954</v>
      </c>
      <c r="B17" s="16">
        <v>2</v>
      </c>
      <c r="C17" s="16">
        <v>30082018</v>
      </c>
      <c r="D17" s="16">
        <v>669</v>
      </c>
      <c r="E17" s="16" t="s">
        <v>33</v>
      </c>
      <c r="F17" s="16">
        <v>1808</v>
      </c>
      <c r="G17" s="16" t="s">
        <v>1493</v>
      </c>
      <c r="H17" s="10">
        <v>76575.210000000006</v>
      </c>
      <c r="I17" s="16" t="s">
        <v>26</v>
      </c>
      <c r="J17" s="10">
        <v>2463548.6</v>
      </c>
      <c r="K17" s="16" t="s">
        <v>27</v>
      </c>
      <c r="L17" s="16">
        <v>91511</v>
      </c>
      <c r="M17" s="16" t="s">
        <v>1494</v>
      </c>
      <c r="O17" s="16">
        <v>1</v>
      </c>
      <c r="P17" s="16" t="s">
        <v>1495</v>
      </c>
      <c r="R17" s="16" t="s">
        <v>34</v>
      </c>
    </row>
    <row r="18" spans="1:18" s="16" customFormat="1" x14ac:dyDescent="0.25">
      <c r="A18" s="16">
        <v>8003879954</v>
      </c>
      <c r="B18" s="16">
        <v>1</v>
      </c>
      <c r="C18" s="16">
        <v>30082018</v>
      </c>
      <c r="D18" s="16">
        <v>343</v>
      </c>
      <c r="E18" s="16" t="s">
        <v>115</v>
      </c>
      <c r="F18" s="16">
        <v>9938</v>
      </c>
      <c r="G18" s="16" t="s">
        <v>1496</v>
      </c>
      <c r="H18" s="10">
        <v>4499.2</v>
      </c>
      <c r="I18" s="16" t="s">
        <v>26</v>
      </c>
      <c r="J18" s="10">
        <v>2540123.81</v>
      </c>
      <c r="K18" s="16" t="s">
        <v>27</v>
      </c>
      <c r="L18" s="16">
        <v>80106</v>
      </c>
      <c r="M18" s="16" t="s">
        <v>1331</v>
      </c>
      <c r="O18" s="16">
        <v>1</v>
      </c>
    </row>
    <row r="19" spans="1:18" s="16" customFormat="1" x14ac:dyDescent="0.25">
      <c r="A19" s="16">
        <v>8003879954</v>
      </c>
      <c r="B19" s="16">
        <v>7</v>
      </c>
      <c r="C19" s="16">
        <v>29082018</v>
      </c>
      <c r="D19" s="16">
        <v>121</v>
      </c>
      <c r="E19" s="16" t="s">
        <v>150</v>
      </c>
      <c r="F19" s="16">
        <v>2007</v>
      </c>
      <c r="G19" s="16" t="s">
        <v>1497</v>
      </c>
      <c r="H19" s="10">
        <v>2000</v>
      </c>
      <c r="I19" s="16" t="s">
        <v>27</v>
      </c>
      <c r="J19" s="10">
        <v>2544623.0099999998</v>
      </c>
      <c r="K19" s="16" t="s">
        <v>27</v>
      </c>
      <c r="L19" s="16">
        <v>192130</v>
      </c>
      <c r="M19" s="16" t="s">
        <v>32</v>
      </c>
      <c r="O19" s="16">
        <v>1</v>
      </c>
    </row>
    <row r="20" spans="1:18" s="16" customFormat="1" x14ac:dyDescent="0.25">
      <c r="A20" s="16">
        <v>8003879954</v>
      </c>
      <c r="B20" s="16">
        <v>6</v>
      </c>
      <c r="C20" s="16">
        <v>29082018</v>
      </c>
      <c r="D20" s="16">
        <v>123</v>
      </c>
      <c r="E20" s="16" t="s">
        <v>64</v>
      </c>
      <c r="F20" s="16">
        <v>2007</v>
      </c>
      <c r="G20" s="16" t="s">
        <v>1498</v>
      </c>
      <c r="H20" s="10">
        <v>5000</v>
      </c>
      <c r="I20" s="16" t="s">
        <v>27</v>
      </c>
      <c r="J20" s="10">
        <v>2542623.0099999998</v>
      </c>
      <c r="K20" s="16" t="s">
        <v>27</v>
      </c>
      <c r="L20" s="16">
        <v>192130</v>
      </c>
      <c r="M20" s="16" t="s">
        <v>32</v>
      </c>
      <c r="O20" s="16">
        <v>1</v>
      </c>
    </row>
    <row r="21" spans="1:18" s="16" customFormat="1" x14ac:dyDescent="0.25">
      <c r="A21" s="16">
        <v>8003879954</v>
      </c>
      <c r="B21" s="16">
        <v>5</v>
      </c>
      <c r="C21" s="16">
        <v>29082018</v>
      </c>
      <c r="D21" s="16">
        <v>415</v>
      </c>
      <c r="E21" s="16" t="s">
        <v>48</v>
      </c>
      <c r="F21" s="16">
        <v>72</v>
      </c>
      <c r="G21" s="16" t="s">
        <v>1499</v>
      </c>
      <c r="H21" s="17">
        <v>30</v>
      </c>
      <c r="I21" s="16" t="s">
        <v>26</v>
      </c>
      <c r="J21" s="10">
        <v>2537623.0099999998</v>
      </c>
      <c r="K21" s="16" t="s">
        <v>27</v>
      </c>
      <c r="L21" s="16">
        <v>180908</v>
      </c>
      <c r="M21" s="16" t="s">
        <v>1500</v>
      </c>
      <c r="O21" s="16">
        <v>1</v>
      </c>
    </row>
    <row r="22" spans="1:18" s="16" customFormat="1" x14ac:dyDescent="0.25">
      <c r="A22" s="16">
        <v>8003879954</v>
      </c>
      <c r="B22" s="16">
        <v>4</v>
      </c>
      <c r="C22" s="16">
        <v>29082018</v>
      </c>
      <c r="D22" s="16">
        <v>349</v>
      </c>
      <c r="E22" s="16" t="s">
        <v>49</v>
      </c>
      <c r="F22" s="16">
        <v>72</v>
      </c>
      <c r="G22" s="16" t="s">
        <v>1499</v>
      </c>
      <c r="H22" s="10">
        <v>4146.3</v>
      </c>
      <c r="I22" s="16" t="s">
        <v>26</v>
      </c>
      <c r="J22" s="10">
        <v>2537653.0099999998</v>
      </c>
      <c r="K22" s="16" t="s">
        <v>27</v>
      </c>
      <c r="L22" s="16">
        <v>180908</v>
      </c>
      <c r="M22" s="16" t="s">
        <v>1500</v>
      </c>
      <c r="O22" s="16">
        <v>1</v>
      </c>
    </row>
    <row r="23" spans="1:18" s="16" customFormat="1" x14ac:dyDescent="0.25">
      <c r="A23" s="16">
        <v>8003879954</v>
      </c>
      <c r="B23" s="16">
        <v>3</v>
      </c>
      <c r="C23" s="16">
        <v>29082018</v>
      </c>
      <c r="D23" s="16">
        <v>415</v>
      </c>
      <c r="E23" s="16" t="s">
        <v>48</v>
      </c>
      <c r="F23" s="16">
        <v>72</v>
      </c>
      <c r="G23" s="16" t="s">
        <v>1501</v>
      </c>
      <c r="H23" s="17">
        <v>30</v>
      </c>
      <c r="I23" s="16" t="s">
        <v>26</v>
      </c>
      <c r="J23" s="10">
        <v>2541799.31</v>
      </c>
      <c r="K23" s="16" t="s">
        <v>27</v>
      </c>
      <c r="L23" s="16">
        <v>180421</v>
      </c>
      <c r="M23" s="16" t="s">
        <v>1502</v>
      </c>
      <c r="O23" s="16">
        <v>1</v>
      </c>
    </row>
    <row r="24" spans="1:18" s="16" customFormat="1" x14ac:dyDescent="0.25">
      <c r="A24" s="16">
        <v>8003879954</v>
      </c>
      <c r="B24" s="16">
        <v>2</v>
      </c>
      <c r="C24" s="16">
        <v>29082018</v>
      </c>
      <c r="D24" s="16">
        <v>349</v>
      </c>
      <c r="E24" s="16" t="s">
        <v>49</v>
      </c>
      <c r="F24" s="16">
        <v>72</v>
      </c>
      <c r="G24" s="16" t="s">
        <v>1501</v>
      </c>
      <c r="H24" s="10">
        <v>18658.349999999999</v>
      </c>
      <c r="I24" s="16" t="s">
        <v>26</v>
      </c>
      <c r="J24" s="10">
        <v>2541829.31</v>
      </c>
      <c r="K24" s="16" t="s">
        <v>27</v>
      </c>
      <c r="L24" s="16">
        <v>180421</v>
      </c>
      <c r="M24" s="16" t="s">
        <v>1502</v>
      </c>
      <c r="O24" s="16">
        <v>1</v>
      </c>
    </row>
    <row r="25" spans="1:18" s="16" customFormat="1" x14ac:dyDescent="0.25">
      <c r="A25" s="16">
        <v>8003879954</v>
      </c>
      <c r="B25" s="16">
        <v>1</v>
      </c>
      <c r="C25" s="16">
        <v>29082018</v>
      </c>
      <c r="D25" s="16">
        <v>343</v>
      </c>
      <c r="E25" s="16" t="s">
        <v>115</v>
      </c>
      <c r="F25" s="16">
        <v>9938</v>
      </c>
      <c r="G25" s="16" t="s">
        <v>1503</v>
      </c>
      <c r="H25" s="10">
        <v>20370</v>
      </c>
      <c r="I25" s="16" t="s">
        <v>26</v>
      </c>
      <c r="J25" s="10">
        <v>2560487.66</v>
      </c>
      <c r="K25" s="16" t="s">
        <v>27</v>
      </c>
      <c r="L25" s="16">
        <v>163838</v>
      </c>
      <c r="M25" s="16" t="s">
        <v>1325</v>
      </c>
      <c r="O25" s="16">
        <v>1</v>
      </c>
    </row>
    <row r="26" spans="1:18" s="16" customFormat="1" x14ac:dyDescent="0.25">
      <c r="A26" s="16">
        <v>8003879954</v>
      </c>
      <c r="B26" s="16">
        <v>6</v>
      </c>
      <c r="C26" s="16">
        <v>28082018</v>
      </c>
      <c r="D26" s="16">
        <v>819</v>
      </c>
      <c r="E26" s="16" t="s">
        <v>35</v>
      </c>
      <c r="H26" s="10">
        <v>0.5</v>
      </c>
      <c r="I26" s="16" t="s">
        <v>26</v>
      </c>
      <c r="J26" s="10">
        <v>2580857.66</v>
      </c>
      <c r="K26" s="16" t="s">
        <v>27</v>
      </c>
      <c r="L26" s="16">
        <v>5755</v>
      </c>
      <c r="M26" s="16" t="s">
        <v>32</v>
      </c>
      <c r="O26" s="16">
        <v>1</v>
      </c>
    </row>
    <row r="27" spans="1:18" s="16" customFormat="1" x14ac:dyDescent="0.25">
      <c r="A27" s="16">
        <v>8003879954</v>
      </c>
      <c r="B27" s="16">
        <v>5</v>
      </c>
      <c r="C27" s="16">
        <v>28082018</v>
      </c>
      <c r="D27" s="16">
        <v>819</v>
      </c>
      <c r="E27" s="16" t="s">
        <v>35</v>
      </c>
      <c r="H27" s="10">
        <v>1.5</v>
      </c>
      <c r="I27" s="16" t="s">
        <v>26</v>
      </c>
      <c r="J27" s="10">
        <v>2580858.16</v>
      </c>
      <c r="K27" s="16" t="s">
        <v>27</v>
      </c>
      <c r="L27" s="16">
        <v>5755</v>
      </c>
      <c r="M27" s="16" t="s">
        <v>32</v>
      </c>
      <c r="O27" s="16">
        <v>1</v>
      </c>
    </row>
    <row r="28" spans="1:18" s="16" customFormat="1" x14ac:dyDescent="0.25">
      <c r="A28" s="16">
        <v>8003879954</v>
      </c>
      <c r="B28" s="16">
        <v>4</v>
      </c>
      <c r="C28" s="16">
        <v>28082018</v>
      </c>
      <c r="D28" s="16">
        <v>321</v>
      </c>
      <c r="E28" s="16" t="s">
        <v>36</v>
      </c>
      <c r="F28" s="16">
        <v>0</v>
      </c>
      <c r="G28" s="16" t="s">
        <v>1504</v>
      </c>
      <c r="H28" s="10">
        <v>37600</v>
      </c>
      <c r="I28" s="16" t="s">
        <v>26</v>
      </c>
      <c r="J28" s="10">
        <v>2580859.66</v>
      </c>
      <c r="K28" s="16" t="s">
        <v>27</v>
      </c>
      <c r="L28" s="16">
        <v>5615</v>
      </c>
      <c r="M28" s="16" t="s">
        <v>32</v>
      </c>
      <c r="O28" s="16">
        <v>1</v>
      </c>
    </row>
    <row r="29" spans="1:18" s="16" customFormat="1" x14ac:dyDescent="0.25">
      <c r="A29" s="16">
        <v>8003879954</v>
      </c>
      <c r="B29" s="16">
        <v>3</v>
      </c>
      <c r="C29" s="16">
        <v>28082018</v>
      </c>
      <c r="D29" s="16">
        <v>323</v>
      </c>
      <c r="E29" s="16" t="s">
        <v>50</v>
      </c>
      <c r="F29" s="16">
        <v>0</v>
      </c>
      <c r="G29" s="16" t="s">
        <v>1505</v>
      </c>
      <c r="H29" s="10">
        <v>550000</v>
      </c>
      <c r="I29" s="16" t="s">
        <v>26</v>
      </c>
      <c r="J29" s="10">
        <v>2618459.66</v>
      </c>
      <c r="K29" s="16" t="s">
        <v>27</v>
      </c>
      <c r="L29" s="16">
        <v>5615</v>
      </c>
      <c r="M29" s="16" t="s">
        <v>32</v>
      </c>
      <c r="O29" s="16">
        <v>1</v>
      </c>
    </row>
    <row r="30" spans="1:18" s="16" customFormat="1" x14ac:dyDescent="0.25">
      <c r="A30" s="16">
        <v>8003879954</v>
      </c>
      <c r="B30" s="16">
        <v>2</v>
      </c>
      <c r="C30" s="16">
        <v>28082018</v>
      </c>
      <c r="D30" s="16">
        <v>323</v>
      </c>
      <c r="E30" s="16" t="s">
        <v>50</v>
      </c>
      <c r="F30" s="16">
        <v>0</v>
      </c>
      <c r="G30" s="16" t="s">
        <v>1506</v>
      </c>
      <c r="H30" s="10">
        <v>250000</v>
      </c>
      <c r="I30" s="16" t="s">
        <v>26</v>
      </c>
      <c r="J30" s="10">
        <v>3168459.66</v>
      </c>
      <c r="K30" s="16" t="s">
        <v>27</v>
      </c>
      <c r="L30" s="16">
        <v>5615</v>
      </c>
      <c r="M30" s="16" t="s">
        <v>32</v>
      </c>
      <c r="O30" s="16">
        <v>1</v>
      </c>
    </row>
    <row r="31" spans="1:18" s="16" customFormat="1" x14ac:dyDescent="0.25">
      <c r="A31" s="16">
        <v>8003879954</v>
      </c>
      <c r="B31" s="16">
        <v>1</v>
      </c>
      <c r="C31" s="16">
        <v>28082018</v>
      </c>
      <c r="D31" s="16">
        <v>323</v>
      </c>
      <c r="E31" s="16" t="s">
        <v>50</v>
      </c>
      <c r="F31" s="16">
        <v>0</v>
      </c>
      <c r="G31" s="16" t="s">
        <v>1507</v>
      </c>
      <c r="H31" s="10">
        <v>136555.09</v>
      </c>
      <c r="I31" s="16" t="s">
        <v>26</v>
      </c>
      <c r="J31" s="10">
        <v>3418459.66</v>
      </c>
      <c r="K31" s="16" t="s">
        <v>27</v>
      </c>
      <c r="L31" s="16">
        <v>5615</v>
      </c>
      <c r="M31" s="16" t="s">
        <v>32</v>
      </c>
      <c r="O31" s="16">
        <v>1</v>
      </c>
    </row>
    <row r="32" spans="1:18" s="16" customFormat="1" x14ac:dyDescent="0.25">
      <c r="A32" s="16">
        <v>8003879954</v>
      </c>
      <c r="B32" s="16">
        <v>26</v>
      </c>
      <c r="C32" s="16">
        <v>27082018</v>
      </c>
      <c r="D32" s="16">
        <v>345</v>
      </c>
      <c r="E32" s="16" t="s">
        <v>51</v>
      </c>
      <c r="F32" s="16">
        <v>9938</v>
      </c>
      <c r="G32" s="16" t="s">
        <v>1508</v>
      </c>
      <c r="H32" s="10">
        <v>51</v>
      </c>
      <c r="I32" s="16" t="s">
        <v>26</v>
      </c>
      <c r="J32" s="10">
        <v>3555014.75</v>
      </c>
      <c r="K32" s="16" t="s">
        <v>27</v>
      </c>
      <c r="L32" s="16">
        <v>195942</v>
      </c>
      <c r="M32" s="16" t="s">
        <v>1509</v>
      </c>
      <c r="O32" s="16">
        <v>1</v>
      </c>
      <c r="P32" s="16" t="s">
        <v>1510</v>
      </c>
      <c r="Q32" s="16" t="s">
        <v>52</v>
      </c>
    </row>
    <row r="33" spans="1:17" s="16" customFormat="1" x14ac:dyDescent="0.25">
      <c r="A33" s="16">
        <v>8003879954</v>
      </c>
      <c r="B33" s="16">
        <v>25</v>
      </c>
      <c r="C33" s="16">
        <v>27082018</v>
      </c>
      <c r="D33" s="16">
        <v>341</v>
      </c>
      <c r="E33" s="16" t="s">
        <v>25</v>
      </c>
      <c r="F33" s="16">
        <v>9938</v>
      </c>
      <c r="G33" s="16" t="s">
        <v>1511</v>
      </c>
      <c r="H33" s="10">
        <v>457.8</v>
      </c>
      <c r="I33" s="16" t="s">
        <v>26</v>
      </c>
      <c r="J33" s="10">
        <v>3555065.75</v>
      </c>
      <c r="K33" s="16" t="s">
        <v>27</v>
      </c>
      <c r="L33" s="16">
        <v>195942</v>
      </c>
      <c r="M33" s="16" t="s">
        <v>1512</v>
      </c>
      <c r="O33" s="16">
        <v>1</v>
      </c>
      <c r="P33" s="16" t="s">
        <v>1513</v>
      </c>
      <c r="Q33" s="16" t="s">
        <v>1514</v>
      </c>
    </row>
    <row r="34" spans="1:17" s="16" customFormat="1" x14ac:dyDescent="0.25">
      <c r="A34" s="16">
        <v>8003879954</v>
      </c>
      <c r="B34" s="16">
        <v>24</v>
      </c>
      <c r="C34" s="16">
        <v>27082018</v>
      </c>
      <c r="D34" s="16">
        <v>489</v>
      </c>
      <c r="E34" s="16" t="s">
        <v>31</v>
      </c>
      <c r="F34" s="16">
        <v>9938</v>
      </c>
      <c r="G34" s="16" t="s">
        <v>1511</v>
      </c>
      <c r="H34" s="10">
        <v>0.1</v>
      </c>
      <c r="I34" s="16" t="s">
        <v>26</v>
      </c>
      <c r="J34" s="10">
        <v>3555523.55</v>
      </c>
      <c r="K34" s="16" t="s">
        <v>27</v>
      </c>
      <c r="L34" s="16">
        <v>195942</v>
      </c>
      <c r="M34" s="16" t="s">
        <v>1515</v>
      </c>
      <c r="O34" s="16">
        <v>1</v>
      </c>
    </row>
    <row r="35" spans="1:17" s="16" customFormat="1" x14ac:dyDescent="0.25">
      <c r="A35" s="16">
        <v>8003879954</v>
      </c>
      <c r="B35" s="16">
        <v>23</v>
      </c>
      <c r="C35" s="16">
        <v>27082018</v>
      </c>
      <c r="D35" s="16">
        <v>341</v>
      </c>
      <c r="E35" s="16" t="s">
        <v>25</v>
      </c>
      <c r="F35" s="16">
        <v>9938</v>
      </c>
      <c r="G35" s="16" t="s">
        <v>1516</v>
      </c>
      <c r="H35" s="10">
        <v>1687.65</v>
      </c>
      <c r="I35" s="16" t="s">
        <v>26</v>
      </c>
      <c r="J35" s="10">
        <v>3555523.65</v>
      </c>
      <c r="K35" s="16" t="s">
        <v>27</v>
      </c>
      <c r="L35" s="16">
        <v>195941</v>
      </c>
      <c r="M35" s="16" t="s">
        <v>408</v>
      </c>
      <c r="O35" s="16">
        <v>1</v>
      </c>
      <c r="P35" s="16" t="s">
        <v>1517</v>
      </c>
      <c r="Q35" s="16" t="s">
        <v>410</v>
      </c>
    </row>
    <row r="36" spans="1:17" s="16" customFormat="1" x14ac:dyDescent="0.25">
      <c r="A36" s="16">
        <v>8003879954</v>
      </c>
      <c r="B36" s="16">
        <v>22</v>
      </c>
      <c r="C36" s="16">
        <v>27082018</v>
      </c>
      <c r="D36" s="16">
        <v>489</v>
      </c>
      <c r="E36" s="16" t="s">
        <v>31</v>
      </c>
      <c r="F36" s="16">
        <v>9938</v>
      </c>
      <c r="G36" s="16" t="s">
        <v>1516</v>
      </c>
      <c r="H36" s="10">
        <v>0.1</v>
      </c>
      <c r="I36" s="16" t="s">
        <v>26</v>
      </c>
      <c r="J36" s="10">
        <v>3557211.3</v>
      </c>
      <c r="K36" s="16" t="s">
        <v>27</v>
      </c>
      <c r="L36" s="16">
        <v>195941</v>
      </c>
      <c r="M36" s="16" t="s">
        <v>1518</v>
      </c>
      <c r="O36" s="16">
        <v>1</v>
      </c>
    </row>
    <row r="37" spans="1:17" s="16" customFormat="1" x14ac:dyDescent="0.25">
      <c r="A37" s="16">
        <v>8003879954</v>
      </c>
      <c r="B37" s="16">
        <v>21</v>
      </c>
      <c r="C37" s="16">
        <v>27082018</v>
      </c>
      <c r="D37" s="16">
        <v>341</v>
      </c>
      <c r="E37" s="16" t="s">
        <v>25</v>
      </c>
      <c r="F37" s="16">
        <v>9938</v>
      </c>
      <c r="G37" s="16" t="s">
        <v>1519</v>
      </c>
      <c r="H37" s="10">
        <v>560</v>
      </c>
      <c r="I37" s="16" t="s">
        <v>26</v>
      </c>
      <c r="J37" s="10">
        <v>3557211.4</v>
      </c>
      <c r="K37" s="16" t="s">
        <v>27</v>
      </c>
      <c r="L37" s="16">
        <v>195941</v>
      </c>
      <c r="M37" s="16" t="s">
        <v>701</v>
      </c>
      <c r="O37" s="16">
        <v>1</v>
      </c>
      <c r="P37" s="16" t="s">
        <v>1520</v>
      </c>
      <c r="Q37" s="16" t="s">
        <v>1521</v>
      </c>
    </row>
    <row r="38" spans="1:17" s="16" customFormat="1" x14ac:dyDescent="0.25">
      <c r="A38" s="16">
        <v>8003879954</v>
      </c>
      <c r="B38" s="16">
        <v>20</v>
      </c>
      <c r="C38" s="16">
        <v>27082018</v>
      </c>
      <c r="D38" s="16">
        <v>489</v>
      </c>
      <c r="E38" s="16" t="s">
        <v>31</v>
      </c>
      <c r="F38" s="16">
        <v>9938</v>
      </c>
      <c r="G38" s="16" t="s">
        <v>1519</v>
      </c>
      <c r="H38" s="10">
        <v>0.1</v>
      </c>
      <c r="I38" s="16" t="s">
        <v>26</v>
      </c>
      <c r="J38" s="10">
        <v>3557771.4</v>
      </c>
      <c r="K38" s="16" t="s">
        <v>27</v>
      </c>
      <c r="L38" s="16">
        <v>195941</v>
      </c>
      <c r="M38" s="16" t="s">
        <v>1522</v>
      </c>
      <c r="O38" s="16">
        <v>1</v>
      </c>
    </row>
    <row r="39" spans="1:17" s="16" customFormat="1" x14ac:dyDescent="0.25">
      <c r="A39" s="16">
        <v>8003879954</v>
      </c>
      <c r="B39" s="16">
        <v>19</v>
      </c>
      <c r="C39" s="16">
        <v>27082018</v>
      </c>
      <c r="D39" s="16">
        <v>341</v>
      </c>
      <c r="E39" s="16" t="s">
        <v>25</v>
      </c>
      <c r="F39" s="16">
        <v>9938</v>
      </c>
      <c r="G39" s="16" t="s">
        <v>1523</v>
      </c>
      <c r="H39" s="10">
        <v>706</v>
      </c>
      <c r="I39" s="16" t="s">
        <v>26</v>
      </c>
      <c r="J39" s="10">
        <v>3557771.5</v>
      </c>
      <c r="K39" s="16" t="s">
        <v>27</v>
      </c>
      <c r="L39" s="16">
        <v>195941</v>
      </c>
      <c r="M39" s="16" t="s">
        <v>39</v>
      </c>
      <c r="O39" s="16">
        <v>1</v>
      </c>
      <c r="P39" s="16" t="s">
        <v>1524</v>
      </c>
      <c r="Q39" s="16" t="s">
        <v>1525</v>
      </c>
    </row>
    <row r="40" spans="1:17" s="16" customFormat="1" x14ac:dyDescent="0.25">
      <c r="A40" s="16">
        <v>8003879954</v>
      </c>
      <c r="B40" s="16">
        <v>18</v>
      </c>
      <c r="C40" s="16">
        <v>27082018</v>
      </c>
      <c r="D40" s="16">
        <v>489</v>
      </c>
      <c r="E40" s="16" t="s">
        <v>31</v>
      </c>
      <c r="F40" s="16">
        <v>9938</v>
      </c>
      <c r="G40" s="16" t="s">
        <v>1523</v>
      </c>
      <c r="H40" s="10">
        <v>0.1</v>
      </c>
      <c r="I40" s="16" t="s">
        <v>26</v>
      </c>
      <c r="J40" s="10">
        <v>3558477.5</v>
      </c>
      <c r="K40" s="16" t="s">
        <v>27</v>
      </c>
      <c r="L40" s="16">
        <v>195941</v>
      </c>
      <c r="M40" s="16" t="s">
        <v>1526</v>
      </c>
      <c r="O40" s="16">
        <v>1</v>
      </c>
    </row>
    <row r="41" spans="1:17" s="16" customFormat="1" x14ac:dyDescent="0.25">
      <c r="A41" s="16">
        <v>8003879954</v>
      </c>
      <c r="B41" s="16">
        <v>17</v>
      </c>
      <c r="C41" s="16">
        <v>27082018</v>
      </c>
      <c r="D41" s="16">
        <v>60</v>
      </c>
      <c r="E41" s="16" t="s">
        <v>37</v>
      </c>
      <c r="F41" s="16">
        <v>9938</v>
      </c>
      <c r="G41" s="16" t="s">
        <v>1527</v>
      </c>
      <c r="H41" s="10">
        <v>180</v>
      </c>
      <c r="I41" s="16" t="s">
        <v>26</v>
      </c>
      <c r="J41" s="10">
        <v>3558477.6</v>
      </c>
      <c r="K41" s="16" t="s">
        <v>27</v>
      </c>
      <c r="L41" s="16">
        <v>195940</v>
      </c>
      <c r="M41" s="16" t="s">
        <v>1528</v>
      </c>
      <c r="O41" s="16">
        <v>1</v>
      </c>
      <c r="P41" s="16" t="s">
        <v>1529</v>
      </c>
      <c r="Q41" s="16" t="s">
        <v>1530</v>
      </c>
    </row>
    <row r="42" spans="1:17" s="16" customFormat="1" x14ac:dyDescent="0.25">
      <c r="A42" s="16">
        <v>8003879954</v>
      </c>
      <c r="B42" s="16">
        <v>16</v>
      </c>
      <c r="C42" s="16">
        <v>27082018</v>
      </c>
      <c r="D42" s="16">
        <v>341</v>
      </c>
      <c r="E42" s="16" t="s">
        <v>25</v>
      </c>
      <c r="F42" s="16">
        <v>9938</v>
      </c>
      <c r="G42" s="16" t="s">
        <v>1531</v>
      </c>
      <c r="H42" s="10">
        <v>7145.8</v>
      </c>
      <c r="I42" s="16" t="s">
        <v>26</v>
      </c>
      <c r="J42" s="10">
        <v>3558657.6</v>
      </c>
      <c r="K42" s="16" t="s">
        <v>27</v>
      </c>
      <c r="L42" s="16">
        <v>195712</v>
      </c>
      <c r="M42" s="16" t="s">
        <v>240</v>
      </c>
      <c r="O42" s="16">
        <v>1</v>
      </c>
      <c r="P42" s="16" t="s">
        <v>1532</v>
      </c>
      <c r="Q42" s="16" t="s">
        <v>1533</v>
      </c>
    </row>
    <row r="43" spans="1:17" s="16" customFormat="1" x14ac:dyDescent="0.25">
      <c r="A43" s="16">
        <v>8003879954</v>
      </c>
      <c r="B43" s="16">
        <v>15</v>
      </c>
      <c r="C43" s="16">
        <v>27082018</v>
      </c>
      <c r="D43" s="16">
        <v>489</v>
      </c>
      <c r="E43" s="16" t="s">
        <v>31</v>
      </c>
      <c r="F43" s="16">
        <v>9938</v>
      </c>
      <c r="G43" s="16" t="s">
        <v>1531</v>
      </c>
      <c r="H43" s="10">
        <v>0.1</v>
      </c>
      <c r="I43" s="16" t="s">
        <v>26</v>
      </c>
      <c r="J43" s="10">
        <v>3565803.4</v>
      </c>
      <c r="K43" s="16" t="s">
        <v>27</v>
      </c>
      <c r="L43" s="16">
        <v>195712</v>
      </c>
      <c r="M43" s="16" t="s">
        <v>1534</v>
      </c>
      <c r="O43" s="16">
        <v>1</v>
      </c>
    </row>
    <row r="44" spans="1:17" s="16" customFormat="1" x14ac:dyDescent="0.25">
      <c r="A44" s="16">
        <v>8003879954</v>
      </c>
      <c r="B44" s="16">
        <v>14</v>
      </c>
      <c r="C44" s="16">
        <v>27082018</v>
      </c>
      <c r="D44" s="16">
        <v>60</v>
      </c>
      <c r="E44" s="16" t="s">
        <v>37</v>
      </c>
      <c r="F44" s="16">
        <v>9938</v>
      </c>
      <c r="G44" s="16" t="s">
        <v>1535</v>
      </c>
      <c r="H44" s="10">
        <v>4750</v>
      </c>
      <c r="I44" s="16" t="s">
        <v>26</v>
      </c>
      <c r="J44" s="10">
        <v>3565803.5</v>
      </c>
      <c r="K44" s="16" t="s">
        <v>27</v>
      </c>
      <c r="L44" s="16">
        <v>195712</v>
      </c>
      <c r="M44" s="16" t="s">
        <v>1536</v>
      </c>
      <c r="O44" s="16">
        <v>1</v>
      </c>
      <c r="P44" s="16" t="s">
        <v>1537</v>
      </c>
      <c r="Q44" s="16" t="s">
        <v>1538</v>
      </c>
    </row>
    <row r="45" spans="1:17" s="16" customFormat="1" x14ac:dyDescent="0.25">
      <c r="A45" s="16">
        <v>8003879954</v>
      </c>
      <c r="B45" s="16">
        <v>13</v>
      </c>
      <c r="C45" s="16">
        <v>27082018</v>
      </c>
      <c r="D45" s="16">
        <v>60</v>
      </c>
      <c r="E45" s="16" t="s">
        <v>37</v>
      </c>
      <c r="F45" s="16">
        <v>9938</v>
      </c>
      <c r="G45" s="16" t="s">
        <v>1539</v>
      </c>
      <c r="H45" s="10">
        <v>2430</v>
      </c>
      <c r="I45" s="16" t="s">
        <v>26</v>
      </c>
      <c r="J45" s="10">
        <v>3570553.5</v>
      </c>
      <c r="K45" s="16" t="s">
        <v>27</v>
      </c>
      <c r="L45" s="16">
        <v>195709</v>
      </c>
      <c r="M45" s="16" t="s">
        <v>1540</v>
      </c>
      <c r="O45" s="16">
        <v>1</v>
      </c>
      <c r="P45" s="16" t="s">
        <v>1541</v>
      </c>
      <c r="Q45" s="16" t="s">
        <v>1542</v>
      </c>
    </row>
    <row r="46" spans="1:17" s="16" customFormat="1" x14ac:dyDescent="0.25">
      <c r="A46" s="16">
        <v>8003879954</v>
      </c>
      <c r="B46" s="16">
        <v>12</v>
      </c>
      <c r="C46" s="16">
        <v>27082018</v>
      </c>
      <c r="D46" s="16">
        <v>60</v>
      </c>
      <c r="E46" s="16" t="s">
        <v>37</v>
      </c>
      <c r="F46" s="16">
        <v>9938</v>
      </c>
      <c r="G46" s="16" t="s">
        <v>1543</v>
      </c>
      <c r="H46" s="10">
        <v>689.6</v>
      </c>
      <c r="I46" s="16" t="s">
        <v>26</v>
      </c>
      <c r="J46" s="10">
        <v>3572983.5</v>
      </c>
      <c r="K46" s="16" t="s">
        <v>27</v>
      </c>
      <c r="L46" s="16">
        <v>195709</v>
      </c>
      <c r="M46" s="16" t="s">
        <v>1544</v>
      </c>
      <c r="O46" s="16">
        <v>1</v>
      </c>
      <c r="P46" s="16" t="s">
        <v>1545</v>
      </c>
      <c r="Q46" s="16" t="s">
        <v>52</v>
      </c>
    </row>
    <row r="47" spans="1:17" s="16" customFormat="1" x14ac:dyDescent="0.25">
      <c r="A47" s="16">
        <v>8003879954</v>
      </c>
      <c r="B47" s="16">
        <v>11</v>
      </c>
      <c r="C47" s="16">
        <v>27082018</v>
      </c>
      <c r="D47" s="16">
        <v>341</v>
      </c>
      <c r="E47" s="16" t="s">
        <v>25</v>
      </c>
      <c r="F47" s="16">
        <v>9938</v>
      </c>
      <c r="G47" s="16" t="s">
        <v>1546</v>
      </c>
      <c r="H47" s="10">
        <v>233.6</v>
      </c>
      <c r="I47" s="16" t="s">
        <v>26</v>
      </c>
      <c r="J47" s="10">
        <v>3573673.1</v>
      </c>
      <c r="K47" s="16" t="s">
        <v>27</v>
      </c>
      <c r="L47" s="16">
        <v>195711</v>
      </c>
      <c r="M47" s="16" t="s">
        <v>119</v>
      </c>
      <c r="O47" s="16">
        <v>1</v>
      </c>
      <c r="P47" s="16" t="s">
        <v>1547</v>
      </c>
      <c r="Q47" s="16" t="s">
        <v>1548</v>
      </c>
    </row>
    <row r="48" spans="1:17" s="16" customFormat="1" x14ac:dyDescent="0.25">
      <c r="A48" s="16">
        <v>8003879954</v>
      </c>
      <c r="B48" s="16">
        <v>10</v>
      </c>
      <c r="C48" s="16">
        <v>27082018</v>
      </c>
      <c r="D48" s="16">
        <v>489</v>
      </c>
      <c r="E48" s="16" t="s">
        <v>31</v>
      </c>
      <c r="F48" s="16">
        <v>9938</v>
      </c>
      <c r="G48" s="16" t="s">
        <v>1546</v>
      </c>
      <c r="H48" s="10">
        <v>0.1</v>
      </c>
      <c r="I48" s="16" t="s">
        <v>26</v>
      </c>
      <c r="J48" s="10">
        <v>3573906.7</v>
      </c>
      <c r="K48" s="16" t="s">
        <v>27</v>
      </c>
      <c r="L48" s="16">
        <v>195711</v>
      </c>
      <c r="M48" s="16" t="s">
        <v>1549</v>
      </c>
      <c r="O48" s="16">
        <v>1</v>
      </c>
    </row>
    <row r="49" spans="1:18" s="16" customFormat="1" x14ac:dyDescent="0.25">
      <c r="A49" s="16">
        <v>8003879954</v>
      </c>
      <c r="B49" s="16">
        <v>9</v>
      </c>
      <c r="C49" s="16">
        <v>27082018</v>
      </c>
      <c r="D49" s="16">
        <v>341</v>
      </c>
      <c r="E49" s="16" t="s">
        <v>25</v>
      </c>
      <c r="F49" s="16">
        <v>9938</v>
      </c>
      <c r="G49" s="16" t="s">
        <v>1550</v>
      </c>
      <c r="H49" s="10">
        <v>65</v>
      </c>
      <c r="I49" s="16" t="s">
        <v>26</v>
      </c>
      <c r="J49" s="10">
        <v>3573906.8</v>
      </c>
      <c r="K49" s="16" t="s">
        <v>27</v>
      </c>
      <c r="L49" s="16">
        <v>195711</v>
      </c>
      <c r="M49" s="16" t="s">
        <v>99</v>
      </c>
      <c r="O49" s="16">
        <v>1</v>
      </c>
      <c r="P49" s="16" t="s">
        <v>1551</v>
      </c>
      <c r="Q49" s="16" t="s">
        <v>1552</v>
      </c>
    </row>
    <row r="50" spans="1:18" s="16" customFormat="1" x14ac:dyDescent="0.25">
      <c r="A50" s="16">
        <v>8003879954</v>
      </c>
      <c r="B50" s="16">
        <v>8</v>
      </c>
      <c r="C50" s="16">
        <v>27082018</v>
      </c>
      <c r="D50" s="16">
        <v>489</v>
      </c>
      <c r="E50" s="16" t="s">
        <v>31</v>
      </c>
      <c r="F50" s="16">
        <v>9938</v>
      </c>
      <c r="G50" s="16" t="s">
        <v>1550</v>
      </c>
      <c r="H50" s="10">
        <v>0.1</v>
      </c>
      <c r="I50" s="16" t="s">
        <v>26</v>
      </c>
      <c r="J50" s="10">
        <v>3573971.8</v>
      </c>
      <c r="K50" s="16" t="s">
        <v>27</v>
      </c>
      <c r="L50" s="16">
        <v>195711</v>
      </c>
      <c r="M50" s="16" t="s">
        <v>1553</v>
      </c>
      <c r="O50" s="16">
        <v>1</v>
      </c>
    </row>
    <row r="51" spans="1:18" s="16" customFormat="1" x14ac:dyDescent="0.25">
      <c r="A51" s="16">
        <v>8003879954</v>
      </c>
      <c r="B51" s="16">
        <v>7</v>
      </c>
      <c r="C51" s="16">
        <v>27082018</v>
      </c>
      <c r="D51" s="16">
        <v>341</v>
      </c>
      <c r="E51" s="16" t="s">
        <v>25</v>
      </c>
      <c r="F51" s="16">
        <v>9938</v>
      </c>
      <c r="G51" s="16" t="s">
        <v>1554</v>
      </c>
      <c r="H51" s="10">
        <v>3080</v>
      </c>
      <c r="I51" s="16" t="s">
        <v>26</v>
      </c>
      <c r="J51" s="10">
        <v>3573971.9</v>
      </c>
      <c r="K51" s="16" t="s">
        <v>27</v>
      </c>
      <c r="L51" s="16">
        <v>195710</v>
      </c>
      <c r="M51" s="16" t="s">
        <v>263</v>
      </c>
      <c r="O51" s="16">
        <v>1</v>
      </c>
      <c r="P51" s="16" t="s">
        <v>1555</v>
      </c>
      <c r="Q51" s="16" t="s">
        <v>1556</v>
      </c>
    </row>
    <row r="52" spans="1:18" s="16" customFormat="1" x14ac:dyDescent="0.25">
      <c r="A52" s="16">
        <v>8003879954</v>
      </c>
      <c r="B52" s="16">
        <v>6</v>
      </c>
      <c r="C52" s="16">
        <v>27082018</v>
      </c>
      <c r="D52" s="16">
        <v>489</v>
      </c>
      <c r="E52" s="16" t="s">
        <v>31</v>
      </c>
      <c r="F52" s="16">
        <v>9938</v>
      </c>
      <c r="G52" s="16" t="s">
        <v>1554</v>
      </c>
      <c r="H52" s="10">
        <v>0.1</v>
      </c>
      <c r="I52" s="16" t="s">
        <v>26</v>
      </c>
      <c r="J52" s="10">
        <v>3577051.9</v>
      </c>
      <c r="K52" s="16" t="s">
        <v>27</v>
      </c>
      <c r="L52" s="16">
        <v>195710</v>
      </c>
      <c r="M52" s="16" t="s">
        <v>1557</v>
      </c>
      <c r="O52" s="16">
        <v>1</v>
      </c>
    </row>
    <row r="53" spans="1:18" s="16" customFormat="1" x14ac:dyDescent="0.25">
      <c r="A53" s="16">
        <v>8003879954</v>
      </c>
      <c r="B53" s="16">
        <v>5</v>
      </c>
      <c r="C53" s="16">
        <v>27082018</v>
      </c>
      <c r="D53" s="16">
        <v>341</v>
      </c>
      <c r="E53" s="16" t="s">
        <v>25</v>
      </c>
      <c r="F53" s="16">
        <v>9938</v>
      </c>
      <c r="G53" s="16" t="s">
        <v>1558</v>
      </c>
      <c r="H53" s="10">
        <v>300</v>
      </c>
      <c r="I53" s="16" t="s">
        <v>26</v>
      </c>
      <c r="J53" s="10">
        <v>3577052</v>
      </c>
      <c r="K53" s="16" t="s">
        <v>27</v>
      </c>
      <c r="L53" s="16">
        <v>195710</v>
      </c>
      <c r="M53" s="16" t="s">
        <v>1004</v>
      </c>
      <c r="O53" s="16">
        <v>1</v>
      </c>
      <c r="P53" s="16" t="s">
        <v>1559</v>
      </c>
      <c r="Q53" s="16" t="s">
        <v>1560</v>
      </c>
    </row>
    <row r="54" spans="1:18" s="16" customFormat="1" x14ac:dyDescent="0.25">
      <c r="A54" s="16">
        <v>8003879954</v>
      </c>
      <c r="B54" s="16">
        <v>4</v>
      </c>
      <c r="C54" s="16">
        <v>27082018</v>
      </c>
      <c r="D54" s="16">
        <v>489</v>
      </c>
      <c r="E54" s="16" t="s">
        <v>31</v>
      </c>
      <c r="F54" s="16">
        <v>9938</v>
      </c>
      <c r="G54" s="16" t="s">
        <v>1558</v>
      </c>
      <c r="H54" s="10">
        <v>0.1</v>
      </c>
      <c r="I54" s="16" t="s">
        <v>26</v>
      </c>
      <c r="J54" s="10">
        <v>3577352</v>
      </c>
      <c r="K54" s="16" t="s">
        <v>27</v>
      </c>
      <c r="L54" s="16">
        <v>195710</v>
      </c>
      <c r="M54" s="16" t="s">
        <v>1561</v>
      </c>
      <c r="O54" s="16">
        <v>1</v>
      </c>
    </row>
    <row r="55" spans="1:18" s="16" customFormat="1" x14ac:dyDescent="0.25">
      <c r="A55" s="16">
        <v>8003879954</v>
      </c>
      <c r="B55" s="16">
        <v>3</v>
      </c>
      <c r="C55" s="16">
        <v>27082018</v>
      </c>
      <c r="D55" s="16">
        <v>341</v>
      </c>
      <c r="E55" s="16" t="s">
        <v>25</v>
      </c>
      <c r="F55" s="16">
        <v>9938</v>
      </c>
      <c r="G55" s="16" t="s">
        <v>1562</v>
      </c>
      <c r="H55" s="10">
        <v>3382</v>
      </c>
      <c r="I55" s="16" t="s">
        <v>26</v>
      </c>
      <c r="J55" s="10">
        <v>3577352.1</v>
      </c>
      <c r="K55" s="16" t="s">
        <v>27</v>
      </c>
      <c r="L55" s="16">
        <v>195710</v>
      </c>
      <c r="M55" s="16" t="s">
        <v>1247</v>
      </c>
      <c r="O55" s="16">
        <v>1</v>
      </c>
      <c r="P55" s="16" t="s">
        <v>1563</v>
      </c>
      <c r="Q55" s="16" t="s">
        <v>1564</v>
      </c>
    </row>
    <row r="56" spans="1:18" s="16" customFormat="1" x14ac:dyDescent="0.25">
      <c r="A56" s="16">
        <v>8003879954</v>
      </c>
      <c r="B56" s="16">
        <v>2</v>
      </c>
      <c r="C56" s="16">
        <v>27082018</v>
      </c>
      <c r="D56" s="16">
        <v>489</v>
      </c>
      <c r="E56" s="16" t="s">
        <v>31</v>
      </c>
      <c r="F56" s="16">
        <v>9938</v>
      </c>
      <c r="G56" s="16" t="s">
        <v>1562</v>
      </c>
      <c r="H56" s="10">
        <v>0.1</v>
      </c>
      <c r="I56" s="16" t="s">
        <v>26</v>
      </c>
      <c r="J56" s="10">
        <v>3580734.1</v>
      </c>
      <c r="K56" s="16" t="s">
        <v>27</v>
      </c>
      <c r="L56" s="16">
        <v>195710</v>
      </c>
      <c r="M56" s="16" t="s">
        <v>1565</v>
      </c>
      <c r="O56" s="16">
        <v>1</v>
      </c>
    </row>
    <row r="57" spans="1:18" s="16" customFormat="1" x14ac:dyDescent="0.25">
      <c r="A57" s="16">
        <v>8003879954</v>
      </c>
      <c r="B57" s="16">
        <v>1</v>
      </c>
      <c r="C57" s="16">
        <v>27082018</v>
      </c>
      <c r="D57" s="16">
        <v>60</v>
      </c>
      <c r="E57" s="16" t="s">
        <v>37</v>
      </c>
      <c r="F57" s="16">
        <v>9938</v>
      </c>
      <c r="G57" s="16" t="s">
        <v>1566</v>
      </c>
      <c r="H57" s="10">
        <v>3202.55</v>
      </c>
      <c r="I57" s="16" t="s">
        <v>26</v>
      </c>
      <c r="J57" s="10">
        <v>3580734.2</v>
      </c>
      <c r="K57" s="16" t="s">
        <v>27</v>
      </c>
      <c r="L57" s="16">
        <v>195709</v>
      </c>
      <c r="M57" s="16" t="s">
        <v>1287</v>
      </c>
      <c r="O57" s="16">
        <v>1</v>
      </c>
      <c r="P57" s="16" t="s">
        <v>1288</v>
      </c>
      <c r="Q57" s="16" t="s">
        <v>606</v>
      </c>
    </row>
    <row r="58" spans="1:18" s="16" customFormat="1" x14ac:dyDescent="0.25">
      <c r="A58" s="16">
        <v>8003879954</v>
      </c>
      <c r="B58" s="16">
        <v>7</v>
      </c>
      <c r="C58" s="16">
        <v>23082018</v>
      </c>
      <c r="D58" s="16">
        <v>819</v>
      </c>
      <c r="E58" s="16" t="s">
        <v>35</v>
      </c>
      <c r="H58" s="10">
        <v>0.5</v>
      </c>
      <c r="I58" s="16" t="s">
        <v>26</v>
      </c>
      <c r="J58" s="10">
        <v>3583936.75</v>
      </c>
      <c r="K58" s="16" t="s">
        <v>27</v>
      </c>
      <c r="L58" s="16">
        <v>5546</v>
      </c>
      <c r="M58" s="16" t="s">
        <v>32</v>
      </c>
      <c r="O58" s="16">
        <v>1</v>
      </c>
    </row>
    <row r="59" spans="1:18" s="16" customFormat="1" x14ac:dyDescent="0.25">
      <c r="A59" s="16">
        <v>8003879954</v>
      </c>
      <c r="B59" s="16">
        <v>6</v>
      </c>
      <c r="C59" s="16">
        <v>23082018</v>
      </c>
      <c r="D59" s="16">
        <v>819</v>
      </c>
      <c r="E59" s="16" t="s">
        <v>35</v>
      </c>
      <c r="H59" s="10">
        <v>0.5</v>
      </c>
      <c r="I59" s="16" t="s">
        <v>26</v>
      </c>
      <c r="J59" s="10">
        <v>3583937.25</v>
      </c>
      <c r="K59" s="16" t="s">
        <v>27</v>
      </c>
      <c r="L59" s="16">
        <v>5546</v>
      </c>
      <c r="M59" s="16" t="s">
        <v>32</v>
      </c>
      <c r="O59" s="16">
        <v>1</v>
      </c>
    </row>
    <row r="60" spans="1:18" s="16" customFormat="1" x14ac:dyDescent="0.25">
      <c r="A60" s="16">
        <v>8003879954</v>
      </c>
      <c r="B60" s="16">
        <v>5</v>
      </c>
      <c r="C60" s="16">
        <v>23082018</v>
      </c>
      <c r="D60" s="16">
        <v>321</v>
      </c>
      <c r="E60" s="16" t="s">
        <v>36</v>
      </c>
      <c r="F60" s="16">
        <v>0</v>
      </c>
      <c r="G60" s="16" t="s">
        <v>1567</v>
      </c>
      <c r="H60" s="10">
        <v>44790.79</v>
      </c>
      <c r="I60" s="16" t="s">
        <v>26</v>
      </c>
      <c r="J60" s="10">
        <v>3583937.75</v>
      </c>
      <c r="K60" s="16" t="s">
        <v>27</v>
      </c>
      <c r="L60" s="16">
        <v>5508</v>
      </c>
      <c r="M60" s="16" t="s">
        <v>32</v>
      </c>
      <c r="O60" s="16">
        <v>1</v>
      </c>
    </row>
    <row r="61" spans="1:18" s="16" customFormat="1" x14ac:dyDescent="0.25">
      <c r="A61" s="16">
        <v>8003879954</v>
      </c>
      <c r="B61" s="16">
        <v>4</v>
      </c>
      <c r="C61" s="16">
        <v>23082018</v>
      </c>
      <c r="D61" s="16">
        <v>323</v>
      </c>
      <c r="E61" s="16" t="s">
        <v>50</v>
      </c>
      <c r="F61" s="16">
        <v>0</v>
      </c>
      <c r="G61" s="16" t="s">
        <v>1568</v>
      </c>
      <c r="H61" s="10">
        <v>58560</v>
      </c>
      <c r="I61" s="16" t="s">
        <v>26</v>
      </c>
      <c r="J61" s="10">
        <v>3628728.54</v>
      </c>
      <c r="K61" s="16" t="s">
        <v>27</v>
      </c>
      <c r="L61" s="16">
        <v>5508</v>
      </c>
      <c r="M61" s="16" t="s">
        <v>32</v>
      </c>
      <c r="O61" s="16">
        <v>1</v>
      </c>
    </row>
    <row r="62" spans="1:18" s="16" customFormat="1" x14ac:dyDescent="0.25">
      <c r="A62" s="16">
        <v>8003879954</v>
      </c>
      <c r="B62" s="16">
        <v>3</v>
      </c>
      <c r="C62" s="16">
        <v>23082018</v>
      </c>
      <c r="D62" s="16">
        <v>346</v>
      </c>
      <c r="E62" s="16" t="s">
        <v>137</v>
      </c>
      <c r="F62" s="16">
        <v>9938</v>
      </c>
      <c r="G62" s="16" t="s">
        <v>1569</v>
      </c>
      <c r="H62" s="10">
        <v>5056.26</v>
      </c>
      <c r="I62" s="16" t="s">
        <v>26</v>
      </c>
      <c r="J62" s="10">
        <v>3687288.54</v>
      </c>
      <c r="K62" s="16" t="s">
        <v>27</v>
      </c>
      <c r="L62" s="16">
        <v>142031</v>
      </c>
      <c r="M62" s="16" t="s">
        <v>139</v>
      </c>
      <c r="O62" s="16">
        <v>1</v>
      </c>
      <c r="P62" s="16" t="s">
        <v>1570</v>
      </c>
      <c r="Q62" s="16" t="s">
        <v>1571</v>
      </c>
    </row>
    <row r="63" spans="1:18" s="16" customFormat="1" x14ac:dyDescent="0.25">
      <c r="A63" s="16">
        <v>8003879954</v>
      </c>
      <c r="B63" s="16">
        <v>2</v>
      </c>
      <c r="C63" s="16">
        <v>23082018</v>
      </c>
      <c r="D63" s="16">
        <v>174</v>
      </c>
      <c r="E63" s="16" t="s">
        <v>159</v>
      </c>
      <c r="F63" s="16">
        <v>2001</v>
      </c>
      <c r="G63" s="16" t="s">
        <v>1572</v>
      </c>
      <c r="H63" s="10">
        <v>2000</v>
      </c>
      <c r="I63" s="16" t="s">
        <v>27</v>
      </c>
      <c r="J63" s="10">
        <v>3692344.8</v>
      </c>
      <c r="K63" s="16" t="s">
        <v>27</v>
      </c>
      <c r="L63" s="16">
        <v>121454</v>
      </c>
      <c r="M63" s="16" t="s">
        <v>518</v>
      </c>
      <c r="O63" s="16">
        <v>1</v>
      </c>
      <c r="P63" s="16" t="s">
        <v>518</v>
      </c>
      <c r="Q63" s="16" t="s">
        <v>518</v>
      </c>
      <c r="R63" s="16" t="s">
        <v>1573</v>
      </c>
    </row>
    <row r="64" spans="1:18" s="16" customFormat="1" x14ac:dyDescent="0.25">
      <c r="A64" s="16">
        <v>8003879954</v>
      </c>
      <c r="B64" s="16">
        <v>1</v>
      </c>
      <c r="C64" s="16">
        <v>23082018</v>
      </c>
      <c r="D64" s="16">
        <v>489</v>
      </c>
      <c r="E64" s="16" t="s">
        <v>1574</v>
      </c>
      <c r="F64" s="16">
        <v>714</v>
      </c>
      <c r="G64" s="16" t="s">
        <v>1575</v>
      </c>
      <c r="H64" s="10">
        <v>10</v>
      </c>
      <c r="I64" s="16" t="s">
        <v>26</v>
      </c>
      <c r="J64" s="10">
        <v>3690344.8</v>
      </c>
      <c r="K64" s="16" t="s">
        <v>27</v>
      </c>
      <c r="L64" s="16">
        <v>113912</v>
      </c>
      <c r="M64" s="16" t="s">
        <v>1576</v>
      </c>
      <c r="O64" s="16">
        <v>1</v>
      </c>
    </row>
    <row r="65" spans="1:17" s="16" customFormat="1" x14ac:dyDescent="0.25">
      <c r="A65" s="16">
        <v>8003879954</v>
      </c>
      <c r="B65" s="16">
        <v>19</v>
      </c>
      <c r="C65" s="16">
        <v>21082018</v>
      </c>
      <c r="D65" s="16">
        <v>415</v>
      </c>
      <c r="E65" s="16" t="s">
        <v>1804</v>
      </c>
      <c r="F65" s="16">
        <v>982</v>
      </c>
      <c r="G65" s="16" t="s">
        <v>1577</v>
      </c>
      <c r="H65" s="18">
        <v>20</v>
      </c>
      <c r="I65" s="16" t="s">
        <v>26</v>
      </c>
      <c r="J65" s="10">
        <v>3690354.8</v>
      </c>
      <c r="K65" s="16" t="s">
        <v>27</v>
      </c>
      <c r="L65" s="16">
        <v>165159</v>
      </c>
      <c r="M65" s="16" t="s">
        <v>1578</v>
      </c>
      <c r="O65" s="16">
        <v>1</v>
      </c>
    </row>
    <row r="66" spans="1:17" s="16" customFormat="1" x14ac:dyDescent="0.25">
      <c r="A66" s="16">
        <v>8003879954</v>
      </c>
      <c r="B66" s="16">
        <v>18</v>
      </c>
      <c r="C66" s="16">
        <v>21082018</v>
      </c>
      <c r="D66" s="16">
        <v>349</v>
      </c>
      <c r="E66" s="16" t="s">
        <v>49</v>
      </c>
      <c r="F66" s="16">
        <v>982</v>
      </c>
      <c r="G66" s="16" t="s">
        <v>1577</v>
      </c>
      <c r="H66" s="10">
        <v>10224.07</v>
      </c>
      <c r="I66" s="16" t="s">
        <v>26</v>
      </c>
      <c r="J66" s="10">
        <v>3690374.8</v>
      </c>
      <c r="K66" s="16" t="s">
        <v>27</v>
      </c>
      <c r="L66" s="16">
        <v>165159</v>
      </c>
      <c r="M66" s="16" t="s">
        <v>1578</v>
      </c>
      <c r="O66" s="16">
        <v>1</v>
      </c>
    </row>
    <row r="67" spans="1:17" s="16" customFormat="1" x14ac:dyDescent="0.25">
      <c r="A67" s="16">
        <v>8003879954</v>
      </c>
      <c r="B67" s="16">
        <v>17</v>
      </c>
      <c r="C67" s="16">
        <v>21082018</v>
      </c>
      <c r="D67" s="16">
        <v>341</v>
      </c>
      <c r="E67" s="16" t="s">
        <v>25</v>
      </c>
      <c r="F67" s="16">
        <v>9938</v>
      </c>
      <c r="G67" s="16" t="s">
        <v>1579</v>
      </c>
      <c r="H67" s="10">
        <v>35.450000000000003</v>
      </c>
      <c r="I67" s="16" t="s">
        <v>26</v>
      </c>
      <c r="J67" s="10">
        <v>3700598.87</v>
      </c>
      <c r="K67" s="16" t="s">
        <v>27</v>
      </c>
      <c r="L67" s="16">
        <v>135058</v>
      </c>
      <c r="M67" s="16" t="s">
        <v>75</v>
      </c>
      <c r="O67" s="16">
        <v>1</v>
      </c>
      <c r="P67" s="16" t="s">
        <v>1580</v>
      </c>
      <c r="Q67" s="16" t="s">
        <v>77</v>
      </c>
    </row>
    <row r="68" spans="1:17" s="16" customFormat="1" x14ac:dyDescent="0.25">
      <c r="A68" s="16">
        <v>8003879954</v>
      </c>
      <c r="B68" s="16">
        <v>16</v>
      </c>
      <c r="C68" s="16">
        <v>21082018</v>
      </c>
      <c r="D68" s="16">
        <v>489</v>
      </c>
      <c r="E68" s="16" t="s">
        <v>31</v>
      </c>
      <c r="F68" s="16">
        <v>9938</v>
      </c>
      <c r="G68" s="16" t="s">
        <v>1579</v>
      </c>
      <c r="H68" s="10">
        <v>0.1</v>
      </c>
      <c r="I68" s="16" t="s">
        <v>26</v>
      </c>
      <c r="J68" s="10">
        <v>3700634.32</v>
      </c>
      <c r="K68" s="16" t="s">
        <v>27</v>
      </c>
      <c r="L68" s="16">
        <v>135058</v>
      </c>
      <c r="M68" s="16" t="s">
        <v>1581</v>
      </c>
      <c r="O68" s="16">
        <v>1</v>
      </c>
    </row>
    <row r="69" spans="1:17" s="16" customFormat="1" x14ac:dyDescent="0.25">
      <c r="A69" s="16">
        <v>8003879954</v>
      </c>
      <c r="B69" s="16">
        <v>15</v>
      </c>
      <c r="C69" s="16">
        <v>21082018</v>
      </c>
      <c r="D69" s="16">
        <v>341</v>
      </c>
      <c r="E69" s="16" t="s">
        <v>25</v>
      </c>
      <c r="F69" s="16">
        <v>9938</v>
      </c>
      <c r="G69" s="16" t="s">
        <v>1582</v>
      </c>
      <c r="H69" s="10">
        <v>490</v>
      </c>
      <c r="I69" s="16" t="s">
        <v>26</v>
      </c>
      <c r="J69" s="10">
        <v>3700634.42</v>
      </c>
      <c r="K69" s="16" t="s">
        <v>27</v>
      </c>
      <c r="L69" s="16">
        <v>134617</v>
      </c>
      <c r="M69" s="16" t="s">
        <v>1004</v>
      </c>
      <c r="O69" s="16">
        <v>1</v>
      </c>
      <c r="P69" s="16" t="s">
        <v>1583</v>
      </c>
      <c r="Q69" s="16" t="s">
        <v>1584</v>
      </c>
    </row>
    <row r="70" spans="1:17" s="16" customFormat="1" x14ac:dyDescent="0.25">
      <c r="A70" s="16">
        <v>8003879954</v>
      </c>
      <c r="B70" s="16">
        <v>14</v>
      </c>
      <c r="C70" s="16">
        <v>21082018</v>
      </c>
      <c r="D70" s="16">
        <v>489</v>
      </c>
      <c r="E70" s="16" t="s">
        <v>31</v>
      </c>
      <c r="F70" s="16">
        <v>9938</v>
      </c>
      <c r="G70" s="16" t="s">
        <v>1582</v>
      </c>
      <c r="H70" s="10">
        <v>0.1</v>
      </c>
      <c r="I70" s="16" t="s">
        <v>26</v>
      </c>
      <c r="J70" s="10">
        <v>3701124.42</v>
      </c>
      <c r="K70" s="16" t="s">
        <v>27</v>
      </c>
      <c r="L70" s="16">
        <v>134617</v>
      </c>
      <c r="M70" s="16" t="s">
        <v>1585</v>
      </c>
      <c r="O70" s="16">
        <v>1</v>
      </c>
    </row>
    <row r="71" spans="1:17" s="16" customFormat="1" x14ac:dyDescent="0.25">
      <c r="A71" s="16">
        <v>8003879954</v>
      </c>
      <c r="B71" s="16">
        <v>13</v>
      </c>
      <c r="C71" s="16">
        <v>21082018</v>
      </c>
      <c r="D71" s="16">
        <v>341</v>
      </c>
      <c r="E71" s="16" t="s">
        <v>25</v>
      </c>
      <c r="F71" s="16">
        <v>9938</v>
      </c>
      <c r="G71" s="16" t="s">
        <v>1586</v>
      </c>
      <c r="H71" s="10">
        <v>3500</v>
      </c>
      <c r="I71" s="16" t="s">
        <v>26</v>
      </c>
      <c r="J71" s="10">
        <v>3701124.52</v>
      </c>
      <c r="K71" s="16" t="s">
        <v>27</v>
      </c>
      <c r="L71" s="16">
        <v>134616</v>
      </c>
      <c r="M71" s="16" t="s">
        <v>268</v>
      </c>
      <c r="O71" s="16">
        <v>1</v>
      </c>
      <c r="P71" s="16" t="s">
        <v>1587</v>
      </c>
      <c r="Q71" s="16" t="s">
        <v>1588</v>
      </c>
    </row>
    <row r="72" spans="1:17" s="16" customFormat="1" x14ac:dyDescent="0.25">
      <c r="A72" s="16">
        <v>8003879954</v>
      </c>
      <c r="B72" s="16">
        <v>12</v>
      </c>
      <c r="C72" s="16">
        <v>21082018</v>
      </c>
      <c r="D72" s="16">
        <v>489</v>
      </c>
      <c r="E72" s="16" t="s">
        <v>31</v>
      </c>
      <c r="F72" s="16">
        <v>9938</v>
      </c>
      <c r="G72" s="16" t="s">
        <v>1586</v>
      </c>
      <c r="H72" s="10">
        <v>0.1</v>
      </c>
      <c r="I72" s="16" t="s">
        <v>26</v>
      </c>
      <c r="J72" s="10">
        <v>3704624.52</v>
      </c>
      <c r="K72" s="16" t="s">
        <v>27</v>
      </c>
      <c r="L72" s="16">
        <v>134616</v>
      </c>
      <c r="M72" s="16" t="s">
        <v>1589</v>
      </c>
      <c r="O72" s="16">
        <v>1</v>
      </c>
    </row>
    <row r="73" spans="1:17" s="16" customFormat="1" x14ac:dyDescent="0.25">
      <c r="A73" s="16">
        <v>8003879954</v>
      </c>
      <c r="B73" s="16">
        <v>11</v>
      </c>
      <c r="C73" s="16">
        <v>21082018</v>
      </c>
      <c r="D73" s="16">
        <v>341</v>
      </c>
      <c r="E73" s="16" t="s">
        <v>25</v>
      </c>
      <c r="F73" s="16">
        <v>9938</v>
      </c>
      <c r="G73" s="16" t="s">
        <v>1590</v>
      </c>
      <c r="H73" s="10">
        <v>450</v>
      </c>
      <c r="I73" s="16" t="s">
        <v>26</v>
      </c>
      <c r="J73" s="10">
        <v>3704624.62</v>
      </c>
      <c r="K73" s="16" t="s">
        <v>27</v>
      </c>
      <c r="L73" s="16">
        <v>134616</v>
      </c>
      <c r="M73" s="16" t="s">
        <v>235</v>
      </c>
      <c r="O73" s="16">
        <v>1</v>
      </c>
      <c r="P73" s="16" t="s">
        <v>1591</v>
      </c>
      <c r="Q73" s="16" t="s">
        <v>1592</v>
      </c>
    </row>
    <row r="74" spans="1:17" s="16" customFormat="1" x14ac:dyDescent="0.25">
      <c r="A74" s="16">
        <v>8003879954</v>
      </c>
      <c r="B74" s="16">
        <v>10</v>
      </c>
      <c r="C74" s="16">
        <v>21082018</v>
      </c>
      <c r="D74" s="16">
        <v>489</v>
      </c>
      <c r="E74" s="16" t="s">
        <v>31</v>
      </c>
      <c r="F74" s="16">
        <v>9938</v>
      </c>
      <c r="G74" s="16" t="s">
        <v>1590</v>
      </c>
      <c r="H74" s="10">
        <v>0.1</v>
      </c>
      <c r="I74" s="16" t="s">
        <v>26</v>
      </c>
      <c r="J74" s="10">
        <v>3705074.62</v>
      </c>
      <c r="K74" s="16" t="s">
        <v>27</v>
      </c>
      <c r="L74" s="16">
        <v>134616</v>
      </c>
      <c r="M74" s="16" t="s">
        <v>1593</v>
      </c>
      <c r="O74" s="16">
        <v>1</v>
      </c>
    </row>
    <row r="75" spans="1:17" s="16" customFormat="1" x14ac:dyDescent="0.25">
      <c r="A75" s="16">
        <v>8003879954</v>
      </c>
      <c r="B75" s="16">
        <v>9</v>
      </c>
      <c r="C75" s="16">
        <v>21082018</v>
      </c>
      <c r="D75" s="16">
        <v>343</v>
      </c>
      <c r="E75" s="16" t="s">
        <v>115</v>
      </c>
      <c r="F75" s="16">
        <v>9938</v>
      </c>
      <c r="G75" s="16" t="s">
        <v>1594</v>
      </c>
      <c r="H75" s="10">
        <v>564</v>
      </c>
      <c r="I75" s="16" t="s">
        <v>26</v>
      </c>
      <c r="J75" s="10">
        <v>3705074.72</v>
      </c>
      <c r="K75" s="16" t="s">
        <v>27</v>
      </c>
      <c r="L75" s="16">
        <v>134616</v>
      </c>
      <c r="M75" s="16" t="s">
        <v>117</v>
      </c>
      <c r="O75" s="16">
        <v>1</v>
      </c>
    </row>
    <row r="76" spans="1:17" s="16" customFormat="1" x14ac:dyDescent="0.25">
      <c r="A76" s="16">
        <v>8003879954</v>
      </c>
      <c r="B76" s="16">
        <v>8</v>
      </c>
      <c r="C76" s="16">
        <v>21082018</v>
      </c>
      <c r="D76" s="16">
        <v>341</v>
      </c>
      <c r="E76" s="16" t="s">
        <v>25</v>
      </c>
      <c r="F76" s="16">
        <v>9938</v>
      </c>
      <c r="G76" s="16" t="s">
        <v>1595</v>
      </c>
      <c r="H76" s="10">
        <v>90</v>
      </c>
      <c r="I76" s="16" t="s">
        <v>26</v>
      </c>
      <c r="J76" s="10">
        <v>3705638.72</v>
      </c>
      <c r="K76" s="16" t="s">
        <v>27</v>
      </c>
      <c r="L76" s="16">
        <v>134616</v>
      </c>
      <c r="M76" s="16" t="s">
        <v>47</v>
      </c>
      <c r="O76" s="16">
        <v>1</v>
      </c>
      <c r="P76" s="16" t="s">
        <v>1596</v>
      </c>
      <c r="Q76" s="16" t="s">
        <v>1597</v>
      </c>
    </row>
    <row r="77" spans="1:17" s="16" customFormat="1" x14ac:dyDescent="0.25">
      <c r="A77" s="16">
        <v>8003879954</v>
      </c>
      <c r="B77" s="16">
        <v>7</v>
      </c>
      <c r="C77" s="16">
        <v>21082018</v>
      </c>
      <c r="D77" s="16">
        <v>489</v>
      </c>
      <c r="E77" s="16" t="s">
        <v>31</v>
      </c>
      <c r="F77" s="16">
        <v>9938</v>
      </c>
      <c r="G77" s="16" t="s">
        <v>1595</v>
      </c>
      <c r="H77" s="10">
        <v>0.1</v>
      </c>
      <c r="I77" s="16" t="s">
        <v>26</v>
      </c>
      <c r="J77" s="10">
        <v>3705728.72</v>
      </c>
      <c r="K77" s="16" t="s">
        <v>27</v>
      </c>
      <c r="L77" s="16">
        <v>134616</v>
      </c>
      <c r="M77" s="16" t="s">
        <v>1598</v>
      </c>
      <c r="O77" s="16">
        <v>1</v>
      </c>
    </row>
    <row r="78" spans="1:17" s="16" customFormat="1" x14ac:dyDescent="0.25">
      <c r="A78" s="16">
        <v>8003879954</v>
      </c>
      <c r="B78" s="16">
        <v>6</v>
      </c>
      <c r="C78" s="16">
        <v>21082018</v>
      </c>
      <c r="D78" s="16">
        <v>345</v>
      </c>
      <c r="E78" s="16" t="s">
        <v>51</v>
      </c>
      <c r="F78" s="16">
        <v>9938</v>
      </c>
      <c r="G78" s="16" t="s">
        <v>1599</v>
      </c>
      <c r="H78" s="10">
        <v>100</v>
      </c>
      <c r="I78" s="16" t="s">
        <v>26</v>
      </c>
      <c r="J78" s="10">
        <v>3705728.82</v>
      </c>
      <c r="K78" s="16" t="s">
        <v>27</v>
      </c>
      <c r="L78" s="16">
        <v>134615</v>
      </c>
      <c r="M78" s="16" t="s">
        <v>1600</v>
      </c>
      <c r="O78" s="16">
        <v>1</v>
      </c>
      <c r="P78" s="16" t="s">
        <v>1601</v>
      </c>
      <c r="Q78" s="16" t="s">
        <v>653</v>
      </c>
    </row>
    <row r="79" spans="1:17" s="16" customFormat="1" x14ac:dyDescent="0.25">
      <c r="A79" s="16">
        <v>8003879954</v>
      </c>
      <c r="B79" s="16">
        <v>5</v>
      </c>
      <c r="C79" s="16">
        <v>21082018</v>
      </c>
      <c r="D79" s="16">
        <v>341</v>
      </c>
      <c r="E79" s="16" t="s">
        <v>25</v>
      </c>
      <c r="F79" s="16">
        <v>9938</v>
      </c>
      <c r="G79" s="16" t="s">
        <v>1602</v>
      </c>
      <c r="H79" s="10">
        <v>2500</v>
      </c>
      <c r="I79" s="16" t="s">
        <v>26</v>
      </c>
      <c r="J79" s="10">
        <v>3705828.82</v>
      </c>
      <c r="K79" s="16" t="s">
        <v>27</v>
      </c>
      <c r="L79" s="16">
        <v>134615</v>
      </c>
      <c r="M79" s="16" t="s">
        <v>1603</v>
      </c>
      <c r="O79" s="16">
        <v>1</v>
      </c>
      <c r="P79" s="16" t="s">
        <v>1604</v>
      </c>
      <c r="Q79" s="16" t="s">
        <v>1605</v>
      </c>
    </row>
    <row r="80" spans="1:17" s="16" customFormat="1" x14ac:dyDescent="0.25">
      <c r="A80" s="16">
        <v>8003879954</v>
      </c>
      <c r="B80" s="16">
        <v>4</v>
      </c>
      <c r="C80" s="16">
        <v>21082018</v>
      </c>
      <c r="D80" s="16">
        <v>489</v>
      </c>
      <c r="E80" s="16" t="s">
        <v>31</v>
      </c>
      <c r="F80" s="16">
        <v>9938</v>
      </c>
      <c r="G80" s="16" t="s">
        <v>1602</v>
      </c>
      <c r="H80" s="10">
        <v>0.1</v>
      </c>
      <c r="I80" s="16" t="s">
        <v>26</v>
      </c>
      <c r="J80" s="10">
        <v>3708328.82</v>
      </c>
      <c r="K80" s="16" t="s">
        <v>27</v>
      </c>
      <c r="L80" s="16">
        <v>134615</v>
      </c>
      <c r="M80" s="16" t="s">
        <v>1606</v>
      </c>
      <c r="O80" s="16">
        <v>1</v>
      </c>
    </row>
    <row r="81" spans="1:18" s="16" customFormat="1" x14ac:dyDescent="0.25">
      <c r="A81" s="16">
        <v>8003879954</v>
      </c>
      <c r="B81" s="16">
        <v>3</v>
      </c>
      <c r="C81" s="16">
        <v>21082018</v>
      </c>
      <c r="D81" s="16">
        <v>60</v>
      </c>
      <c r="E81" s="16" t="s">
        <v>37</v>
      </c>
      <c r="F81" s="16">
        <v>9938</v>
      </c>
      <c r="G81" s="16" t="s">
        <v>1607</v>
      </c>
      <c r="H81" s="10">
        <v>3551.1</v>
      </c>
      <c r="I81" s="16" t="s">
        <v>26</v>
      </c>
      <c r="J81" s="10">
        <v>3708328.92</v>
      </c>
      <c r="K81" s="16" t="s">
        <v>27</v>
      </c>
      <c r="L81" s="16">
        <v>134615</v>
      </c>
      <c r="M81" s="16" t="s">
        <v>1608</v>
      </c>
      <c r="O81" s="16">
        <v>1</v>
      </c>
      <c r="P81" s="16" t="s">
        <v>1609</v>
      </c>
      <c r="Q81" s="16" t="s">
        <v>1610</v>
      </c>
    </row>
    <row r="82" spans="1:18" s="16" customFormat="1" x14ac:dyDescent="0.25">
      <c r="A82" s="16">
        <v>8003879954</v>
      </c>
      <c r="B82" s="16">
        <v>2</v>
      </c>
      <c r="C82" s="16">
        <v>21082018</v>
      </c>
      <c r="D82" s="16">
        <v>345</v>
      </c>
      <c r="E82" s="16" t="s">
        <v>51</v>
      </c>
      <c r="F82" s="16">
        <v>9938</v>
      </c>
      <c r="G82" s="16" t="s">
        <v>1611</v>
      </c>
      <c r="H82" s="10">
        <v>1582.5</v>
      </c>
      <c r="I82" s="16" t="s">
        <v>26</v>
      </c>
      <c r="J82" s="10">
        <v>3711880.02</v>
      </c>
      <c r="K82" s="16" t="s">
        <v>27</v>
      </c>
      <c r="L82" s="16">
        <v>134615</v>
      </c>
      <c r="M82" s="16" t="s">
        <v>1612</v>
      </c>
      <c r="O82" s="16">
        <v>1</v>
      </c>
      <c r="P82" s="16" t="s">
        <v>1613</v>
      </c>
      <c r="Q82" s="16" t="s">
        <v>557</v>
      </c>
    </row>
    <row r="83" spans="1:18" s="16" customFormat="1" x14ac:dyDescent="0.25">
      <c r="A83" s="16">
        <v>8003879954</v>
      </c>
      <c r="B83" s="16">
        <v>1</v>
      </c>
      <c r="C83" s="16">
        <v>21082018</v>
      </c>
      <c r="D83" s="16">
        <v>60</v>
      </c>
      <c r="E83" s="16" t="s">
        <v>37</v>
      </c>
      <c r="F83" s="16">
        <v>9938</v>
      </c>
      <c r="G83" s="16" t="s">
        <v>1614</v>
      </c>
      <c r="H83" s="10">
        <v>322</v>
      </c>
      <c r="I83" s="16" t="s">
        <v>26</v>
      </c>
      <c r="J83" s="10">
        <v>3713462.52</v>
      </c>
      <c r="K83" s="16" t="s">
        <v>27</v>
      </c>
      <c r="L83" s="16">
        <v>134615</v>
      </c>
      <c r="M83" s="16" t="s">
        <v>1615</v>
      </c>
      <c r="O83" s="16">
        <v>1</v>
      </c>
      <c r="P83" s="16" t="s">
        <v>1616</v>
      </c>
      <c r="Q83" s="16" t="s">
        <v>1617</v>
      </c>
    </row>
    <row r="84" spans="1:18" s="16" customFormat="1" x14ac:dyDescent="0.25">
      <c r="A84" s="16">
        <v>8003879954</v>
      </c>
      <c r="B84" s="16">
        <v>2</v>
      </c>
      <c r="C84" s="16">
        <v>20082018</v>
      </c>
      <c r="D84" s="16">
        <v>123</v>
      </c>
      <c r="E84" s="16" t="s">
        <v>64</v>
      </c>
      <c r="F84" s="16">
        <v>2007</v>
      </c>
      <c r="G84" s="16" t="s">
        <v>1618</v>
      </c>
      <c r="H84" s="10">
        <v>3000</v>
      </c>
      <c r="I84" s="16" t="s">
        <v>27</v>
      </c>
      <c r="J84" s="10">
        <v>3713784.52</v>
      </c>
      <c r="K84" s="16" t="s">
        <v>27</v>
      </c>
      <c r="L84" s="16">
        <v>191823</v>
      </c>
      <c r="M84" s="16" t="s">
        <v>32</v>
      </c>
      <c r="O84" s="16">
        <v>1</v>
      </c>
    </row>
    <row r="85" spans="1:18" s="16" customFormat="1" x14ac:dyDescent="0.25">
      <c r="A85" s="16">
        <v>8003879954</v>
      </c>
      <c r="B85" s="16">
        <v>1</v>
      </c>
      <c r="C85" s="16">
        <v>20082018</v>
      </c>
      <c r="D85" s="16">
        <v>123</v>
      </c>
      <c r="E85" s="16" t="s">
        <v>64</v>
      </c>
      <c r="F85" s="16">
        <v>2007</v>
      </c>
      <c r="G85" s="16" t="s">
        <v>1619</v>
      </c>
      <c r="H85" s="10">
        <v>2000</v>
      </c>
      <c r="I85" s="16" t="s">
        <v>27</v>
      </c>
      <c r="J85" s="10">
        <v>3710784.52</v>
      </c>
      <c r="K85" s="16" t="s">
        <v>27</v>
      </c>
      <c r="L85" s="16">
        <v>191823</v>
      </c>
      <c r="M85" s="16" t="s">
        <v>32</v>
      </c>
      <c r="O85" s="16">
        <v>1</v>
      </c>
    </row>
    <row r="86" spans="1:18" s="16" customFormat="1" x14ac:dyDescent="0.25">
      <c r="A86" s="16">
        <v>8003879954</v>
      </c>
      <c r="B86" s="16">
        <v>5</v>
      </c>
      <c r="C86" s="16">
        <v>17082018</v>
      </c>
      <c r="D86" s="16">
        <v>489</v>
      </c>
      <c r="E86" s="16" t="s">
        <v>1072</v>
      </c>
      <c r="F86" s="16">
        <v>72</v>
      </c>
      <c r="G86" s="16" t="s">
        <v>1620</v>
      </c>
      <c r="H86" s="10">
        <v>125</v>
      </c>
      <c r="I86" s="16" t="s">
        <v>26</v>
      </c>
      <c r="J86" s="10">
        <v>3708784.52</v>
      </c>
      <c r="K86" s="16" t="s">
        <v>27</v>
      </c>
      <c r="L86" s="16">
        <v>145814</v>
      </c>
      <c r="M86" s="16" t="s">
        <v>1621</v>
      </c>
      <c r="O86" s="16">
        <v>1</v>
      </c>
    </row>
    <row r="87" spans="1:18" s="16" customFormat="1" x14ac:dyDescent="0.25">
      <c r="A87" s="16">
        <v>8003879954</v>
      </c>
      <c r="B87" s="16">
        <v>4</v>
      </c>
      <c r="C87" s="16">
        <v>17082018</v>
      </c>
      <c r="D87" s="16">
        <v>415</v>
      </c>
      <c r="E87" s="16" t="s">
        <v>48</v>
      </c>
      <c r="F87" s="16">
        <v>72</v>
      </c>
      <c r="G87" s="16" t="s">
        <v>1620</v>
      </c>
      <c r="H87" s="17">
        <v>30</v>
      </c>
      <c r="I87" s="16" t="s">
        <v>26</v>
      </c>
      <c r="J87" s="10">
        <v>3708909.52</v>
      </c>
      <c r="K87" s="16" t="s">
        <v>27</v>
      </c>
      <c r="L87" s="16">
        <v>145814</v>
      </c>
      <c r="M87" s="16" t="s">
        <v>1621</v>
      </c>
      <c r="O87" s="16">
        <v>1</v>
      </c>
    </row>
    <row r="88" spans="1:18" s="16" customFormat="1" x14ac:dyDescent="0.25">
      <c r="A88" s="16">
        <v>8003879954</v>
      </c>
      <c r="B88" s="16">
        <v>3</v>
      </c>
      <c r="C88" s="16">
        <v>17082018</v>
      </c>
      <c r="D88" s="16">
        <v>349</v>
      </c>
      <c r="E88" s="16" t="s">
        <v>49</v>
      </c>
      <c r="F88" s="16">
        <v>72</v>
      </c>
      <c r="G88" s="16" t="s">
        <v>1620</v>
      </c>
      <c r="H88" s="10">
        <v>5777.7</v>
      </c>
      <c r="I88" s="16" t="s">
        <v>26</v>
      </c>
      <c r="J88" s="10">
        <v>3708939.52</v>
      </c>
      <c r="K88" s="16" t="s">
        <v>27</v>
      </c>
      <c r="L88" s="16">
        <v>145814</v>
      </c>
      <c r="M88" s="16" t="s">
        <v>1621</v>
      </c>
      <c r="O88" s="16">
        <v>1</v>
      </c>
    </row>
    <row r="89" spans="1:18" s="16" customFormat="1" x14ac:dyDescent="0.25">
      <c r="A89" s="16">
        <v>8003879954</v>
      </c>
      <c r="B89" s="16">
        <v>2</v>
      </c>
      <c r="C89" s="16">
        <v>17082018</v>
      </c>
      <c r="D89" s="16">
        <v>415</v>
      </c>
      <c r="E89" s="16" t="s">
        <v>48</v>
      </c>
      <c r="F89" s="16">
        <v>72</v>
      </c>
      <c r="G89" s="16" t="s">
        <v>1622</v>
      </c>
      <c r="H89" s="17">
        <v>30</v>
      </c>
      <c r="I89" s="16" t="s">
        <v>26</v>
      </c>
      <c r="J89" s="10">
        <v>3714717.22</v>
      </c>
      <c r="K89" s="16" t="s">
        <v>27</v>
      </c>
      <c r="L89" s="16">
        <v>141902</v>
      </c>
      <c r="M89" s="16" t="s">
        <v>1623</v>
      </c>
      <c r="O89" s="16">
        <v>1</v>
      </c>
    </row>
    <row r="90" spans="1:18" s="16" customFormat="1" x14ac:dyDescent="0.25">
      <c r="A90" s="16">
        <v>8003879954</v>
      </c>
      <c r="B90" s="16">
        <v>1</v>
      </c>
      <c r="C90" s="16">
        <v>17082018</v>
      </c>
      <c r="D90" s="16">
        <v>349</v>
      </c>
      <c r="E90" s="16" t="s">
        <v>49</v>
      </c>
      <c r="F90" s="16">
        <v>72</v>
      </c>
      <c r="G90" s="16" t="s">
        <v>1622</v>
      </c>
      <c r="H90" s="10">
        <v>6369.39</v>
      </c>
      <c r="I90" s="16" t="s">
        <v>26</v>
      </c>
      <c r="J90" s="10">
        <v>3714747.22</v>
      </c>
      <c r="K90" s="16" t="s">
        <v>27</v>
      </c>
      <c r="L90" s="16">
        <v>141902</v>
      </c>
      <c r="M90" s="16" t="s">
        <v>1623</v>
      </c>
      <c r="O90" s="16">
        <v>1</v>
      </c>
    </row>
    <row r="91" spans="1:18" s="16" customFormat="1" x14ac:dyDescent="0.25">
      <c r="A91" s="16">
        <v>8003879954</v>
      </c>
      <c r="B91" s="16">
        <v>2</v>
      </c>
      <c r="C91" s="16">
        <v>16082018</v>
      </c>
      <c r="D91" s="16">
        <v>415</v>
      </c>
      <c r="E91" s="16" t="s">
        <v>48</v>
      </c>
      <c r="F91" s="16">
        <v>72</v>
      </c>
      <c r="G91" s="16" t="s">
        <v>1624</v>
      </c>
      <c r="H91" s="17">
        <v>30</v>
      </c>
      <c r="I91" s="16" t="s">
        <v>26</v>
      </c>
      <c r="J91" s="10">
        <v>3721116.61</v>
      </c>
      <c r="K91" s="16" t="s">
        <v>27</v>
      </c>
      <c r="L91" s="16">
        <v>151142</v>
      </c>
      <c r="M91" s="16" t="s">
        <v>1625</v>
      </c>
      <c r="O91" s="16">
        <v>1</v>
      </c>
    </row>
    <row r="92" spans="1:18" s="16" customFormat="1" x14ac:dyDescent="0.25">
      <c r="A92" s="16">
        <v>8003879954</v>
      </c>
      <c r="B92" s="16">
        <v>1</v>
      </c>
      <c r="C92" s="16">
        <v>16082018</v>
      </c>
      <c r="D92" s="16">
        <v>349</v>
      </c>
      <c r="E92" s="16" t="s">
        <v>49</v>
      </c>
      <c r="F92" s="16">
        <v>72</v>
      </c>
      <c r="G92" s="16" t="s">
        <v>1624</v>
      </c>
      <c r="H92" s="10">
        <v>27979.25</v>
      </c>
      <c r="I92" s="16" t="s">
        <v>26</v>
      </c>
      <c r="J92" s="10">
        <v>3721146.61</v>
      </c>
      <c r="K92" s="16" t="s">
        <v>27</v>
      </c>
      <c r="L92" s="16">
        <v>151142</v>
      </c>
      <c r="M92" s="16" t="s">
        <v>1625</v>
      </c>
      <c r="O92" s="16">
        <v>1</v>
      </c>
    </row>
    <row r="93" spans="1:18" s="16" customFormat="1" x14ac:dyDescent="0.25">
      <c r="A93" s="16">
        <v>8003879954</v>
      </c>
      <c r="B93" s="16">
        <v>4</v>
      </c>
      <c r="C93" s="16">
        <v>15082018</v>
      </c>
      <c r="D93" s="16">
        <v>345</v>
      </c>
      <c r="E93" s="16" t="s">
        <v>51</v>
      </c>
      <c r="F93" s="16">
        <v>9938</v>
      </c>
      <c r="G93" s="16" t="s">
        <v>1626</v>
      </c>
      <c r="H93" s="10">
        <v>1242.5</v>
      </c>
      <c r="I93" s="16" t="s">
        <v>26</v>
      </c>
      <c r="J93" s="10">
        <v>3749125.86</v>
      </c>
      <c r="K93" s="16" t="s">
        <v>27</v>
      </c>
      <c r="L93" s="16">
        <v>194427</v>
      </c>
      <c r="M93" s="16" t="s">
        <v>1627</v>
      </c>
      <c r="O93" s="16">
        <v>1</v>
      </c>
      <c r="P93" s="16" t="s">
        <v>1628</v>
      </c>
      <c r="Q93" s="16" t="s">
        <v>1629</v>
      </c>
    </row>
    <row r="94" spans="1:18" s="16" customFormat="1" x14ac:dyDescent="0.25">
      <c r="A94" s="16">
        <v>8003879954</v>
      </c>
      <c r="B94" s="16">
        <v>3</v>
      </c>
      <c r="C94" s="16">
        <v>15082018</v>
      </c>
      <c r="D94" s="16">
        <v>5</v>
      </c>
      <c r="E94" s="16" t="s">
        <v>54</v>
      </c>
      <c r="H94" s="10">
        <v>400000</v>
      </c>
      <c r="I94" s="16" t="s">
        <v>27</v>
      </c>
      <c r="J94" s="10">
        <v>3750368.36</v>
      </c>
      <c r="K94" s="16" t="s">
        <v>27</v>
      </c>
      <c r="L94" s="16">
        <v>92050</v>
      </c>
      <c r="M94" s="16" t="s">
        <v>1630</v>
      </c>
      <c r="O94" s="16">
        <v>1</v>
      </c>
      <c r="P94" s="16" t="s">
        <v>1631</v>
      </c>
      <c r="Q94" s="16" t="s">
        <v>381</v>
      </c>
      <c r="R94" s="16" t="s">
        <v>382</v>
      </c>
    </row>
    <row r="95" spans="1:18" s="16" customFormat="1" x14ac:dyDescent="0.25">
      <c r="A95" s="16">
        <v>8003879954</v>
      </c>
      <c r="B95" s="16">
        <v>2</v>
      </c>
      <c r="C95" s="16">
        <v>15082018</v>
      </c>
      <c r="D95" s="16">
        <v>5</v>
      </c>
      <c r="E95" s="16" t="s">
        <v>54</v>
      </c>
      <c r="H95" s="10">
        <v>400000</v>
      </c>
      <c r="I95" s="16" t="s">
        <v>27</v>
      </c>
      <c r="J95" s="10">
        <v>3350368.36</v>
      </c>
      <c r="K95" s="16" t="s">
        <v>27</v>
      </c>
      <c r="L95" s="16">
        <v>92045</v>
      </c>
      <c r="M95" s="16" t="s">
        <v>1630</v>
      </c>
      <c r="O95" s="16">
        <v>1</v>
      </c>
      <c r="P95" s="16" t="s">
        <v>1632</v>
      </c>
      <c r="Q95" s="16" t="s">
        <v>381</v>
      </c>
      <c r="R95" s="16" t="s">
        <v>382</v>
      </c>
    </row>
    <row r="96" spans="1:18" s="16" customFormat="1" x14ac:dyDescent="0.25">
      <c r="A96" s="16">
        <v>8003879954</v>
      </c>
      <c r="B96" s="16">
        <v>1</v>
      </c>
      <c r="C96" s="16">
        <v>15082018</v>
      </c>
      <c r="D96" s="16">
        <v>5</v>
      </c>
      <c r="E96" s="16" t="s">
        <v>54</v>
      </c>
      <c r="H96" s="10">
        <v>218600</v>
      </c>
      <c r="I96" s="16" t="s">
        <v>27</v>
      </c>
      <c r="J96" s="10">
        <v>2950368.36</v>
      </c>
      <c r="K96" s="16" t="s">
        <v>27</v>
      </c>
      <c r="L96" s="16">
        <v>92039</v>
      </c>
      <c r="M96" s="16" t="s">
        <v>1630</v>
      </c>
      <c r="O96" s="16">
        <v>1</v>
      </c>
      <c r="P96" s="16" t="s">
        <v>1633</v>
      </c>
      <c r="Q96" s="16" t="s">
        <v>381</v>
      </c>
      <c r="R96" s="16" t="s">
        <v>382</v>
      </c>
    </row>
    <row r="97" spans="1:17" s="16" customFormat="1" x14ac:dyDescent="0.25">
      <c r="A97" s="16">
        <v>8003879954</v>
      </c>
      <c r="B97" s="16">
        <v>4</v>
      </c>
      <c r="C97" s="16">
        <v>14082018</v>
      </c>
      <c r="D97" s="16">
        <v>819</v>
      </c>
      <c r="E97" s="16" t="s">
        <v>35</v>
      </c>
      <c r="H97" s="10">
        <v>0.5</v>
      </c>
      <c r="I97" s="16" t="s">
        <v>26</v>
      </c>
      <c r="J97" s="10">
        <v>2731768.36</v>
      </c>
      <c r="K97" s="16" t="s">
        <v>27</v>
      </c>
      <c r="L97" s="16">
        <v>5821</v>
      </c>
      <c r="M97" s="16" t="s">
        <v>32</v>
      </c>
      <c r="O97" s="16">
        <v>1</v>
      </c>
    </row>
    <row r="98" spans="1:17" s="16" customFormat="1" x14ac:dyDescent="0.25">
      <c r="A98" s="16">
        <v>8003879954</v>
      </c>
      <c r="B98" s="16">
        <v>3</v>
      </c>
      <c r="C98" s="16">
        <v>14082018</v>
      </c>
      <c r="D98" s="16">
        <v>819</v>
      </c>
      <c r="E98" s="16" t="s">
        <v>35</v>
      </c>
      <c r="H98" s="10">
        <v>0.5</v>
      </c>
      <c r="I98" s="16" t="s">
        <v>26</v>
      </c>
      <c r="J98" s="10">
        <v>2731768.86</v>
      </c>
      <c r="K98" s="16" t="s">
        <v>27</v>
      </c>
      <c r="L98" s="16">
        <v>5821</v>
      </c>
      <c r="M98" s="16" t="s">
        <v>32</v>
      </c>
      <c r="O98" s="16">
        <v>1</v>
      </c>
    </row>
    <row r="99" spans="1:17" s="16" customFormat="1" x14ac:dyDescent="0.25">
      <c r="A99" s="16">
        <v>8003879954</v>
      </c>
      <c r="B99" s="16">
        <v>2</v>
      </c>
      <c r="C99" s="16">
        <v>14082018</v>
      </c>
      <c r="D99" s="16">
        <v>323</v>
      </c>
      <c r="E99" s="16" t="s">
        <v>50</v>
      </c>
      <c r="F99" s="16">
        <v>0</v>
      </c>
      <c r="G99" s="16" t="s">
        <v>1634</v>
      </c>
      <c r="H99" s="10">
        <v>1000</v>
      </c>
      <c r="I99" s="16" t="s">
        <v>26</v>
      </c>
      <c r="J99" s="10">
        <v>2731769.36</v>
      </c>
      <c r="K99" s="16" t="s">
        <v>27</v>
      </c>
      <c r="L99" s="16">
        <v>5720</v>
      </c>
      <c r="M99" s="16" t="s">
        <v>32</v>
      </c>
      <c r="O99" s="16">
        <v>1</v>
      </c>
    </row>
    <row r="100" spans="1:17" s="16" customFormat="1" x14ac:dyDescent="0.25">
      <c r="A100" s="16">
        <v>8003879954</v>
      </c>
      <c r="B100" s="16">
        <v>1</v>
      </c>
      <c r="C100" s="16">
        <v>14082018</v>
      </c>
      <c r="D100" s="16">
        <v>321</v>
      </c>
      <c r="E100" s="16" t="s">
        <v>36</v>
      </c>
      <c r="F100" s="16">
        <v>0</v>
      </c>
      <c r="G100" s="16" t="s">
        <v>1635</v>
      </c>
      <c r="H100" s="10">
        <v>20625</v>
      </c>
      <c r="I100" s="16" t="s">
        <v>26</v>
      </c>
      <c r="J100" s="10">
        <v>2732769.36</v>
      </c>
      <c r="K100" s="16" t="s">
        <v>27</v>
      </c>
      <c r="L100" s="16">
        <v>5720</v>
      </c>
      <c r="M100" s="16" t="s">
        <v>32</v>
      </c>
      <c r="O100" s="16">
        <v>1</v>
      </c>
    </row>
    <row r="101" spans="1:17" s="16" customFormat="1" x14ac:dyDescent="0.25">
      <c r="A101" s="16">
        <v>8003879954</v>
      </c>
      <c r="B101" s="16">
        <v>39</v>
      </c>
      <c r="C101" s="16">
        <v>13082018</v>
      </c>
      <c r="D101" s="16">
        <v>345</v>
      </c>
      <c r="E101" s="16" t="s">
        <v>51</v>
      </c>
      <c r="F101" s="16">
        <v>9938</v>
      </c>
      <c r="G101" s="16" t="s">
        <v>1636</v>
      </c>
      <c r="H101" s="10">
        <v>8330.9699999999993</v>
      </c>
      <c r="I101" s="16" t="s">
        <v>26</v>
      </c>
      <c r="J101" s="10">
        <v>2753394.36</v>
      </c>
      <c r="K101" s="16" t="s">
        <v>27</v>
      </c>
      <c r="L101" s="16">
        <v>181618</v>
      </c>
      <c r="M101" s="16" t="s">
        <v>1637</v>
      </c>
      <c r="O101" s="16">
        <v>1</v>
      </c>
      <c r="P101" s="16" t="s">
        <v>1638</v>
      </c>
      <c r="Q101" s="16" t="s">
        <v>52</v>
      </c>
    </row>
    <row r="102" spans="1:17" s="16" customFormat="1" x14ac:dyDescent="0.25">
      <c r="A102" s="16">
        <v>8003879954</v>
      </c>
      <c r="B102" s="16">
        <v>38</v>
      </c>
      <c r="C102" s="16">
        <v>13082018</v>
      </c>
      <c r="D102" s="16">
        <v>341</v>
      </c>
      <c r="E102" s="16" t="s">
        <v>25</v>
      </c>
      <c r="F102" s="16">
        <v>9938</v>
      </c>
      <c r="G102" s="16" t="s">
        <v>1639</v>
      </c>
      <c r="H102" s="10">
        <v>9080</v>
      </c>
      <c r="I102" s="16" t="s">
        <v>26</v>
      </c>
      <c r="J102" s="10">
        <v>2761725.33</v>
      </c>
      <c r="K102" s="16" t="s">
        <v>27</v>
      </c>
      <c r="L102" s="16">
        <v>181617</v>
      </c>
      <c r="M102" s="16" t="s">
        <v>41</v>
      </c>
      <c r="O102" s="16">
        <v>1</v>
      </c>
      <c r="P102" s="16" t="s">
        <v>1640</v>
      </c>
      <c r="Q102" s="16" t="s">
        <v>1641</v>
      </c>
    </row>
    <row r="103" spans="1:17" s="16" customFormat="1" x14ac:dyDescent="0.25">
      <c r="A103" s="16">
        <v>8003879954</v>
      </c>
      <c r="B103" s="16">
        <v>37</v>
      </c>
      <c r="C103" s="16">
        <v>13082018</v>
      </c>
      <c r="D103" s="16">
        <v>489</v>
      </c>
      <c r="E103" s="16" t="s">
        <v>31</v>
      </c>
      <c r="F103" s="16">
        <v>9938</v>
      </c>
      <c r="G103" s="16" t="s">
        <v>1639</v>
      </c>
      <c r="H103" s="10">
        <v>0.1</v>
      </c>
      <c r="I103" s="16" t="s">
        <v>26</v>
      </c>
      <c r="J103" s="10">
        <v>2770805.33</v>
      </c>
      <c r="K103" s="16" t="s">
        <v>27</v>
      </c>
      <c r="L103" s="16">
        <v>181617</v>
      </c>
      <c r="M103" s="16" t="s">
        <v>1642</v>
      </c>
      <c r="O103" s="16">
        <v>1</v>
      </c>
    </row>
    <row r="104" spans="1:17" s="16" customFormat="1" x14ac:dyDescent="0.25">
      <c r="A104" s="16">
        <v>8003879954</v>
      </c>
      <c r="B104" s="16">
        <v>36</v>
      </c>
      <c r="C104" s="16">
        <v>13082018</v>
      </c>
      <c r="D104" s="16">
        <v>343</v>
      </c>
      <c r="E104" s="16" t="s">
        <v>115</v>
      </c>
      <c r="F104" s="16">
        <v>9938</v>
      </c>
      <c r="G104" s="16" t="s">
        <v>1643</v>
      </c>
      <c r="H104" s="10">
        <v>18.2</v>
      </c>
      <c r="I104" s="16" t="s">
        <v>26</v>
      </c>
      <c r="J104" s="10">
        <v>2770805.43</v>
      </c>
      <c r="K104" s="16" t="s">
        <v>27</v>
      </c>
      <c r="L104" s="16">
        <v>181459</v>
      </c>
      <c r="M104" s="16" t="s">
        <v>334</v>
      </c>
      <c r="O104" s="16">
        <v>1</v>
      </c>
    </row>
    <row r="105" spans="1:17" s="16" customFormat="1" x14ac:dyDescent="0.25">
      <c r="A105" s="16">
        <v>8003879954</v>
      </c>
      <c r="B105" s="16">
        <v>35</v>
      </c>
      <c r="C105" s="16">
        <v>13082018</v>
      </c>
      <c r="D105" s="16">
        <v>341</v>
      </c>
      <c r="E105" s="16" t="s">
        <v>25</v>
      </c>
      <c r="F105" s="16">
        <v>9938</v>
      </c>
      <c r="G105" s="16" t="s">
        <v>1644</v>
      </c>
      <c r="H105" s="10">
        <v>1143.25</v>
      </c>
      <c r="I105" s="16" t="s">
        <v>26</v>
      </c>
      <c r="J105" s="10">
        <v>2770823.63</v>
      </c>
      <c r="K105" s="16" t="s">
        <v>27</v>
      </c>
      <c r="L105" s="16">
        <v>181457</v>
      </c>
      <c r="M105" s="16" t="s">
        <v>438</v>
      </c>
      <c r="O105" s="16">
        <v>1</v>
      </c>
      <c r="P105" s="16" t="s">
        <v>1645</v>
      </c>
      <c r="Q105" s="16" t="s">
        <v>1646</v>
      </c>
    </row>
    <row r="106" spans="1:17" s="16" customFormat="1" x14ac:dyDescent="0.25">
      <c r="A106" s="16">
        <v>8003879954</v>
      </c>
      <c r="B106" s="16">
        <v>34</v>
      </c>
      <c r="C106" s="16">
        <v>13082018</v>
      </c>
      <c r="D106" s="16">
        <v>489</v>
      </c>
      <c r="E106" s="16" t="s">
        <v>31</v>
      </c>
      <c r="F106" s="16">
        <v>9938</v>
      </c>
      <c r="G106" s="16" t="s">
        <v>1644</v>
      </c>
      <c r="H106" s="10">
        <v>0.1</v>
      </c>
      <c r="I106" s="16" t="s">
        <v>26</v>
      </c>
      <c r="J106" s="10">
        <v>2771966.88</v>
      </c>
      <c r="K106" s="16" t="s">
        <v>27</v>
      </c>
      <c r="L106" s="16">
        <v>181457</v>
      </c>
      <c r="M106" s="16" t="s">
        <v>1647</v>
      </c>
      <c r="O106" s="16">
        <v>1</v>
      </c>
    </row>
    <row r="107" spans="1:17" s="16" customFormat="1" x14ac:dyDescent="0.25">
      <c r="A107" s="16">
        <v>8003879954</v>
      </c>
      <c r="B107" s="16">
        <v>33</v>
      </c>
      <c r="C107" s="16">
        <v>13082018</v>
      </c>
      <c r="D107" s="16">
        <v>341</v>
      </c>
      <c r="E107" s="16" t="s">
        <v>25</v>
      </c>
      <c r="F107" s="16">
        <v>9938</v>
      </c>
      <c r="G107" s="16" t="s">
        <v>1648</v>
      </c>
      <c r="H107" s="10">
        <v>294.58999999999997</v>
      </c>
      <c r="I107" s="16" t="s">
        <v>26</v>
      </c>
      <c r="J107" s="10">
        <v>2771966.98</v>
      </c>
      <c r="K107" s="16" t="s">
        <v>27</v>
      </c>
      <c r="L107" s="16">
        <v>181458</v>
      </c>
      <c r="M107" s="16" t="s">
        <v>408</v>
      </c>
      <c r="O107" s="16">
        <v>1</v>
      </c>
      <c r="P107" s="16" t="s">
        <v>1649</v>
      </c>
      <c r="Q107" s="16" t="s">
        <v>1650</v>
      </c>
    </row>
    <row r="108" spans="1:17" s="16" customFormat="1" x14ac:dyDescent="0.25">
      <c r="A108" s="16">
        <v>8003879954</v>
      </c>
      <c r="B108" s="16">
        <v>32</v>
      </c>
      <c r="C108" s="16">
        <v>13082018</v>
      </c>
      <c r="D108" s="16">
        <v>489</v>
      </c>
      <c r="E108" s="16" t="s">
        <v>31</v>
      </c>
      <c r="F108" s="16">
        <v>9938</v>
      </c>
      <c r="G108" s="16" t="s">
        <v>1648</v>
      </c>
      <c r="H108" s="10">
        <v>0.1</v>
      </c>
      <c r="I108" s="16" t="s">
        <v>26</v>
      </c>
      <c r="J108" s="10">
        <v>2772261.57</v>
      </c>
      <c r="K108" s="16" t="s">
        <v>27</v>
      </c>
      <c r="L108" s="16">
        <v>181458</v>
      </c>
      <c r="M108" s="16" t="s">
        <v>1651</v>
      </c>
      <c r="O108" s="16">
        <v>1</v>
      </c>
    </row>
    <row r="109" spans="1:17" s="16" customFormat="1" x14ac:dyDescent="0.25">
      <c r="A109" s="16">
        <v>8003879954</v>
      </c>
      <c r="B109" s="16">
        <v>31</v>
      </c>
      <c r="C109" s="16">
        <v>13082018</v>
      </c>
      <c r="D109" s="16">
        <v>343</v>
      </c>
      <c r="E109" s="16" t="s">
        <v>115</v>
      </c>
      <c r="F109" s="16">
        <v>9938</v>
      </c>
      <c r="G109" s="16" t="s">
        <v>1652</v>
      </c>
      <c r="H109" s="10">
        <v>760.75</v>
      </c>
      <c r="I109" s="16" t="s">
        <v>26</v>
      </c>
      <c r="J109" s="10">
        <v>2772261.67</v>
      </c>
      <c r="K109" s="16" t="s">
        <v>27</v>
      </c>
      <c r="L109" s="16">
        <v>181458</v>
      </c>
      <c r="M109" s="16" t="s">
        <v>336</v>
      </c>
      <c r="O109" s="16">
        <v>1</v>
      </c>
    </row>
    <row r="110" spans="1:17" s="16" customFormat="1" x14ac:dyDescent="0.25">
      <c r="A110" s="16">
        <v>8003879954</v>
      </c>
      <c r="B110" s="16">
        <v>30</v>
      </c>
      <c r="C110" s="16">
        <v>13082018</v>
      </c>
      <c r="D110" s="16">
        <v>60</v>
      </c>
      <c r="E110" s="16" t="s">
        <v>37</v>
      </c>
      <c r="F110" s="16">
        <v>9938</v>
      </c>
      <c r="G110" s="16" t="s">
        <v>1653</v>
      </c>
      <c r="H110" s="10">
        <v>800</v>
      </c>
      <c r="I110" s="16" t="s">
        <v>26</v>
      </c>
      <c r="J110" s="10">
        <v>2773022.42</v>
      </c>
      <c r="K110" s="16" t="s">
        <v>27</v>
      </c>
      <c r="L110" s="16">
        <v>181458</v>
      </c>
      <c r="M110" s="16" t="s">
        <v>1654</v>
      </c>
      <c r="O110" s="16">
        <v>1</v>
      </c>
      <c r="P110" s="16" t="s">
        <v>1655</v>
      </c>
      <c r="Q110" s="16" t="s">
        <v>1656</v>
      </c>
    </row>
    <row r="111" spans="1:17" s="16" customFormat="1" x14ac:dyDescent="0.25">
      <c r="A111" s="16">
        <v>8003879954</v>
      </c>
      <c r="B111" s="16">
        <v>29</v>
      </c>
      <c r="C111" s="16">
        <v>13082018</v>
      </c>
      <c r="D111" s="16">
        <v>60</v>
      </c>
      <c r="E111" s="16" t="s">
        <v>37</v>
      </c>
      <c r="F111" s="16">
        <v>9938</v>
      </c>
      <c r="G111" s="16" t="s">
        <v>1657</v>
      </c>
      <c r="H111" s="10">
        <v>450</v>
      </c>
      <c r="I111" s="16" t="s">
        <v>26</v>
      </c>
      <c r="J111" s="10">
        <v>2773822.42</v>
      </c>
      <c r="K111" s="16" t="s">
        <v>27</v>
      </c>
      <c r="L111" s="16">
        <v>181458</v>
      </c>
      <c r="M111" s="16" t="s">
        <v>1658</v>
      </c>
      <c r="O111" s="16">
        <v>1</v>
      </c>
      <c r="P111" s="16" t="s">
        <v>1659</v>
      </c>
      <c r="Q111" s="16" t="s">
        <v>1660</v>
      </c>
    </row>
    <row r="112" spans="1:17" s="16" customFormat="1" x14ac:dyDescent="0.25">
      <c r="A112" s="16">
        <v>8003879954</v>
      </c>
      <c r="B112" s="16">
        <v>28</v>
      </c>
      <c r="C112" s="16">
        <v>13082018</v>
      </c>
      <c r="D112" s="16">
        <v>341</v>
      </c>
      <c r="E112" s="16" t="s">
        <v>25</v>
      </c>
      <c r="F112" s="16">
        <v>9938</v>
      </c>
      <c r="G112" s="16" t="s">
        <v>1661</v>
      </c>
      <c r="H112" s="10">
        <v>60</v>
      </c>
      <c r="I112" s="16" t="s">
        <v>26</v>
      </c>
      <c r="J112" s="10">
        <v>2774272.42</v>
      </c>
      <c r="K112" s="16" t="s">
        <v>27</v>
      </c>
      <c r="L112" s="16">
        <v>181457</v>
      </c>
      <c r="M112" s="16" t="s">
        <v>39</v>
      </c>
      <c r="O112" s="16">
        <v>1</v>
      </c>
      <c r="P112" s="16" t="s">
        <v>1662</v>
      </c>
      <c r="Q112" s="16" t="s">
        <v>1663</v>
      </c>
    </row>
    <row r="113" spans="1:17" s="16" customFormat="1" x14ac:dyDescent="0.25">
      <c r="A113" s="16">
        <v>8003879954</v>
      </c>
      <c r="B113" s="16">
        <v>27</v>
      </c>
      <c r="C113" s="16">
        <v>13082018</v>
      </c>
      <c r="D113" s="16">
        <v>489</v>
      </c>
      <c r="E113" s="16" t="s">
        <v>31</v>
      </c>
      <c r="F113" s="16">
        <v>9938</v>
      </c>
      <c r="G113" s="16" t="s">
        <v>1661</v>
      </c>
      <c r="H113" s="10">
        <v>0.1</v>
      </c>
      <c r="I113" s="16" t="s">
        <v>26</v>
      </c>
      <c r="J113" s="10">
        <v>2774332.42</v>
      </c>
      <c r="K113" s="16" t="s">
        <v>27</v>
      </c>
      <c r="L113" s="16">
        <v>181457</v>
      </c>
      <c r="M113" s="16" t="s">
        <v>1664</v>
      </c>
      <c r="O113" s="16">
        <v>1</v>
      </c>
    </row>
    <row r="114" spans="1:17" s="16" customFormat="1" x14ac:dyDescent="0.25">
      <c r="A114" s="16">
        <v>8003879954</v>
      </c>
      <c r="B114" s="16">
        <v>26</v>
      </c>
      <c r="C114" s="16">
        <v>13082018</v>
      </c>
      <c r="D114" s="16">
        <v>343</v>
      </c>
      <c r="E114" s="16" t="s">
        <v>115</v>
      </c>
      <c r="F114" s="16">
        <v>9938</v>
      </c>
      <c r="G114" s="16" t="s">
        <v>1665</v>
      </c>
      <c r="H114" s="10">
        <v>1449.55</v>
      </c>
      <c r="I114" s="16" t="s">
        <v>26</v>
      </c>
      <c r="J114" s="10">
        <v>2774332.52</v>
      </c>
      <c r="K114" s="16" t="s">
        <v>27</v>
      </c>
      <c r="L114" s="16">
        <v>181457</v>
      </c>
      <c r="M114" s="16" t="s">
        <v>338</v>
      </c>
      <c r="O114" s="16">
        <v>1</v>
      </c>
    </row>
    <row r="115" spans="1:17" s="16" customFormat="1" x14ac:dyDescent="0.25">
      <c r="A115" s="16">
        <v>8003879954</v>
      </c>
      <c r="B115" s="16">
        <v>25</v>
      </c>
      <c r="C115" s="16">
        <v>13082018</v>
      </c>
      <c r="D115" s="16">
        <v>341</v>
      </c>
      <c r="E115" s="16" t="s">
        <v>25</v>
      </c>
      <c r="F115" s="16">
        <v>9938</v>
      </c>
      <c r="G115" s="16" t="s">
        <v>1666</v>
      </c>
      <c r="H115" s="10">
        <v>2136.52</v>
      </c>
      <c r="I115" s="16" t="s">
        <v>26</v>
      </c>
      <c r="J115" s="10">
        <v>2775782.07</v>
      </c>
      <c r="K115" s="16" t="s">
        <v>27</v>
      </c>
      <c r="L115" s="16">
        <v>181457</v>
      </c>
      <c r="M115" s="16" t="s">
        <v>1257</v>
      </c>
      <c r="O115" s="16">
        <v>1</v>
      </c>
      <c r="P115" s="16" t="s">
        <v>1667</v>
      </c>
      <c r="Q115" s="16" t="s">
        <v>1668</v>
      </c>
    </row>
    <row r="116" spans="1:17" s="16" customFormat="1" x14ac:dyDescent="0.25">
      <c r="A116" s="16">
        <v>8003879954</v>
      </c>
      <c r="B116" s="16">
        <v>24</v>
      </c>
      <c r="C116" s="16">
        <v>13082018</v>
      </c>
      <c r="D116" s="16">
        <v>489</v>
      </c>
      <c r="E116" s="16" t="s">
        <v>31</v>
      </c>
      <c r="F116" s="16">
        <v>9938</v>
      </c>
      <c r="G116" s="16" t="s">
        <v>1666</v>
      </c>
      <c r="H116" s="10">
        <v>0.1</v>
      </c>
      <c r="I116" s="16" t="s">
        <v>26</v>
      </c>
      <c r="J116" s="10">
        <v>2777918.59</v>
      </c>
      <c r="K116" s="16" t="s">
        <v>27</v>
      </c>
      <c r="L116" s="16">
        <v>181457</v>
      </c>
      <c r="M116" s="16" t="s">
        <v>1669</v>
      </c>
      <c r="O116" s="16">
        <v>1</v>
      </c>
    </row>
    <row r="117" spans="1:17" s="16" customFormat="1" x14ac:dyDescent="0.25">
      <c r="A117" s="16">
        <v>8003879954</v>
      </c>
      <c r="B117" s="16">
        <v>23</v>
      </c>
      <c r="C117" s="16">
        <v>13082018</v>
      </c>
      <c r="D117" s="16">
        <v>341</v>
      </c>
      <c r="E117" s="16" t="s">
        <v>25</v>
      </c>
      <c r="F117" s="16">
        <v>9938</v>
      </c>
      <c r="G117" s="16" t="s">
        <v>1670</v>
      </c>
      <c r="H117" s="10">
        <v>202.5</v>
      </c>
      <c r="I117" s="16" t="s">
        <v>26</v>
      </c>
      <c r="J117" s="10">
        <v>2777918.69</v>
      </c>
      <c r="K117" s="16" t="s">
        <v>27</v>
      </c>
      <c r="L117" s="16">
        <v>181457</v>
      </c>
      <c r="M117" s="16" t="s">
        <v>207</v>
      </c>
      <c r="O117" s="16">
        <v>1</v>
      </c>
      <c r="P117" s="16" t="s">
        <v>1671</v>
      </c>
      <c r="Q117" s="16" t="s">
        <v>1672</v>
      </c>
    </row>
    <row r="118" spans="1:17" s="16" customFormat="1" x14ac:dyDescent="0.25">
      <c r="A118" s="16">
        <v>8003879954</v>
      </c>
      <c r="B118" s="16">
        <v>22</v>
      </c>
      <c r="C118" s="16">
        <v>13082018</v>
      </c>
      <c r="D118" s="16">
        <v>489</v>
      </c>
      <c r="E118" s="16" t="s">
        <v>31</v>
      </c>
      <c r="F118" s="16">
        <v>9938</v>
      </c>
      <c r="G118" s="16" t="s">
        <v>1670</v>
      </c>
      <c r="H118" s="10">
        <v>0.1</v>
      </c>
      <c r="I118" s="16" t="s">
        <v>26</v>
      </c>
      <c r="J118" s="10">
        <v>2778121.19</v>
      </c>
      <c r="K118" s="16" t="s">
        <v>27</v>
      </c>
      <c r="L118" s="16">
        <v>181457</v>
      </c>
      <c r="M118" s="16" t="s">
        <v>1673</v>
      </c>
      <c r="O118" s="16">
        <v>1</v>
      </c>
    </row>
    <row r="119" spans="1:17" s="16" customFormat="1" x14ac:dyDescent="0.25">
      <c r="A119" s="16">
        <v>8003879954</v>
      </c>
      <c r="B119" s="16">
        <v>21</v>
      </c>
      <c r="C119" s="16">
        <v>13082018</v>
      </c>
      <c r="D119" s="16">
        <v>341</v>
      </c>
      <c r="E119" s="16" t="s">
        <v>25</v>
      </c>
      <c r="F119" s="16">
        <v>9938</v>
      </c>
      <c r="G119" s="16" t="s">
        <v>1674</v>
      </c>
      <c r="H119" s="10">
        <v>1584</v>
      </c>
      <c r="I119" s="16" t="s">
        <v>26</v>
      </c>
      <c r="J119" s="10">
        <v>2778121.29</v>
      </c>
      <c r="K119" s="16" t="s">
        <v>27</v>
      </c>
      <c r="L119" s="16">
        <v>181144</v>
      </c>
      <c r="M119" s="16" t="s">
        <v>889</v>
      </c>
      <c r="O119" s="16">
        <v>1</v>
      </c>
      <c r="P119" s="16" t="s">
        <v>1675</v>
      </c>
      <c r="Q119" s="16" t="s">
        <v>1676</v>
      </c>
    </row>
    <row r="120" spans="1:17" s="16" customFormat="1" x14ac:dyDescent="0.25">
      <c r="A120" s="16">
        <v>8003879954</v>
      </c>
      <c r="B120" s="16">
        <v>20</v>
      </c>
      <c r="C120" s="16">
        <v>13082018</v>
      </c>
      <c r="D120" s="16">
        <v>489</v>
      </c>
      <c r="E120" s="16" t="s">
        <v>31</v>
      </c>
      <c r="F120" s="16">
        <v>9938</v>
      </c>
      <c r="G120" s="16" t="s">
        <v>1674</v>
      </c>
      <c r="H120" s="10">
        <v>0.1</v>
      </c>
      <c r="I120" s="16" t="s">
        <v>26</v>
      </c>
      <c r="J120" s="10">
        <v>2779705.29</v>
      </c>
      <c r="K120" s="16" t="s">
        <v>27</v>
      </c>
      <c r="L120" s="16">
        <v>181144</v>
      </c>
      <c r="M120" s="16" t="s">
        <v>1677</v>
      </c>
      <c r="O120" s="16">
        <v>1</v>
      </c>
    </row>
    <row r="121" spans="1:17" s="16" customFormat="1" x14ac:dyDescent="0.25">
      <c r="A121" s="16">
        <v>8003879954</v>
      </c>
      <c r="B121" s="16">
        <v>19</v>
      </c>
      <c r="C121" s="16">
        <v>13082018</v>
      </c>
      <c r="D121" s="16">
        <v>60</v>
      </c>
      <c r="E121" s="16" t="s">
        <v>37</v>
      </c>
      <c r="F121" s="16">
        <v>9938</v>
      </c>
      <c r="G121" s="16" t="s">
        <v>1678</v>
      </c>
      <c r="H121" s="10">
        <v>5300</v>
      </c>
      <c r="I121" s="16" t="s">
        <v>26</v>
      </c>
      <c r="J121" s="10">
        <v>2779705.39</v>
      </c>
      <c r="K121" s="16" t="s">
        <v>27</v>
      </c>
      <c r="L121" s="16">
        <v>181145</v>
      </c>
      <c r="M121" s="16" t="s">
        <v>1679</v>
      </c>
      <c r="O121" s="16">
        <v>1</v>
      </c>
      <c r="P121" s="16" t="s">
        <v>1680</v>
      </c>
      <c r="Q121" s="16" t="s">
        <v>1681</v>
      </c>
    </row>
    <row r="122" spans="1:17" s="16" customFormat="1" x14ac:dyDescent="0.25">
      <c r="A122" s="16">
        <v>8003879954</v>
      </c>
      <c r="B122" s="16">
        <v>18</v>
      </c>
      <c r="C122" s="16">
        <v>13082018</v>
      </c>
      <c r="D122" s="16">
        <v>341</v>
      </c>
      <c r="E122" s="16" t="s">
        <v>25</v>
      </c>
      <c r="F122" s="16">
        <v>9938</v>
      </c>
      <c r="G122" s="16" t="s">
        <v>1682</v>
      </c>
      <c r="H122" s="10">
        <v>3000</v>
      </c>
      <c r="I122" s="16" t="s">
        <v>26</v>
      </c>
      <c r="J122" s="10">
        <v>2785005.39</v>
      </c>
      <c r="K122" s="16" t="s">
        <v>27</v>
      </c>
      <c r="L122" s="16">
        <v>181142</v>
      </c>
      <c r="M122" s="16" t="s">
        <v>1683</v>
      </c>
      <c r="O122" s="16">
        <v>1</v>
      </c>
      <c r="P122" s="16" t="s">
        <v>1684</v>
      </c>
      <c r="Q122" s="16" t="s">
        <v>1685</v>
      </c>
    </row>
    <row r="123" spans="1:17" s="16" customFormat="1" x14ac:dyDescent="0.25">
      <c r="A123" s="16">
        <v>8003879954</v>
      </c>
      <c r="B123" s="16">
        <v>17</v>
      </c>
      <c r="C123" s="16">
        <v>13082018</v>
      </c>
      <c r="D123" s="16">
        <v>489</v>
      </c>
      <c r="E123" s="16" t="s">
        <v>31</v>
      </c>
      <c r="F123" s="16">
        <v>9938</v>
      </c>
      <c r="G123" s="16" t="s">
        <v>1682</v>
      </c>
      <c r="H123" s="10">
        <v>0.1</v>
      </c>
      <c r="I123" s="16" t="s">
        <v>26</v>
      </c>
      <c r="J123" s="10">
        <v>2788005.39</v>
      </c>
      <c r="K123" s="16" t="s">
        <v>27</v>
      </c>
      <c r="L123" s="16">
        <v>181142</v>
      </c>
      <c r="M123" s="16" t="s">
        <v>1686</v>
      </c>
      <c r="O123" s="16">
        <v>1</v>
      </c>
    </row>
    <row r="124" spans="1:17" s="16" customFormat="1" x14ac:dyDescent="0.25">
      <c r="A124" s="16">
        <v>8003879954</v>
      </c>
      <c r="B124" s="16">
        <v>16</v>
      </c>
      <c r="C124" s="16">
        <v>13082018</v>
      </c>
      <c r="D124" s="16">
        <v>341</v>
      </c>
      <c r="E124" s="16" t="s">
        <v>25</v>
      </c>
      <c r="F124" s="16">
        <v>9938</v>
      </c>
      <c r="G124" s="16" t="s">
        <v>1687</v>
      </c>
      <c r="H124" s="10">
        <v>2658</v>
      </c>
      <c r="I124" s="16" t="s">
        <v>26</v>
      </c>
      <c r="J124" s="10">
        <v>2788005.49</v>
      </c>
      <c r="K124" s="16" t="s">
        <v>27</v>
      </c>
      <c r="L124" s="16">
        <v>181144</v>
      </c>
      <c r="M124" s="16" t="s">
        <v>1178</v>
      </c>
      <c r="O124" s="16">
        <v>1</v>
      </c>
      <c r="P124" s="16" t="s">
        <v>1688</v>
      </c>
      <c r="Q124" s="16" t="s">
        <v>1689</v>
      </c>
    </row>
    <row r="125" spans="1:17" s="16" customFormat="1" x14ac:dyDescent="0.25">
      <c r="A125" s="16">
        <v>8003879954</v>
      </c>
      <c r="B125" s="16">
        <v>15</v>
      </c>
      <c r="C125" s="16">
        <v>13082018</v>
      </c>
      <c r="D125" s="16">
        <v>489</v>
      </c>
      <c r="E125" s="16" t="s">
        <v>31</v>
      </c>
      <c r="F125" s="16">
        <v>9938</v>
      </c>
      <c r="G125" s="16" t="s">
        <v>1687</v>
      </c>
      <c r="H125" s="10">
        <v>0.1</v>
      </c>
      <c r="I125" s="16" t="s">
        <v>26</v>
      </c>
      <c r="J125" s="10">
        <v>2790663.49</v>
      </c>
      <c r="K125" s="16" t="s">
        <v>27</v>
      </c>
      <c r="L125" s="16">
        <v>181144</v>
      </c>
      <c r="M125" s="16" t="s">
        <v>1690</v>
      </c>
      <c r="O125" s="16">
        <v>1</v>
      </c>
    </row>
    <row r="126" spans="1:17" s="16" customFormat="1" x14ac:dyDescent="0.25">
      <c r="A126" s="16">
        <v>8003879954</v>
      </c>
      <c r="B126" s="16">
        <v>14</v>
      </c>
      <c r="C126" s="16">
        <v>13082018</v>
      </c>
      <c r="D126" s="16">
        <v>341</v>
      </c>
      <c r="E126" s="16" t="s">
        <v>25</v>
      </c>
      <c r="F126" s="16">
        <v>9938</v>
      </c>
      <c r="G126" s="16" t="s">
        <v>1691</v>
      </c>
      <c r="H126" s="10">
        <v>354</v>
      </c>
      <c r="I126" s="16" t="s">
        <v>26</v>
      </c>
      <c r="J126" s="10">
        <v>2790663.59</v>
      </c>
      <c r="K126" s="16" t="s">
        <v>27</v>
      </c>
      <c r="L126" s="16">
        <v>181142</v>
      </c>
      <c r="M126" s="16" t="s">
        <v>1162</v>
      </c>
      <c r="O126" s="16">
        <v>1</v>
      </c>
      <c r="P126" s="16" t="s">
        <v>1692</v>
      </c>
      <c r="Q126" s="16" t="s">
        <v>1693</v>
      </c>
    </row>
    <row r="127" spans="1:17" s="16" customFormat="1" x14ac:dyDescent="0.25">
      <c r="A127" s="16">
        <v>8003879954</v>
      </c>
      <c r="B127" s="16">
        <v>13</v>
      </c>
      <c r="C127" s="16">
        <v>13082018</v>
      </c>
      <c r="D127" s="16">
        <v>489</v>
      </c>
      <c r="E127" s="16" t="s">
        <v>31</v>
      </c>
      <c r="F127" s="16">
        <v>9938</v>
      </c>
      <c r="G127" s="16" t="s">
        <v>1691</v>
      </c>
      <c r="H127" s="10">
        <v>0.1</v>
      </c>
      <c r="I127" s="16" t="s">
        <v>26</v>
      </c>
      <c r="J127" s="10">
        <v>2791017.59</v>
      </c>
      <c r="K127" s="16" t="s">
        <v>27</v>
      </c>
      <c r="L127" s="16">
        <v>181142</v>
      </c>
      <c r="M127" s="16" t="s">
        <v>1694</v>
      </c>
      <c r="O127" s="16">
        <v>1</v>
      </c>
    </row>
    <row r="128" spans="1:17" s="16" customFormat="1" x14ac:dyDescent="0.25">
      <c r="A128" s="16">
        <v>8003879954</v>
      </c>
      <c r="B128" s="16">
        <v>12</v>
      </c>
      <c r="C128" s="16">
        <v>13082018</v>
      </c>
      <c r="D128" s="16">
        <v>341</v>
      </c>
      <c r="E128" s="16" t="s">
        <v>25</v>
      </c>
      <c r="F128" s="16">
        <v>9938</v>
      </c>
      <c r="G128" s="16" t="s">
        <v>1695</v>
      </c>
      <c r="H128" s="10">
        <v>2630</v>
      </c>
      <c r="I128" s="16" t="s">
        <v>26</v>
      </c>
      <c r="J128" s="10">
        <v>2791017.69</v>
      </c>
      <c r="K128" s="16" t="s">
        <v>27</v>
      </c>
      <c r="L128" s="16">
        <v>181142</v>
      </c>
      <c r="M128" s="16" t="s">
        <v>1004</v>
      </c>
      <c r="O128" s="16">
        <v>1</v>
      </c>
      <c r="P128" s="16" t="s">
        <v>1696</v>
      </c>
      <c r="Q128" s="16" t="s">
        <v>1697</v>
      </c>
    </row>
    <row r="129" spans="1:17" s="16" customFormat="1" x14ac:dyDescent="0.25">
      <c r="A129" s="16">
        <v>8003879954</v>
      </c>
      <c r="B129" s="16">
        <v>11</v>
      </c>
      <c r="C129" s="16">
        <v>13082018</v>
      </c>
      <c r="D129" s="16">
        <v>489</v>
      </c>
      <c r="E129" s="16" t="s">
        <v>31</v>
      </c>
      <c r="F129" s="16">
        <v>9938</v>
      </c>
      <c r="G129" s="16" t="s">
        <v>1695</v>
      </c>
      <c r="H129" s="10">
        <v>0.1</v>
      </c>
      <c r="I129" s="16" t="s">
        <v>26</v>
      </c>
      <c r="J129" s="10">
        <v>2793647.69</v>
      </c>
      <c r="K129" s="16" t="s">
        <v>27</v>
      </c>
      <c r="L129" s="16">
        <v>181142</v>
      </c>
      <c r="M129" s="16" t="s">
        <v>1698</v>
      </c>
      <c r="O129" s="16">
        <v>1</v>
      </c>
    </row>
    <row r="130" spans="1:17" s="16" customFormat="1" x14ac:dyDescent="0.25">
      <c r="A130" s="16">
        <v>8003879954</v>
      </c>
      <c r="B130" s="16">
        <v>10</v>
      </c>
      <c r="C130" s="16">
        <v>13082018</v>
      </c>
      <c r="D130" s="16">
        <v>341</v>
      </c>
      <c r="E130" s="16" t="s">
        <v>25</v>
      </c>
      <c r="F130" s="16">
        <v>9938</v>
      </c>
      <c r="G130" s="16" t="s">
        <v>1699</v>
      </c>
      <c r="H130" s="10">
        <v>5400</v>
      </c>
      <c r="I130" s="16" t="s">
        <v>26</v>
      </c>
      <c r="J130" s="10">
        <v>2793647.79</v>
      </c>
      <c r="K130" s="16" t="s">
        <v>27</v>
      </c>
      <c r="L130" s="16">
        <v>181143</v>
      </c>
      <c r="M130" s="16" t="s">
        <v>1700</v>
      </c>
      <c r="O130" s="16">
        <v>1</v>
      </c>
      <c r="P130" s="16" t="s">
        <v>1701</v>
      </c>
      <c r="Q130" s="16" t="s">
        <v>1702</v>
      </c>
    </row>
    <row r="131" spans="1:17" s="16" customFormat="1" x14ac:dyDescent="0.25">
      <c r="A131" s="16">
        <v>8003879954</v>
      </c>
      <c r="B131" s="16">
        <v>9</v>
      </c>
      <c r="C131" s="16">
        <v>13082018</v>
      </c>
      <c r="D131" s="16">
        <v>489</v>
      </c>
      <c r="E131" s="16" t="s">
        <v>31</v>
      </c>
      <c r="F131" s="16">
        <v>9938</v>
      </c>
      <c r="G131" s="16" t="s">
        <v>1699</v>
      </c>
      <c r="H131" s="10">
        <v>0.1</v>
      </c>
      <c r="I131" s="16" t="s">
        <v>26</v>
      </c>
      <c r="J131" s="10">
        <v>2799047.79</v>
      </c>
      <c r="K131" s="16" t="s">
        <v>27</v>
      </c>
      <c r="L131" s="16">
        <v>181143</v>
      </c>
      <c r="M131" s="16" t="s">
        <v>1703</v>
      </c>
      <c r="O131" s="16">
        <v>1</v>
      </c>
    </row>
    <row r="132" spans="1:17" s="16" customFormat="1" x14ac:dyDescent="0.25">
      <c r="A132" s="16">
        <v>8003879954</v>
      </c>
      <c r="B132" s="16">
        <v>8</v>
      </c>
      <c r="C132" s="16">
        <v>13082018</v>
      </c>
      <c r="D132" s="16">
        <v>341</v>
      </c>
      <c r="E132" s="16" t="s">
        <v>25</v>
      </c>
      <c r="F132" s="16">
        <v>9938</v>
      </c>
      <c r="G132" s="16" t="s">
        <v>1704</v>
      </c>
      <c r="H132" s="10">
        <v>180</v>
      </c>
      <c r="I132" s="16" t="s">
        <v>26</v>
      </c>
      <c r="J132" s="10">
        <v>2799047.89</v>
      </c>
      <c r="K132" s="16" t="s">
        <v>27</v>
      </c>
      <c r="L132" s="16">
        <v>181143</v>
      </c>
      <c r="M132" s="16" t="s">
        <v>47</v>
      </c>
      <c r="O132" s="16">
        <v>1</v>
      </c>
      <c r="P132" s="16" t="s">
        <v>1705</v>
      </c>
      <c r="Q132" s="16" t="s">
        <v>1706</v>
      </c>
    </row>
    <row r="133" spans="1:17" s="16" customFormat="1" x14ac:dyDescent="0.25">
      <c r="A133" s="16">
        <v>8003879954</v>
      </c>
      <c r="B133" s="16">
        <v>7</v>
      </c>
      <c r="C133" s="16">
        <v>13082018</v>
      </c>
      <c r="D133" s="16">
        <v>489</v>
      </c>
      <c r="E133" s="16" t="s">
        <v>31</v>
      </c>
      <c r="F133" s="16">
        <v>9938</v>
      </c>
      <c r="G133" s="16" t="s">
        <v>1704</v>
      </c>
      <c r="H133" s="10">
        <v>0.1</v>
      </c>
      <c r="I133" s="16" t="s">
        <v>26</v>
      </c>
      <c r="J133" s="10">
        <v>2799227.89</v>
      </c>
      <c r="K133" s="16" t="s">
        <v>27</v>
      </c>
      <c r="L133" s="16">
        <v>181143</v>
      </c>
      <c r="M133" s="16" t="s">
        <v>1707</v>
      </c>
      <c r="O133" s="16">
        <v>1</v>
      </c>
    </row>
    <row r="134" spans="1:17" s="16" customFormat="1" x14ac:dyDescent="0.25">
      <c r="A134" s="16">
        <v>8003879954</v>
      </c>
      <c r="B134" s="16">
        <v>6</v>
      </c>
      <c r="C134" s="16">
        <v>13082018</v>
      </c>
      <c r="D134" s="16">
        <v>341</v>
      </c>
      <c r="E134" s="16" t="s">
        <v>25</v>
      </c>
      <c r="F134" s="16">
        <v>9938</v>
      </c>
      <c r="G134" s="16" t="s">
        <v>1708</v>
      </c>
      <c r="H134" s="10">
        <v>3729.6</v>
      </c>
      <c r="I134" s="16" t="s">
        <v>26</v>
      </c>
      <c r="J134" s="10">
        <v>2799227.99</v>
      </c>
      <c r="K134" s="16" t="s">
        <v>27</v>
      </c>
      <c r="L134" s="16">
        <v>181142</v>
      </c>
      <c r="M134" s="16" t="s">
        <v>1709</v>
      </c>
      <c r="O134" s="16">
        <v>1</v>
      </c>
      <c r="P134" s="16" t="s">
        <v>1710</v>
      </c>
      <c r="Q134" s="16" t="s">
        <v>1711</v>
      </c>
    </row>
    <row r="135" spans="1:17" s="16" customFormat="1" x14ac:dyDescent="0.25">
      <c r="A135" s="16">
        <v>8003879954</v>
      </c>
      <c r="B135" s="16">
        <v>5</v>
      </c>
      <c r="C135" s="16">
        <v>13082018</v>
      </c>
      <c r="D135" s="16">
        <v>489</v>
      </c>
      <c r="E135" s="16" t="s">
        <v>31</v>
      </c>
      <c r="F135" s="16">
        <v>9938</v>
      </c>
      <c r="G135" s="16" t="s">
        <v>1708</v>
      </c>
      <c r="H135" s="10">
        <v>0.1</v>
      </c>
      <c r="I135" s="16" t="s">
        <v>26</v>
      </c>
      <c r="J135" s="10">
        <v>2802957.59</v>
      </c>
      <c r="K135" s="16" t="s">
        <v>27</v>
      </c>
      <c r="L135" s="16">
        <v>181142</v>
      </c>
      <c r="M135" s="16" t="s">
        <v>1712</v>
      </c>
      <c r="O135" s="16">
        <v>1</v>
      </c>
    </row>
    <row r="136" spans="1:17" s="16" customFormat="1" x14ac:dyDescent="0.25">
      <c r="A136" s="16">
        <v>8003879954</v>
      </c>
      <c r="B136" s="16">
        <v>4</v>
      </c>
      <c r="C136" s="16">
        <v>13082018</v>
      </c>
      <c r="D136" s="16">
        <v>341</v>
      </c>
      <c r="E136" s="16" t="s">
        <v>25</v>
      </c>
      <c r="F136" s="16">
        <v>9938</v>
      </c>
      <c r="G136" s="16" t="s">
        <v>1713</v>
      </c>
      <c r="H136" s="10">
        <v>9805</v>
      </c>
      <c r="I136" s="16" t="s">
        <v>26</v>
      </c>
      <c r="J136" s="10">
        <v>2802957.69</v>
      </c>
      <c r="K136" s="16" t="s">
        <v>27</v>
      </c>
      <c r="L136" s="16">
        <v>181142</v>
      </c>
      <c r="M136" s="16" t="s">
        <v>1173</v>
      </c>
      <c r="O136" s="16">
        <v>1</v>
      </c>
      <c r="P136" s="16" t="s">
        <v>1714</v>
      </c>
      <c r="Q136" s="16" t="s">
        <v>1715</v>
      </c>
    </row>
    <row r="137" spans="1:17" s="16" customFormat="1" x14ac:dyDescent="0.25">
      <c r="A137" s="16">
        <v>8003879954</v>
      </c>
      <c r="B137" s="16">
        <v>3</v>
      </c>
      <c r="C137" s="16">
        <v>13082018</v>
      </c>
      <c r="D137" s="16">
        <v>489</v>
      </c>
      <c r="E137" s="16" t="s">
        <v>31</v>
      </c>
      <c r="F137" s="16">
        <v>9938</v>
      </c>
      <c r="G137" s="16" t="s">
        <v>1713</v>
      </c>
      <c r="H137" s="10">
        <v>0.1</v>
      </c>
      <c r="I137" s="16" t="s">
        <v>26</v>
      </c>
      <c r="J137" s="10">
        <v>2812762.69</v>
      </c>
      <c r="K137" s="16" t="s">
        <v>27</v>
      </c>
      <c r="L137" s="16">
        <v>181142</v>
      </c>
      <c r="M137" s="16" t="s">
        <v>1716</v>
      </c>
      <c r="O137" s="16">
        <v>1</v>
      </c>
    </row>
    <row r="138" spans="1:17" s="16" customFormat="1" x14ac:dyDescent="0.25">
      <c r="A138" s="16">
        <v>8003879954</v>
      </c>
      <c r="B138" s="16">
        <v>2</v>
      </c>
      <c r="C138" s="16">
        <v>13082018</v>
      </c>
      <c r="D138" s="16">
        <v>415</v>
      </c>
      <c r="E138" s="16" t="s">
        <v>48</v>
      </c>
      <c r="F138" s="16">
        <v>72</v>
      </c>
      <c r="G138" s="16" t="s">
        <v>1717</v>
      </c>
      <c r="H138" s="17">
        <v>30</v>
      </c>
      <c r="I138" s="16" t="s">
        <v>26</v>
      </c>
      <c r="J138" s="10">
        <v>2812762.79</v>
      </c>
      <c r="K138" s="16" t="s">
        <v>27</v>
      </c>
      <c r="L138" s="16">
        <v>170344</v>
      </c>
      <c r="M138" s="16" t="s">
        <v>1718</v>
      </c>
      <c r="O138" s="16">
        <v>1</v>
      </c>
    </row>
    <row r="139" spans="1:17" s="16" customFormat="1" x14ac:dyDescent="0.25">
      <c r="A139" s="16">
        <v>8003879954</v>
      </c>
      <c r="B139" s="16">
        <v>1</v>
      </c>
      <c r="C139" s="16">
        <v>13082018</v>
      </c>
      <c r="D139" s="16">
        <v>349</v>
      </c>
      <c r="E139" s="16" t="s">
        <v>49</v>
      </c>
      <c r="F139" s="16">
        <v>72</v>
      </c>
      <c r="G139" s="16" t="s">
        <v>1717</v>
      </c>
      <c r="H139" s="10">
        <v>77491.63</v>
      </c>
      <c r="I139" s="16" t="s">
        <v>26</v>
      </c>
      <c r="J139" s="10">
        <v>2812792.79</v>
      </c>
      <c r="K139" s="16" t="s">
        <v>27</v>
      </c>
      <c r="L139" s="16">
        <v>170344</v>
      </c>
      <c r="M139" s="16" t="s">
        <v>1718</v>
      </c>
      <c r="O139" s="16">
        <v>1</v>
      </c>
    </row>
    <row r="140" spans="1:17" s="16" customFormat="1" x14ac:dyDescent="0.25">
      <c r="A140" s="16">
        <v>8003879954</v>
      </c>
      <c r="B140" s="16">
        <v>2</v>
      </c>
      <c r="C140" s="16">
        <v>10082018</v>
      </c>
      <c r="D140" s="16">
        <v>819</v>
      </c>
      <c r="E140" s="16" t="s">
        <v>35</v>
      </c>
      <c r="H140" s="10">
        <v>0.5</v>
      </c>
      <c r="I140" s="16" t="s">
        <v>26</v>
      </c>
      <c r="J140" s="10">
        <v>2890284.42</v>
      </c>
      <c r="K140" s="16" t="s">
        <v>27</v>
      </c>
      <c r="L140" s="16">
        <v>35210</v>
      </c>
      <c r="M140" s="16" t="s">
        <v>32</v>
      </c>
      <c r="O140" s="16">
        <v>1</v>
      </c>
    </row>
    <row r="141" spans="1:17" s="16" customFormat="1" x14ac:dyDescent="0.25">
      <c r="A141" s="16">
        <v>8003879954</v>
      </c>
      <c r="B141" s="16">
        <v>1</v>
      </c>
      <c r="C141" s="16">
        <v>10082018</v>
      </c>
      <c r="D141" s="16">
        <v>323</v>
      </c>
      <c r="E141" s="16" t="s">
        <v>50</v>
      </c>
      <c r="F141" s="16">
        <v>0</v>
      </c>
      <c r="G141" s="16" t="s">
        <v>1719</v>
      </c>
      <c r="H141" s="10">
        <v>265</v>
      </c>
      <c r="I141" s="16" t="s">
        <v>26</v>
      </c>
      <c r="J141" s="10">
        <v>2890284.92</v>
      </c>
      <c r="K141" s="16" t="s">
        <v>27</v>
      </c>
      <c r="L141" s="16">
        <v>35117</v>
      </c>
      <c r="M141" s="16" t="s">
        <v>32</v>
      </c>
      <c r="O141" s="16">
        <v>1</v>
      </c>
    </row>
    <row r="142" spans="1:17" s="16" customFormat="1" x14ac:dyDescent="0.25">
      <c r="A142" s="16">
        <v>8003879954</v>
      </c>
      <c r="B142" s="16">
        <v>7</v>
      </c>
      <c r="C142" s="16">
        <v>9082018</v>
      </c>
      <c r="D142" s="16">
        <v>819</v>
      </c>
      <c r="E142" s="16" t="s">
        <v>35</v>
      </c>
      <c r="H142" s="10">
        <v>1</v>
      </c>
      <c r="I142" s="16" t="s">
        <v>26</v>
      </c>
      <c r="J142" s="10">
        <v>2890549.92</v>
      </c>
      <c r="K142" s="16" t="s">
        <v>27</v>
      </c>
      <c r="L142" s="16">
        <v>11116</v>
      </c>
      <c r="M142" s="16" t="s">
        <v>32</v>
      </c>
      <c r="O142" s="16">
        <v>1</v>
      </c>
    </row>
    <row r="143" spans="1:17" s="16" customFormat="1" x14ac:dyDescent="0.25">
      <c r="A143" s="16">
        <v>8003879954</v>
      </c>
      <c r="B143" s="16">
        <v>6</v>
      </c>
      <c r="C143" s="16">
        <v>9082018</v>
      </c>
      <c r="D143" s="16">
        <v>321</v>
      </c>
      <c r="E143" s="16" t="s">
        <v>36</v>
      </c>
      <c r="F143" s="16">
        <v>0</v>
      </c>
      <c r="G143" s="16" t="s">
        <v>1720</v>
      </c>
      <c r="H143" s="10">
        <v>477.95</v>
      </c>
      <c r="I143" s="16" t="s">
        <v>26</v>
      </c>
      <c r="J143" s="10">
        <v>2890550.92</v>
      </c>
      <c r="K143" s="16" t="s">
        <v>27</v>
      </c>
      <c r="L143" s="16">
        <v>11017</v>
      </c>
      <c r="M143" s="16" t="s">
        <v>32</v>
      </c>
      <c r="O143" s="16">
        <v>1</v>
      </c>
    </row>
    <row r="144" spans="1:17" s="16" customFormat="1" x14ac:dyDescent="0.25">
      <c r="A144" s="16">
        <v>8003879954</v>
      </c>
      <c r="B144" s="16">
        <v>5</v>
      </c>
      <c r="C144" s="16">
        <v>9082018</v>
      </c>
      <c r="D144" s="16">
        <v>321</v>
      </c>
      <c r="E144" s="16" t="s">
        <v>36</v>
      </c>
      <c r="F144" s="16">
        <v>0</v>
      </c>
      <c r="G144" s="16" t="s">
        <v>1721</v>
      </c>
      <c r="H144" s="10">
        <v>45.9</v>
      </c>
      <c r="I144" s="16" t="s">
        <v>26</v>
      </c>
      <c r="J144" s="10">
        <v>2891028.87</v>
      </c>
      <c r="K144" s="16" t="s">
        <v>27</v>
      </c>
      <c r="L144" s="16">
        <v>11017</v>
      </c>
      <c r="M144" s="16" t="s">
        <v>32</v>
      </c>
      <c r="O144" s="16">
        <v>1</v>
      </c>
    </row>
    <row r="145" spans="1:18" s="16" customFormat="1" x14ac:dyDescent="0.25">
      <c r="A145" s="16">
        <v>8003879954</v>
      </c>
      <c r="B145" s="16">
        <v>4</v>
      </c>
      <c r="C145" s="16">
        <v>9082018</v>
      </c>
      <c r="D145" s="16">
        <v>415</v>
      </c>
      <c r="E145" s="16" t="s">
        <v>48</v>
      </c>
      <c r="F145" s="16">
        <v>72</v>
      </c>
      <c r="G145" s="16" t="s">
        <v>1722</v>
      </c>
      <c r="H145" s="17">
        <v>30</v>
      </c>
      <c r="I145" s="16" t="s">
        <v>26</v>
      </c>
      <c r="J145" s="10">
        <v>2891074.77</v>
      </c>
      <c r="K145" s="16" t="s">
        <v>27</v>
      </c>
      <c r="L145" s="16">
        <v>180431</v>
      </c>
      <c r="M145" s="16" t="s">
        <v>1723</v>
      </c>
      <c r="O145" s="16">
        <v>1</v>
      </c>
    </row>
    <row r="146" spans="1:18" s="16" customFormat="1" x14ac:dyDescent="0.25">
      <c r="A146" s="16">
        <v>8003879954</v>
      </c>
      <c r="B146" s="16">
        <v>3</v>
      </c>
      <c r="C146" s="16">
        <v>9082018</v>
      </c>
      <c r="D146" s="16">
        <v>349</v>
      </c>
      <c r="E146" s="16" t="s">
        <v>49</v>
      </c>
      <c r="F146" s="16">
        <v>72</v>
      </c>
      <c r="G146" s="16" t="s">
        <v>1722</v>
      </c>
      <c r="H146" s="10">
        <v>74003.399999999994</v>
      </c>
      <c r="I146" s="16" t="s">
        <v>26</v>
      </c>
      <c r="J146" s="10">
        <v>2891104.77</v>
      </c>
      <c r="K146" s="16" t="s">
        <v>27</v>
      </c>
      <c r="L146" s="16">
        <v>180431</v>
      </c>
      <c r="M146" s="16" t="s">
        <v>1723</v>
      </c>
      <c r="O146" s="16">
        <v>1</v>
      </c>
    </row>
    <row r="147" spans="1:18" s="16" customFormat="1" x14ac:dyDescent="0.25">
      <c r="A147" s="16">
        <v>8003879954</v>
      </c>
      <c r="B147" s="16">
        <v>2</v>
      </c>
      <c r="C147" s="16">
        <v>9082018</v>
      </c>
      <c r="D147" s="16">
        <v>415</v>
      </c>
      <c r="E147" s="16" t="s">
        <v>48</v>
      </c>
      <c r="F147" s="16">
        <v>72</v>
      </c>
      <c r="G147" s="16" t="s">
        <v>1724</v>
      </c>
      <c r="H147" s="17">
        <v>30</v>
      </c>
      <c r="I147" s="16" t="s">
        <v>26</v>
      </c>
      <c r="J147" s="10">
        <v>2965108.17</v>
      </c>
      <c r="K147" s="16" t="s">
        <v>27</v>
      </c>
      <c r="L147" s="16">
        <v>174117</v>
      </c>
      <c r="M147" s="16" t="s">
        <v>1725</v>
      </c>
      <c r="O147" s="16">
        <v>1</v>
      </c>
    </row>
    <row r="148" spans="1:18" s="16" customFormat="1" x14ac:dyDescent="0.25">
      <c r="A148" s="16">
        <v>8003879954</v>
      </c>
      <c r="B148" s="16">
        <v>1</v>
      </c>
      <c r="C148" s="16">
        <v>9082018</v>
      </c>
      <c r="D148" s="16">
        <v>349</v>
      </c>
      <c r="E148" s="16" t="s">
        <v>49</v>
      </c>
      <c r="F148" s="16">
        <v>72</v>
      </c>
      <c r="G148" s="16" t="s">
        <v>1724</v>
      </c>
      <c r="H148" s="10">
        <v>26180.25</v>
      </c>
      <c r="I148" s="16" t="s">
        <v>26</v>
      </c>
      <c r="J148" s="10">
        <v>2965138.17</v>
      </c>
      <c r="K148" s="16" t="s">
        <v>27</v>
      </c>
      <c r="L148" s="16">
        <v>174117</v>
      </c>
      <c r="M148" s="16" t="s">
        <v>1725</v>
      </c>
      <c r="O148" s="16">
        <v>1</v>
      </c>
    </row>
    <row r="149" spans="1:18" s="16" customFormat="1" x14ac:dyDescent="0.25">
      <c r="A149" s="16">
        <v>8003879954</v>
      </c>
      <c r="B149" s="16">
        <v>6</v>
      </c>
      <c r="C149" s="16">
        <v>8082018</v>
      </c>
      <c r="D149" s="16">
        <v>819</v>
      </c>
      <c r="E149" s="16" t="s">
        <v>35</v>
      </c>
      <c r="H149" s="10">
        <v>1.5</v>
      </c>
      <c r="I149" s="16" t="s">
        <v>26</v>
      </c>
      <c r="J149" s="10">
        <v>2991318.42</v>
      </c>
      <c r="K149" s="16" t="s">
        <v>27</v>
      </c>
      <c r="L149" s="16">
        <v>10617</v>
      </c>
      <c r="M149" s="16" t="s">
        <v>32</v>
      </c>
      <c r="O149" s="16">
        <v>1</v>
      </c>
    </row>
    <row r="150" spans="1:18" s="16" customFormat="1" x14ac:dyDescent="0.25">
      <c r="A150" s="16">
        <v>8003879954</v>
      </c>
      <c r="B150" s="16">
        <v>5</v>
      </c>
      <c r="C150" s="16">
        <v>8082018</v>
      </c>
      <c r="D150" s="16">
        <v>323</v>
      </c>
      <c r="E150" s="16" t="s">
        <v>50</v>
      </c>
      <c r="F150" s="16">
        <v>0</v>
      </c>
      <c r="G150" s="16" t="s">
        <v>1726</v>
      </c>
      <c r="H150" s="10">
        <v>100000</v>
      </c>
      <c r="I150" s="16" t="s">
        <v>26</v>
      </c>
      <c r="J150" s="10">
        <v>2991319.92</v>
      </c>
      <c r="K150" s="16" t="s">
        <v>27</v>
      </c>
      <c r="L150" s="16">
        <v>10511</v>
      </c>
      <c r="M150" s="16" t="s">
        <v>32</v>
      </c>
      <c r="O150" s="16">
        <v>1</v>
      </c>
    </row>
    <row r="151" spans="1:18" s="16" customFormat="1" x14ac:dyDescent="0.25">
      <c r="A151" s="16">
        <v>8003879954</v>
      </c>
      <c r="B151" s="16">
        <v>4</v>
      </c>
      <c r="C151" s="16">
        <v>8082018</v>
      </c>
      <c r="D151" s="16">
        <v>323</v>
      </c>
      <c r="E151" s="16" t="s">
        <v>50</v>
      </c>
      <c r="F151" s="16">
        <v>0</v>
      </c>
      <c r="G151" s="16" t="s">
        <v>1727</v>
      </c>
      <c r="H151" s="10">
        <v>170</v>
      </c>
      <c r="I151" s="16" t="s">
        <v>26</v>
      </c>
      <c r="J151" s="10">
        <v>3091319.92</v>
      </c>
      <c r="K151" s="16" t="s">
        <v>27</v>
      </c>
      <c r="L151" s="16">
        <v>10511</v>
      </c>
      <c r="M151" s="16" t="s">
        <v>32</v>
      </c>
      <c r="O151" s="16">
        <v>1</v>
      </c>
    </row>
    <row r="152" spans="1:18" s="16" customFormat="1" x14ac:dyDescent="0.25">
      <c r="A152" s="16">
        <v>8003879954</v>
      </c>
      <c r="B152" s="16">
        <v>3</v>
      </c>
      <c r="C152" s="16">
        <v>8082018</v>
      </c>
      <c r="D152" s="16">
        <v>323</v>
      </c>
      <c r="E152" s="16" t="s">
        <v>50</v>
      </c>
      <c r="F152" s="16">
        <v>0</v>
      </c>
      <c r="G152" s="16" t="s">
        <v>1728</v>
      </c>
      <c r="H152" s="10">
        <v>67810.320000000007</v>
      </c>
      <c r="I152" s="16" t="s">
        <v>26</v>
      </c>
      <c r="J152" s="10">
        <v>3091489.92</v>
      </c>
      <c r="K152" s="16" t="s">
        <v>27</v>
      </c>
      <c r="L152" s="16">
        <v>10511</v>
      </c>
      <c r="M152" s="16" t="s">
        <v>32</v>
      </c>
      <c r="O152" s="16">
        <v>1</v>
      </c>
    </row>
    <row r="153" spans="1:18" s="16" customFormat="1" x14ac:dyDescent="0.25">
      <c r="A153" s="16">
        <v>8003879954</v>
      </c>
      <c r="B153" s="16">
        <v>2</v>
      </c>
      <c r="C153" s="16">
        <v>8082018</v>
      </c>
      <c r="D153" s="16">
        <v>174</v>
      </c>
      <c r="E153" s="16" t="s">
        <v>159</v>
      </c>
      <c r="F153" s="16">
        <v>2001</v>
      </c>
      <c r="G153" s="16" t="s">
        <v>1729</v>
      </c>
      <c r="H153" s="10">
        <v>2000</v>
      </c>
      <c r="I153" s="16" t="s">
        <v>27</v>
      </c>
      <c r="J153" s="10">
        <v>3159300.24</v>
      </c>
      <c r="K153" s="16" t="s">
        <v>27</v>
      </c>
      <c r="L153" s="16">
        <v>151334</v>
      </c>
      <c r="M153" s="16" t="s">
        <v>518</v>
      </c>
      <c r="O153" s="16">
        <v>1</v>
      </c>
      <c r="P153" s="16" t="s">
        <v>518</v>
      </c>
      <c r="Q153" s="16" t="s">
        <v>518</v>
      </c>
      <c r="R153" s="16" t="s">
        <v>1730</v>
      </c>
    </row>
    <row r="154" spans="1:18" s="16" customFormat="1" x14ac:dyDescent="0.25">
      <c r="A154" s="16">
        <v>8003879954</v>
      </c>
      <c r="B154" s="16">
        <v>1</v>
      </c>
      <c r="C154" s="16">
        <v>8082018</v>
      </c>
      <c r="D154" s="16">
        <v>141</v>
      </c>
      <c r="E154" s="16" t="s">
        <v>1731</v>
      </c>
      <c r="F154" s="16" t="s">
        <v>1110</v>
      </c>
      <c r="G154" s="16" t="s">
        <v>1732</v>
      </c>
      <c r="H154" s="10">
        <v>8000</v>
      </c>
      <c r="I154" s="16" t="s">
        <v>27</v>
      </c>
      <c r="J154" s="10">
        <v>3157300.24</v>
      </c>
      <c r="K154" s="16" t="s">
        <v>27</v>
      </c>
      <c r="L154" s="16">
        <v>145600</v>
      </c>
      <c r="M154" s="16" t="s">
        <v>32</v>
      </c>
      <c r="O154" s="16">
        <v>1</v>
      </c>
    </row>
    <row r="155" spans="1:18" s="16" customFormat="1" x14ac:dyDescent="0.25">
      <c r="A155" s="16">
        <v>8003879954</v>
      </c>
      <c r="B155" s="16">
        <v>2</v>
      </c>
      <c r="C155" s="16">
        <v>7082018</v>
      </c>
      <c r="D155" s="16">
        <v>415</v>
      </c>
      <c r="E155" s="16" t="s">
        <v>48</v>
      </c>
      <c r="F155" s="16">
        <v>72</v>
      </c>
      <c r="G155" s="16" t="s">
        <v>1733</v>
      </c>
      <c r="H155" s="17">
        <v>30</v>
      </c>
      <c r="I155" s="16" t="s">
        <v>26</v>
      </c>
      <c r="J155" s="10">
        <v>3149300.24</v>
      </c>
      <c r="K155" s="16" t="s">
        <v>27</v>
      </c>
      <c r="L155" s="16">
        <v>114543</v>
      </c>
      <c r="M155" s="16" t="s">
        <v>1734</v>
      </c>
      <c r="O155" s="16">
        <v>1</v>
      </c>
    </row>
    <row r="156" spans="1:18" s="16" customFormat="1" x14ac:dyDescent="0.25">
      <c r="A156" s="16">
        <v>8003879954</v>
      </c>
      <c r="B156" s="16">
        <v>1</v>
      </c>
      <c r="C156" s="16">
        <v>7082018</v>
      </c>
      <c r="D156" s="16">
        <v>349</v>
      </c>
      <c r="E156" s="16" t="s">
        <v>49</v>
      </c>
      <c r="F156" s="16">
        <v>72</v>
      </c>
      <c r="G156" s="16" t="s">
        <v>1733</v>
      </c>
      <c r="H156" s="10">
        <v>27273.200000000001</v>
      </c>
      <c r="I156" s="16" t="s">
        <v>26</v>
      </c>
      <c r="J156" s="10">
        <v>3149330.24</v>
      </c>
      <c r="K156" s="16" t="s">
        <v>27</v>
      </c>
      <c r="L156" s="16">
        <v>114543</v>
      </c>
      <c r="M156" s="16" t="s">
        <v>1734</v>
      </c>
      <c r="O156" s="16">
        <v>1</v>
      </c>
    </row>
    <row r="157" spans="1:18" s="16" customFormat="1" x14ac:dyDescent="0.25">
      <c r="A157" s="16">
        <v>8003879954</v>
      </c>
      <c r="B157" s="16">
        <v>2</v>
      </c>
      <c r="C157" s="16">
        <v>6082018</v>
      </c>
      <c r="D157" s="16">
        <v>819</v>
      </c>
      <c r="E157" s="16" t="s">
        <v>35</v>
      </c>
      <c r="H157" s="10">
        <v>0.5</v>
      </c>
      <c r="I157" s="16" t="s">
        <v>26</v>
      </c>
      <c r="J157" s="10">
        <v>3176603.44</v>
      </c>
      <c r="K157" s="16" t="s">
        <v>27</v>
      </c>
      <c r="L157" s="16">
        <v>10745</v>
      </c>
      <c r="M157" s="16" t="s">
        <v>32</v>
      </c>
      <c r="O157" s="16">
        <v>1</v>
      </c>
    </row>
    <row r="158" spans="1:18" s="16" customFormat="1" x14ac:dyDescent="0.25">
      <c r="A158" s="16">
        <v>8003879954</v>
      </c>
      <c r="B158" s="16">
        <v>1</v>
      </c>
      <c r="C158" s="16">
        <v>6082018</v>
      </c>
      <c r="D158" s="16">
        <v>323</v>
      </c>
      <c r="E158" s="16" t="s">
        <v>50</v>
      </c>
      <c r="F158" s="16">
        <v>0</v>
      </c>
      <c r="G158" s="16" t="s">
        <v>1735</v>
      </c>
      <c r="H158" s="10">
        <v>98000</v>
      </c>
      <c r="I158" s="16" t="s">
        <v>26</v>
      </c>
      <c r="J158" s="10">
        <v>3176603.94</v>
      </c>
      <c r="K158" s="16" t="s">
        <v>27</v>
      </c>
      <c r="L158" s="16">
        <v>10538</v>
      </c>
      <c r="M158" s="16" t="s">
        <v>32</v>
      </c>
      <c r="O158" s="16">
        <v>1</v>
      </c>
    </row>
    <row r="159" spans="1:18" s="16" customFormat="1" x14ac:dyDescent="0.25">
      <c r="A159" s="16">
        <v>8003879954</v>
      </c>
      <c r="B159" s="16">
        <v>22</v>
      </c>
      <c r="C159" s="16">
        <v>3082018</v>
      </c>
      <c r="D159" s="16">
        <v>341</v>
      </c>
      <c r="E159" s="16" t="s">
        <v>25</v>
      </c>
      <c r="F159" s="16">
        <v>9938</v>
      </c>
      <c r="G159" s="16" t="s">
        <v>1736</v>
      </c>
      <c r="H159" s="10">
        <v>919.21</v>
      </c>
      <c r="I159" s="16" t="s">
        <v>26</v>
      </c>
      <c r="J159" s="10">
        <v>3274603.94</v>
      </c>
      <c r="K159" s="16" t="s">
        <v>27</v>
      </c>
      <c r="L159" s="16">
        <v>154149</v>
      </c>
      <c r="M159" s="16" t="s">
        <v>408</v>
      </c>
      <c r="O159" s="16">
        <v>1</v>
      </c>
      <c r="P159" s="16" t="s">
        <v>1737</v>
      </c>
      <c r="Q159" s="16" t="s">
        <v>410</v>
      </c>
    </row>
    <row r="160" spans="1:18" s="16" customFormat="1" x14ac:dyDescent="0.25">
      <c r="A160" s="16">
        <v>8003879954</v>
      </c>
      <c r="B160" s="16">
        <v>21</v>
      </c>
      <c r="C160" s="16">
        <v>3082018</v>
      </c>
      <c r="D160" s="16">
        <v>489</v>
      </c>
      <c r="E160" s="16" t="s">
        <v>31</v>
      </c>
      <c r="F160" s="16">
        <v>9938</v>
      </c>
      <c r="G160" s="16" t="s">
        <v>1736</v>
      </c>
      <c r="H160" s="10">
        <v>0.1</v>
      </c>
      <c r="I160" s="16" t="s">
        <v>26</v>
      </c>
      <c r="J160" s="10">
        <v>3275523.15</v>
      </c>
      <c r="K160" s="16" t="s">
        <v>27</v>
      </c>
      <c r="L160" s="16">
        <v>154149</v>
      </c>
      <c r="M160" s="16" t="s">
        <v>1738</v>
      </c>
      <c r="O160" s="16">
        <v>1</v>
      </c>
    </row>
    <row r="161" spans="1:17" s="16" customFormat="1" x14ac:dyDescent="0.25">
      <c r="A161" s="16">
        <v>8003879954</v>
      </c>
      <c r="B161" s="16">
        <v>20</v>
      </c>
      <c r="C161" s="16">
        <v>3082018</v>
      </c>
      <c r="D161" s="16">
        <v>60</v>
      </c>
      <c r="E161" s="16" t="s">
        <v>37</v>
      </c>
      <c r="F161" s="16">
        <v>9938</v>
      </c>
      <c r="G161" s="16" t="s">
        <v>1739</v>
      </c>
      <c r="H161" s="10">
        <v>270</v>
      </c>
      <c r="I161" s="16" t="s">
        <v>26</v>
      </c>
      <c r="J161" s="10">
        <v>3275523.25</v>
      </c>
      <c r="K161" s="16" t="s">
        <v>27</v>
      </c>
      <c r="L161" s="16">
        <v>154149</v>
      </c>
      <c r="M161" s="16" t="s">
        <v>1740</v>
      </c>
      <c r="O161" s="16">
        <v>1</v>
      </c>
      <c r="P161" s="16" t="s">
        <v>1741</v>
      </c>
      <c r="Q161" s="16" t="s">
        <v>1742</v>
      </c>
    </row>
    <row r="162" spans="1:17" s="16" customFormat="1" x14ac:dyDescent="0.25">
      <c r="A162" s="16">
        <v>8003879954</v>
      </c>
      <c r="B162" s="16">
        <v>19</v>
      </c>
      <c r="C162" s="16">
        <v>3082018</v>
      </c>
      <c r="D162" s="16">
        <v>341</v>
      </c>
      <c r="E162" s="16" t="s">
        <v>25</v>
      </c>
      <c r="F162" s="16">
        <v>9938</v>
      </c>
      <c r="G162" s="16" t="s">
        <v>1743</v>
      </c>
      <c r="H162" s="10">
        <v>900</v>
      </c>
      <c r="I162" s="16" t="s">
        <v>26</v>
      </c>
      <c r="J162" s="10">
        <v>3275793.25</v>
      </c>
      <c r="K162" s="16" t="s">
        <v>27</v>
      </c>
      <c r="L162" s="16">
        <v>154148</v>
      </c>
      <c r="M162" s="16" t="s">
        <v>235</v>
      </c>
      <c r="O162" s="16">
        <v>1</v>
      </c>
      <c r="P162" s="16" t="s">
        <v>1744</v>
      </c>
      <c r="Q162" s="16" t="s">
        <v>1745</v>
      </c>
    </row>
    <row r="163" spans="1:17" s="16" customFormat="1" x14ac:dyDescent="0.25">
      <c r="A163" s="16">
        <v>8003879954</v>
      </c>
      <c r="B163" s="16">
        <v>18</v>
      </c>
      <c r="C163" s="16">
        <v>3082018</v>
      </c>
      <c r="D163" s="16">
        <v>489</v>
      </c>
      <c r="E163" s="16" t="s">
        <v>31</v>
      </c>
      <c r="F163" s="16">
        <v>9938</v>
      </c>
      <c r="G163" s="16" t="s">
        <v>1743</v>
      </c>
      <c r="H163" s="10">
        <v>0.1</v>
      </c>
      <c r="I163" s="16" t="s">
        <v>26</v>
      </c>
      <c r="J163" s="10">
        <v>3276693.25</v>
      </c>
      <c r="K163" s="16" t="s">
        <v>27</v>
      </c>
      <c r="L163" s="16">
        <v>154148</v>
      </c>
      <c r="M163" s="16" t="s">
        <v>1746</v>
      </c>
      <c r="O163" s="16">
        <v>1</v>
      </c>
    </row>
    <row r="164" spans="1:17" s="16" customFormat="1" x14ac:dyDescent="0.25">
      <c r="A164" s="16">
        <v>8003879954</v>
      </c>
      <c r="B164" s="16">
        <v>17</v>
      </c>
      <c r="C164" s="16">
        <v>3082018</v>
      </c>
      <c r="D164" s="16">
        <v>341</v>
      </c>
      <c r="E164" s="16" t="s">
        <v>25</v>
      </c>
      <c r="F164" s="16">
        <v>9938</v>
      </c>
      <c r="G164" s="16" t="s">
        <v>1747</v>
      </c>
      <c r="H164" s="10">
        <v>3864.65</v>
      </c>
      <c r="I164" s="16" t="s">
        <v>26</v>
      </c>
      <c r="J164" s="10">
        <v>3276693.35</v>
      </c>
      <c r="K164" s="16" t="s">
        <v>27</v>
      </c>
      <c r="L164" s="16">
        <v>154148</v>
      </c>
      <c r="M164" s="16" t="s">
        <v>1748</v>
      </c>
      <c r="O164" s="16">
        <v>1</v>
      </c>
      <c r="P164" s="16" t="s">
        <v>1749</v>
      </c>
      <c r="Q164" s="16" t="s">
        <v>1750</v>
      </c>
    </row>
    <row r="165" spans="1:17" s="16" customFormat="1" x14ac:dyDescent="0.25">
      <c r="A165" s="16">
        <v>8003879954</v>
      </c>
      <c r="B165" s="16">
        <v>16</v>
      </c>
      <c r="C165" s="16">
        <v>3082018</v>
      </c>
      <c r="D165" s="16">
        <v>489</v>
      </c>
      <c r="E165" s="16" t="s">
        <v>31</v>
      </c>
      <c r="F165" s="16">
        <v>9938</v>
      </c>
      <c r="G165" s="16" t="s">
        <v>1747</v>
      </c>
      <c r="H165" s="10">
        <v>0.1</v>
      </c>
      <c r="I165" s="16" t="s">
        <v>26</v>
      </c>
      <c r="J165" s="10">
        <v>3280558</v>
      </c>
      <c r="K165" s="16" t="s">
        <v>27</v>
      </c>
      <c r="L165" s="16">
        <v>154148</v>
      </c>
      <c r="M165" s="16" t="s">
        <v>1751</v>
      </c>
      <c r="O165" s="16">
        <v>1</v>
      </c>
    </row>
    <row r="166" spans="1:17" s="16" customFormat="1" x14ac:dyDescent="0.25">
      <c r="A166" s="16">
        <v>8003879954</v>
      </c>
      <c r="B166" s="16">
        <v>15</v>
      </c>
      <c r="C166" s="16">
        <v>3082018</v>
      </c>
      <c r="D166" s="16">
        <v>345</v>
      </c>
      <c r="E166" s="16" t="s">
        <v>51</v>
      </c>
      <c r="F166" s="16">
        <v>9938</v>
      </c>
      <c r="G166" s="16" t="s">
        <v>1752</v>
      </c>
      <c r="H166" s="10">
        <v>3577.01</v>
      </c>
      <c r="I166" s="16" t="s">
        <v>26</v>
      </c>
      <c r="J166" s="10">
        <v>3280558.1</v>
      </c>
      <c r="K166" s="16" t="s">
        <v>27</v>
      </c>
      <c r="L166" s="16">
        <v>154148</v>
      </c>
      <c r="M166" s="16" t="s">
        <v>1753</v>
      </c>
      <c r="O166" s="16">
        <v>1</v>
      </c>
      <c r="P166" s="16" t="s">
        <v>1754</v>
      </c>
      <c r="Q166" s="16" t="s">
        <v>52</v>
      </c>
    </row>
    <row r="167" spans="1:17" s="16" customFormat="1" x14ac:dyDescent="0.25">
      <c r="A167" s="16">
        <v>8003879954</v>
      </c>
      <c r="B167" s="16">
        <v>14</v>
      </c>
      <c r="C167" s="16">
        <v>3082018</v>
      </c>
      <c r="D167" s="16">
        <v>341</v>
      </c>
      <c r="E167" s="16" t="s">
        <v>25</v>
      </c>
      <c r="F167" s="16">
        <v>9938</v>
      </c>
      <c r="G167" s="16" t="s">
        <v>1755</v>
      </c>
      <c r="H167" s="10">
        <v>157.80000000000001</v>
      </c>
      <c r="I167" s="16" t="s">
        <v>26</v>
      </c>
      <c r="J167" s="10">
        <v>3284135.11</v>
      </c>
      <c r="K167" s="16" t="s">
        <v>27</v>
      </c>
      <c r="L167" s="16">
        <v>153812</v>
      </c>
      <c r="M167" s="16" t="s">
        <v>39</v>
      </c>
      <c r="O167" s="16">
        <v>1</v>
      </c>
      <c r="P167" s="16" t="s">
        <v>1756</v>
      </c>
      <c r="Q167" s="16" t="s">
        <v>1757</v>
      </c>
    </row>
    <row r="168" spans="1:17" s="16" customFormat="1" x14ac:dyDescent="0.25">
      <c r="A168" s="16">
        <v>8003879954</v>
      </c>
      <c r="B168" s="16">
        <v>13</v>
      </c>
      <c r="C168" s="16">
        <v>3082018</v>
      </c>
      <c r="D168" s="16">
        <v>489</v>
      </c>
      <c r="E168" s="16" t="s">
        <v>31</v>
      </c>
      <c r="F168" s="16">
        <v>9938</v>
      </c>
      <c r="G168" s="16" t="s">
        <v>1755</v>
      </c>
      <c r="H168" s="10">
        <v>0.1</v>
      </c>
      <c r="I168" s="16" t="s">
        <v>26</v>
      </c>
      <c r="J168" s="10">
        <v>3284292.91</v>
      </c>
      <c r="K168" s="16" t="s">
        <v>27</v>
      </c>
      <c r="L168" s="16">
        <v>153812</v>
      </c>
      <c r="M168" s="16" t="s">
        <v>1758</v>
      </c>
      <c r="O168" s="16">
        <v>1</v>
      </c>
    </row>
    <row r="169" spans="1:17" s="16" customFormat="1" x14ac:dyDescent="0.25">
      <c r="A169" s="16">
        <v>8003879954</v>
      </c>
      <c r="B169" s="16">
        <v>12</v>
      </c>
      <c r="C169" s="16">
        <v>3082018</v>
      </c>
      <c r="D169" s="16">
        <v>341</v>
      </c>
      <c r="E169" s="16" t="s">
        <v>25</v>
      </c>
      <c r="F169" s="16">
        <v>9938</v>
      </c>
      <c r="G169" s="16" t="s">
        <v>1759</v>
      </c>
      <c r="H169" s="10">
        <v>90</v>
      </c>
      <c r="I169" s="16" t="s">
        <v>26</v>
      </c>
      <c r="J169" s="10">
        <v>3284293.01</v>
      </c>
      <c r="K169" s="16" t="s">
        <v>27</v>
      </c>
      <c r="L169" s="16">
        <v>153809</v>
      </c>
      <c r="M169" s="16" t="s">
        <v>47</v>
      </c>
      <c r="O169" s="16">
        <v>1</v>
      </c>
      <c r="P169" s="16" t="s">
        <v>1760</v>
      </c>
      <c r="Q169" s="16" t="s">
        <v>1761</v>
      </c>
    </row>
    <row r="170" spans="1:17" s="16" customFormat="1" x14ac:dyDescent="0.25">
      <c r="A170" s="16">
        <v>8003879954</v>
      </c>
      <c r="B170" s="16">
        <v>11</v>
      </c>
      <c r="C170" s="16">
        <v>3082018</v>
      </c>
      <c r="D170" s="16">
        <v>489</v>
      </c>
      <c r="E170" s="16" t="s">
        <v>31</v>
      </c>
      <c r="F170" s="16">
        <v>9938</v>
      </c>
      <c r="G170" s="16" t="s">
        <v>1759</v>
      </c>
      <c r="H170" s="10">
        <v>0.1</v>
      </c>
      <c r="I170" s="16" t="s">
        <v>26</v>
      </c>
      <c r="J170" s="10">
        <v>3284383.01</v>
      </c>
      <c r="K170" s="16" t="s">
        <v>27</v>
      </c>
      <c r="L170" s="16">
        <v>153809</v>
      </c>
      <c r="M170" s="16" t="s">
        <v>1762</v>
      </c>
      <c r="O170" s="16">
        <v>1</v>
      </c>
    </row>
    <row r="171" spans="1:17" s="16" customFormat="1" x14ac:dyDescent="0.25">
      <c r="A171" s="16">
        <v>8003879954</v>
      </c>
      <c r="B171" s="16">
        <v>10</v>
      </c>
      <c r="C171" s="16">
        <v>3082018</v>
      </c>
      <c r="D171" s="16">
        <v>60</v>
      </c>
      <c r="E171" s="16" t="s">
        <v>37</v>
      </c>
      <c r="F171" s="16">
        <v>9938</v>
      </c>
      <c r="G171" s="16" t="s">
        <v>1763</v>
      </c>
      <c r="H171" s="10">
        <v>9000</v>
      </c>
      <c r="I171" s="16" t="s">
        <v>26</v>
      </c>
      <c r="J171" s="10">
        <v>3284383.11</v>
      </c>
      <c r="K171" s="16" t="s">
        <v>27</v>
      </c>
      <c r="L171" s="16">
        <v>153810</v>
      </c>
      <c r="M171" s="16" t="s">
        <v>1764</v>
      </c>
      <c r="O171" s="16">
        <v>1</v>
      </c>
      <c r="P171" s="16" t="s">
        <v>1765</v>
      </c>
      <c r="Q171" s="16" t="s">
        <v>1766</v>
      </c>
    </row>
    <row r="172" spans="1:17" s="16" customFormat="1" x14ac:dyDescent="0.25">
      <c r="A172" s="16">
        <v>8003879954</v>
      </c>
      <c r="B172" s="16">
        <v>9</v>
      </c>
      <c r="C172" s="16">
        <v>3082018</v>
      </c>
      <c r="D172" s="16">
        <v>60</v>
      </c>
      <c r="E172" s="16" t="s">
        <v>37</v>
      </c>
      <c r="F172" s="16">
        <v>9938</v>
      </c>
      <c r="G172" s="16" t="s">
        <v>1767</v>
      </c>
      <c r="H172" s="10">
        <v>390</v>
      </c>
      <c r="I172" s="16" t="s">
        <v>26</v>
      </c>
      <c r="J172" s="10">
        <v>3293383.11</v>
      </c>
      <c r="K172" s="16" t="s">
        <v>27</v>
      </c>
      <c r="L172" s="16">
        <v>153809</v>
      </c>
      <c r="M172" s="16" t="s">
        <v>1768</v>
      </c>
      <c r="O172" s="16">
        <v>1</v>
      </c>
      <c r="P172" s="16" t="s">
        <v>1769</v>
      </c>
      <c r="Q172" s="16" t="s">
        <v>1770</v>
      </c>
    </row>
    <row r="173" spans="1:17" s="16" customFormat="1" x14ac:dyDescent="0.25">
      <c r="A173" s="16">
        <v>8003879954</v>
      </c>
      <c r="B173" s="16">
        <v>8</v>
      </c>
      <c r="C173" s="16">
        <v>3082018</v>
      </c>
      <c r="D173" s="16">
        <v>341</v>
      </c>
      <c r="E173" s="16" t="s">
        <v>25</v>
      </c>
      <c r="F173" s="16">
        <v>9938</v>
      </c>
      <c r="G173" s="16" t="s">
        <v>1771</v>
      </c>
      <c r="H173" s="10">
        <v>2500</v>
      </c>
      <c r="I173" s="16" t="s">
        <v>26</v>
      </c>
      <c r="J173" s="10">
        <v>3293773.11</v>
      </c>
      <c r="K173" s="16" t="s">
        <v>27</v>
      </c>
      <c r="L173" s="16">
        <v>153809</v>
      </c>
      <c r="M173" s="16" t="s">
        <v>658</v>
      </c>
      <c r="O173" s="16">
        <v>1</v>
      </c>
      <c r="P173" s="16" t="s">
        <v>1772</v>
      </c>
      <c r="Q173" s="16" t="s">
        <v>1773</v>
      </c>
    </row>
    <row r="174" spans="1:17" s="16" customFormat="1" x14ac:dyDescent="0.25">
      <c r="A174" s="16">
        <v>8003879954</v>
      </c>
      <c r="B174" s="16">
        <v>7</v>
      </c>
      <c r="C174" s="16">
        <v>3082018</v>
      </c>
      <c r="D174" s="16">
        <v>489</v>
      </c>
      <c r="E174" s="16" t="s">
        <v>31</v>
      </c>
      <c r="F174" s="16">
        <v>9938</v>
      </c>
      <c r="G174" s="16" t="s">
        <v>1771</v>
      </c>
      <c r="H174" s="10">
        <v>0.1</v>
      </c>
      <c r="I174" s="16" t="s">
        <v>26</v>
      </c>
      <c r="J174" s="10">
        <v>3296273.11</v>
      </c>
      <c r="K174" s="16" t="s">
        <v>27</v>
      </c>
      <c r="L174" s="16">
        <v>153809</v>
      </c>
      <c r="M174" s="16" t="s">
        <v>1774</v>
      </c>
      <c r="O174" s="16">
        <v>1</v>
      </c>
    </row>
    <row r="175" spans="1:17" s="16" customFormat="1" x14ac:dyDescent="0.25">
      <c r="A175" s="16">
        <v>8003879954</v>
      </c>
      <c r="B175" s="16">
        <v>6</v>
      </c>
      <c r="C175" s="16">
        <v>3082018</v>
      </c>
      <c r="D175" s="16">
        <v>341</v>
      </c>
      <c r="E175" s="16" t="s">
        <v>25</v>
      </c>
      <c r="F175" s="16">
        <v>9938</v>
      </c>
      <c r="G175" s="16" t="s">
        <v>1775</v>
      </c>
      <c r="H175" s="10">
        <v>56</v>
      </c>
      <c r="I175" s="16" t="s">
        <v>26</v>
      </c>
      <c r="J175" s="10">
        <v>3296273.21</v>
      </c>
      <c r="K175" s="16" t="s">
        <v>27</v>
      </c>
      <c r="L175" s="16">
        <v>153809</v>
      </c>
      <c r="M175" s="16" t="s">
        <v>207</v>
      </c>
      <c r="O175" s="16">
        <v>1</v>
      </c>
      <c r="P175" s="16" t="s">
        <v>1776</v>
      </c>
      <c r="Q175" s="16" t="s">
        <v>1777</v>
      </c>
    </row>
    <row r="176" spans="1:17" s="16" customFormat="1" x14ac:dyDescent="0.25">
      <c r="A176" s="16">
        <v>8003879954</v>
      </c>
      <c r="B176" s="16">
        <v>5</v>
      </c>
      <c r="C176" s="16">
        <v>3082018</v>
      </c>
      <c r="D176" s="16">
        <v>489</v>
      </c>
      <c r="E176" s="16" t="s">
        <v>31</v>
      </c>
      <c r="F176" s="16">
        <v>9938</v>
      </c>
      <c r="G176" s="16" t="s">
        <v>1775</v>
      </c>
      <c r="H176" s="10">
        <v>0.1</v>
      </c>
      <c r="I176" s="16" t="s">
        <v>26</v>
      </c>
      <c r="J176" s="10">
        <v>3296329.21</v>
      </c>
      <c r="K176" s="16" t="s">
        <v>27</v>
      </c>
      <c r="L176" s="16">
        <v>153809</v>
      </c>
      <c r="M176" s="16" t="s">
        <v>1778</v>
      </c>
      <c r="O176" s="16">
        <v>1</v>
      </c>
    </row>
    <row r="177" spans="1:17" s="16" customFormat="1" x14ac:dyDescent="0.25">
      <c r="A177" s="16">
        <v>8003879954</v>
      </c>
      <c r="B177" s="16">
        <v>4</v>
      </c>
      <c r="C177" s="16">
        <v>3082018</v>
      </c>
      <c r="D177" s="16">
        <v>60</v>
      </c>
      <c r="E177" s="16" t="s">
        <v>37</v>
      </c>
      <c r="F177" s="16">
        <v>9938</v>
      </c>
      <c r="G177" s="16" t="s">
        <v>1779</v>
      </c>
      <c r="H177" s="10">
        <v>8000</v>
      </c>
      <c r="I177" s="16" t="s">
        <v>26</v>
      </c>
      <c r="J177" s="10">
        <v>3296329.31</v>
      </c>
      <c r="K177" s="16" t="s">
        <v>27</v>
      </c>
      <c r="L177" s="16">
        <v>153809</v>
      </c>
      <c r="M177" s="16" t="s">
        <v>1780</v>
      </c>
      <c r="O177" s="16">
        <v>1</v>
      </c>
      <c r="P177" s="16" t="s">
        <v>1781</v>
      </c>
      <c r="Q177" s="16" t="s">
        <v>1782</v>
      </c>
    </row>
    <row r="178" spans="1:17" s="16" customFormat="1" x14ac:dyDescent="0.25">
      <c r="A178" s="16">
        <v>8003879954</v>
      </c>
      <c r="B178" s="16">
        <v>3</v>
      </c>
      <c r="C178" s="16">
        <v>3082018</v>
      </c>
      <c r="D178" s="16">
        <v>341</v>
      </c>
      <c r="E178" s="16" t="s">
        <v>25</v>
      </c>
      <c r="F178" s="16">
        <v>9938</v>
      </c>
      <c r="G178" s="16" t="s">
        <v>1783</v>
      </c>
      <c r="H178" s="10">
        <v>5700</v>
      </c>
      <c r="I178" s="16" t="s">
        <v>26</v>
      </c>
      <c r="J178" s="10">
        <v>3304329.31</v>
      </c>
      <c r="K178" s="16" t="s">
        <v>27</v>
      </c>
      <c r="L178" s="16">
        <v>153808</v>
      </c>
      <c r="M178" s="16" t="s">
        <v>273</v>
      </c>
      <c r="O178" s="16">
        <v>1</v>
      </c>
      <c r="P178" s="16" t="s">
        <v>1784</v>
      </c>
      <c r="Q178" s="16" t="s">
        <v>1785</v>
      </c>
    </row>
    <row r="179" spans="1:17" s="16" customFormat="1" x14ac:dyDescent="0.25">
      <c r="A179" s="16">
        <v>8003879954</v>
      </c>
      <c r="B179" s="16">
        <v>2</v>
      </c>
      <c r="C179" s="16">
        <v>3082018</v>
      </c>
      <c r="D179" s="16">
        <v>489</v>
      </c>
      <c r="E179" s="16" t="s">
        <v>31</v>
      </c>
      <c r="F179" s="16">
        <v>9938</v>
      </c>
      <c r="G179" s="16" t="s">
        <v>1783</v>
      </c>
      <c r="H179" s="10">
        <v>0.1</v>
      </c>
      <c r="I179" s="16" t="s">
        <v>26</v>
      </c>
      <c r="J179" s="10">
        <v>3310029.31</v>
      </c>
      <c r="K179" s="16" t="s">
        <v>27</v>
      </c>
      <c r="L179" s="16">
        <v>153808</v>
      </c>
      <c r="M179" s="16" t="s">
        <v>1786</v>
      </c>
      <c r="O179" s="16">
        <v>1</v>
      </c>
    </row>
    <row r="180" spans="1:17" s="16" customFormat="1" x14ac:dyDescent="0.25">
      <c r="A180" s="16">
        <v>8003879954</v>
      </c>
      <c r="B180" s="16">
        <v>1</v>
      </c>
      <c r="C180" s="16">
        <v>3082018</v>
      </c>
      <c r="D180" s="16">
        <v>60</v>
      </c>
      <c r="E180" s="16" t="s">
        <v>37</v>
      </c>
      <c r="F180" s="16">
        <v>9938</v>
      </c>
      <c r="G180" s="16" t="s">
        <v>1787</v>
      </c>
      <c r="H180" s="10">
        <v>3400</v>
      </c>
      <c r="I180" s="16" t="s">
        <v>26</v>
      </c>
      <c r="J180" s="10">
        <v>3310029.41</v>
      </c>
      <c r="K180" s="16" t="s">
        <v>27</v>
      </c>
      <c r="L180" s="16">
        <v>153807</v>
      </c>
      <c r="M180" s="16" t="s">
        <v>1788</v>
      </c>
      <c r="O180" s="16">
        <v>1</v>
      </c>
      <c r="P180" s="16" t="s">
        <v>1789</v>
      </c>
      <c r="Q180" s="16" t="s">
        <v>1790</v>
      </c>
    </row>
    <row r="181" spans="1:17" s="16" customFormat="1" x14ac:dyDescent="0.25">
      <c r="A181" s="16">
        <v>8003879954</v>
      </c>
      <c r="B181" s="16">
        <v>3</v>
      </c>
      <c r="C181" s="16">
        <v>2082018</v>
      </c>
      <c r="D181" s="16">
        <v>60</v>
      </c>
      <c r="E181" s="16" t="s">
        <v>37</v>
      </c>
      <c r="F181" s="16">
        <v>9938</v>
      </c>
      <c r="G181" s="16" t="s">
        <v>1791</v>
      </c>
      <c r="H181" s="10">
        <v>155</v>
      </c>
      <c r="I181" s="16" t="s">
        <v>26</v>
      </c>
      <c r="J181" s="10">
        <v>3313429.41</v>
      </c>
      <c r="K181" s="16" t="s">
        <v>27</v>
      </c>
      <c r="L181" s="16">
        <v>130313</v>
      </c>
      <c r="M181" s="16" t="s">
        <v>1792</v>
      </c>
      <c r="O181" s="16">
        <v>1</v>
      </c>
      <c r="P181" s="16" t="s">
        <v>1772</v>
      </c>
      <c r="Q181" s="16" t="s">
        <v>835</v>
      </c>
    </row>
    <row r="182" spans="1:17" s="16" customFormat="1" x14ac:dyDescent="0.25">
      <c r="A182" s="16">
        <v>8003879954</v>
      </c>
      <c r="B182" s="16">
        <v>2</v>
      </c>
      <c r="C182" s="16">
        <v>2082018</v>
      </c>
      <c r="D182" s="16">
        <v>341</v>
      </c>
      <c r="E182" s="16" t="s">
        <v>25</v>
      </c>
      <c r="F182" s="16">
        <v>9938</v>
      </c>
      <c r="G182" s="16" t="s">
        <v>1793</v>
      </c>
      <c r="H182" s="10">
        <v>10064</v>
      </c>
      <c r="I182" s="16" t="s">
        <v>26</v>
      </c>
      <c r="J182" s="10">
        <v>3313584.41</v>
      </c>
      <c r="K182" s="16" t="s">
        <v>27</v>
      </c>
      <c r="L182" s="16">
        <v>130312</v>
      </c>
      <c r="M182" s="16" t="s">
        <v>1451</v>
      </c>
      <c r="O182" s="16">
        <v>1</v>
      </c>
      <c r="P182" s="16" t="s">
        <v>1794</v>
      </c>
      <c r="Q182" s="16" t="s">
        <v>1795</v>
      </c>
    </row>
    <row r="183" spans="1:17" s="16" customFormat="1" x14ac:dyDescent="0.25">
      <c r="A183" s="16">
        <v>8003879954</v>
      </c>
      <c r="B183" s="16">
        <v>1</v>
      </c>
      <c r="C183" s="16">
        <v>2082018</v>
      </c>
      <c r="D183" s="16">
        <v>489</v>
      </c>
      <c r="E183" s="16" t="s">
        <v>31</v>
      </c>
      <c r="F183" s="16">
        <v>9938</v>
      </c>
      <c r="G183" s="16" t="s">
        <v>1793</v>
      </c>
      <c r="H183" s="10">
        <v>0.1</v>
      </c>
      <c r="I183" s="16" t="s">
        <v>26</v>
      </c>
      <c r="J183" s="10">
        <v>3323648.41</v>
      </c>
      <c r="K183" s="16" t="s">
        <v>27</v>
      </c>
      <c r="L183" s="16">
        <v>130312</v>
      </c>
      <c r="M183" s="16" t="s">
        <v>1796</v>
      </c>
      <c r="O183" s="16">
        <v>1</v>
      </c>
    </row>
    <row r="184" spans="1:17" s="16" customFormat="1" x14ac:dyDescent="0.25">
      <c r="A184" s="16">
        <v>8003879954</v>
      </c>
      <c r="B184" s="16">
        <v>5</v>
      </c>
      <c r="C184" s="16">
        <v>1082018</v>
      </c>
      <c r="D184" s="16">
        <v>343</v>
      </c>
      <c r="E184" s="16" t="s">
        <v>115</v>
      </c>
      <c r="F184" s="16">
        <v>9938</v>
      </c>
      <c r="G184" s="16" t="s">
        <v>1797</v>
      </c>
      <c r="H184" s="10">
        <v>1558.9</v>
      </c>
      <c r="I184" s="16" t="s">
        <v>26</v>
      </c>
      <c r="J184" s="10">
        <v>3323648.51</v>
      </c>
      <c r="K184" s="16" t="s">
        <v>27</v>
      </c>
      <c r="L184" s="16">
        <v>153725</v>
      </c>
      <c r="M184" s="16" t="s">
        <v>1798</v>
      </c>
      <c r="O184" s="16">
        <v>1</v>
      </c>
    </row>
    <row r="185" spans="1:17" s="16" customFormat="1" x14ac:dyDescent="0.25">
      <c r="A185" s="16">
        <v>8003879954</v>
      </c>
      <c r="B185" s="16">
        <v>4</v>
      </c>
      <c r="C185" s="16">
        <v>1082018</v>
      </c>
      <c r="D185" s="16">
        <v>343</v>
      </c>
      <c r="E185" s="16" t="s">
        <v>115</v>
      </c>
      <c r="F185" s="16">
        <v>9938</v>
      </c>
      <c r="G185" s="16" t="s">
        <v>1799</v>
      </c>
      <c r="H185" s="10">
        <v>22257</v>
      </c>
      <c r="I185" s="16" t="s">
        <v>26</v>
      </c>
      <c r="J185" s="10">
        <v>3325207.41</v>
      </c>
      <c r="K185" s="16" t="s">
        <v>27</v>
      </c>
      <c r="L185" s="16">
        <v>153725</v>
      </c>
      <c r="M185" s="16" t="s">
        <v>1325</v>
      </c>
      <c r="O185" s="16">
        <v>1</v>
      </c>
    </row>
    <row r="186" spans="1:17" s="16" customFormat="1" x14ac:dyDescent="0.25">
      <c r="A186" s="16">
        <v>8003879954</v>
      </c>
      <c r="B186" s="16">
        <v>3</v>
      </c>
      <c r="C186" s="16">
        <v>1082018</v>
      </c>
      <c r="D186" s="16">
        <v>341</v>
      </c>
      <c r="E186" s="16" t="s">
        <v>25</v>
      </c>
      <c r="F186" s="16">
        <v>9938</v>
      </c>
      <c r="G186" s="16" t="s">
        <v>1800</v>
      </c>
      <c r="H186" s="10">
        <v>362.09</v>
      </c>
      <c r="I186" s="16" t="s">
        <v>26</v>
      </c>
      <c r="J186" s="10">
        <v>3347464.41</v>
      </c>
      <c r="K186" s="16" t="s">
        <v>27</v>
      </c>
      <c r="L186" s="16">
        <v>153724</v>
      </c>
      <c r="M186" s="16" t="s">
        <v>28</v>
      </c>
      <c r="O186" s="16">
        <v>1</v>
      </c>
      <c r="P186" s="16" t="s">
        <v>1801</v>
      </c>
      <c r="Q186" s="16" t="s">
        <v>29</v>
      </c>
    </row>
    <row r="187" spans="1:17" s="16" customFormat="1" x14ac:dyDescent="0.25">
      <c r="A187" s="16">
        <v>8003879954</v>
      </c>
      <c r="B187" s="16">
        <v>2</v>
      </c>
      <c r="C187" s="16">
        <v>1082018</v>
      </c>
      <c r="D187" s="16">
        <v>489</v>
      </c>
      <c r="E187" s="16" t="s">
        <v>31</v>
      </c>
      <c r="F187" s="16">
        <v>9938</v>
      </c>
      <c r="G187" s="16" t="s">
        <v>1800</v>
      </c>
      <c r="H187" s="10">
        <v>0.1</v>
      </c>
      <c r="I187" s="16" t="s">
        <v>26</v>
      </c>
      <c r="J187" s="10">
        <v>3347826.5</v>
      </c>
      <c r="K187" s="16" t="s">
        <v>27</v>
      </c>
      <c r="L187" s="16">
        <v>153724</v>
      </c>
      <c r="M187" s="16" t="s">
        <v>1802</v>
      </c>
      <c r="O187" s="16">
        <v>1</v>
      </c>
    </row>
    <row r="188" spans="1:17" s="16" customFormat="1" x14ac:dyDescent="0.25">
      <c r="A188" s="16">
        <v>8003879954</v>
      </c>
      <c r="B188" s="16">
        <v>1</v>
      </c>
      <c r="C188" s="16">
        <v>1082018</v>
      </c>
      <c r="D188" s="16">
        <v>343</v>
      </c>
      <c r="E188" s="16" t="s">
        <v>115</v>
      </c>
      <c r="F188" s="16">
        <v>9938</v>
      </c>
      <c r="G188" s="16" t="s">
        <v>1803</v>
      </c>
      <c r="H188" s="10">
        <v>4593.8999999999996</v>
      </c>
      <c r="I188" s="16" t="s">
        <v>26</v>
      </c>
      <c r="J188" s="10">
        <v>3347826.6</v>
      </c>
      <c r="K188" s="16" t="s">
        <v>27</v>
      </c>
      <c r="L188" s="16">
        <v>153724</v>
      </c>
      <c r="M188" s="16" t="s">
        <v>1331</v>
      </c>
      <c r="O188" s="16">
        <v>1</v>
      </c>
    </row>
    <row r="190" spans="1:17" x14ac:dyDescent="0.25">
      <c r="H190" s="2">
        <f>SUBTOTAL(9,H10:H188)</f>
        <v>2981330.200000003</v>
      </c>
    </row>
  </sheetData>
  <autoFilter ref="A8:M188" xr:uid="{1BF77A78-E8F8-4566-B379-8C6E5C66EE2C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7412-E171-4430-8D82-CD5D1C571B1E}">
  <sheetPr filterMode="1"/>
  <dimension ref="A1:R108"/>
  <sheetViews>
    <sheetView topLeftCell="A76" workbookViewId="0">
      <selection activeCell="H108" sqref="H108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2" bestFit="1" customWidth="1"/>
    <col min="9" max="9" width="14.140625" customWidth="1"/>
    <col min="10" max="10" width="13.28515625" style="2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1806</v>
      </c>
    </row>
    <row r="5" spans="1:18" x14ac:dyDescent="0.25">
      <c r="A5" t="s">
        <v>1807</v>
      </c>
    </row>
    <row r="6" spans="1:18" x14ac:dyDescent="0.25">
      <c r="A6" t="s">
        <v>1808</v>
      </c>
    </row>
    <row r="8" spans="1:18" s="15" customFormat="1" ht="49.5" customHeight="1" x14ac:dyDescent="0.25">
      <c r="A8" s="15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4" t="s">
        <v>14</v>
      </c>
      <c r="I8" s="15" t="s">
        <v>15</v>
      </c>
      <c r="J8" s="4" t="s">
        <v>16</v>
      </c>
      <c r="K8" s="15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</row>
    <row r="9" spans="1:18" hidden="1" x14ac:dyDescent="0.25"/>
    <row r="10" spans="1:18" s="16" customFormat="1" hidden="1" x14ac:dyDescent="0.25">
      <c r="A10" s="16">
        <v>8003879954</v>
      </c>
      <c r="B10" s="16">
        <v>5</v>
      </c>
      <c r="C10" s="16">
        <v>30092018</v>
      </c>
      <c r="D10" s="16">
        <v>343</v>
      </c>
      <c r="E10" s="16" t="s">
        <v>115</v>
      </c>
      <c r="F10" s="16">
        <v>9938</v>
      </c>
      <c r="G10" s="16">
        <v>2018093064912660</v>
      </c>
      <c r="H10" s="10">
        <v>20157</v>
      </c>
      <c r="I10" s="16" t="s">
        <v>26</v>
      </c>
      <c r="J10" s="10">
        <v>1650746.18</v>
      </c>
      <c r="K10" s="16" t="s">
        <v>27</v>
      </c>
      <c r="L10" s="16">
        <v>80043</v>
      </c>
      <c r="M10" s="16" t="s">
        <v>1325</v>
      </c>
      <c r="O10" s="16">
        <v>1</v>
      </c>
    </row>
    <row r="11" spans="1:18" s="16" customFormat="1" hidden="1" x14ac:dyDescent="0.25">
      <c r="A11" s="16">
        <v>8003879954</v>
      </c>
      <c r="B11" s="16">
        <v>4</v>
      </c>
      <c r="C11" s="16">
        <v>30092018</v>
      </c>
      <c r="D11" s="16">
        <v>343</v>
      </c>
      <c r="E11" s="16" t="s">
        <v>115</v>
      </c>
      <c r="F11" s="16">
        <v>9938</v>
      </c>
      <c r="G11" s="16">
        <v>2018093064912610</v>
      </c>
      <c r="H11" s="10">
        <v>4499</v>
      </c>
      <c r="I11" s="16" t="s">
        <v>26</v>
      </c>
      <c r="J11" s="10">
        <v>1670903.18</v>
      </c>
      <c r="K11" s="16" t="s">
        <v>27</v>
      </c>
      <c r="L11" s="16">
        <v>80039</v>
      </c>
      <c r="M11" s="16" t="s">
        <v>1331</v>
      </c>
      <c r="O11" s="16">
        <v>1</v>
      </c>
    </row>
    <row r="12" spans="1:18" s="16" customFormat="1" hidden="1" x14ac:dyDescent="0.25">
      <c r="A12" s="16">
        <v>8003879954</v>
      </c>
      <c r="B12" s="16">
        <v>3</v>
      </c>
      <c r="C12" s="16">
        <v>30092018</v>
      </c>
      <c r="D12" s="16">
        <v>343</v>
      </c>
      <c r="E12" s="16" t="s">
        <v>115</v>
      </c>
      <c r="F12" s="16">
        <v>9938</v>
      </c>
      <c r="G12" s="16">
        <v>93064912546</v>
      </c>
      <c r="H12" s="10">
        <v>1383.6</v>
      </c>
      <c r="I12" s="16" t="s">
        <v>26</v>
      </c>
      <c r="J12" s="10">
        <v>1675402.18</v>
      </c>
      <c r="K12" s="16" t="s">
        <v>27</v>
      </c>
      <c r="L12" s="16">
        <v>80033</v>
      </c>
      <c r="M12" s="16" t="s">
        <v>1809</v>
      </c>
      <c r="O12" s="16">
        <v>1</v>
      </c>
    </row>
    <row r="13" spans="1:18" s="16" customFormat="1" hidden="1" x14ac:dyDescent="0.25">
      <c r="A13" s="16">
        <v>8003879954</v>
      </c>
      <c r="B13" s="16">
        <v>2</v>
      </c>
      <c r="C13" s="16">
        <v>30092018</v>
      </c>
      <c r="D13" s="16">
        <v>489</v>
      </c>
      <c r="E13" s="16" t="s">
        <v>56</v>
      </c>
      <c r="F13" s="16">
        <v>3471</v>
      </c>
      <c r="G13" s="16">
        <v>41640972</v>
      </c>
      <c r="H13" s="10">
        <v>2.1</v>
      </c>
      <c r="I13" s="16" t="s">
        <v>26</v>
      </c>
      <c r="J13" s="10">
        <v>1676785.78</v>
      </c>
      <c r="K13" s="16" t="s">
        <v>27</v>
      </c>
      <c r="L13" s="16">
        <v>54742</v>
      </c>
      <c r="O13" s="16">
        <v>1</v>
      </c>
    </row>
    <row r="14" spans="1:18" s="16" customFormat="1" hidden="1" x14ac:dyDescent="0.25">
      <c r="A14" s="16">
        <v>8003879954</v>
      </c>
      <c r="B14" s="16">
        <v>1</v>
      </c>
      <c r="C14" s="16">
        <v>30092018</v>
      </c>
      <c r="D14" s="16">
        <v>669</v>
      </c>
      <c r="E14" s="16" t="s">
        <v>33</v>
      </c>
      <c r="F14" s="16">
        <v>1809</v>
      </c>
      <c r="G14" s="16">
        <v>260035573773</v>
      </c>
      <c r="H14" s="10">
        <v>75524.240000000005</v>
      </c>
      <c r="I14" s="16" t="s">
        <v>26</v>
      </c>
      <c r="J14" s="10">
        <v>1676787.88</v>
      </c>
      <c r="K14" s="16" t="s">
        <v>27</v>
      </c>
      <c r="L14" s="16">
        <v>52530</v>
      </c>
      <c r="M14" s="16" t="s">
        <v>1810</v>
      </c>
      <c r="O14" s="16">
        <v>1</v>
      </c>
      <c r="P14" s="16">
        <v>1809260035573770</v>
      </c>
      <c r="R14" s="16" t="s">
        <v>34</v>
      </c>
    </row>
    <row r="15" spans="1:18" s="16" customFormat="1" hidden="1" x14ac:dyDescent="0.25">
      <c r="A15" s="16">
        <v>8003879954</v>
      </c>
      <c r="B15" s="16">
        <v>3</v>
      </c>
      <c r="C15" s="16">
        <v>27092018</v>
      </c>
      <c r="D15" s="16">
        <v>102</v>
      </c>
      <c r="E15" s="16" t="s">
        <v>186</v>
      </c>
      <c r="F15" s="16">
        <v>9815</v>
      </c>
      <c r="G15" s="16" t="s">
        <v>1811</v>
      </c>
      <c r="H15" s="10">
        <v>1200</v>
      </c>
      <c r="I15" s="16" t="s">
        <v>27</v>
      </c>
      <c r="J15" s="10">
        <v>1752312.12</v>
      </c>
      <c r="K15" s="16" t="s">
        <v>27</v>
      </c>
      <c r="L15" s="16">
        <v>161846</v>
      </c>
      <c r="O15" s="16">
        <v>1</v>
      </c>
    </row>
    <row r="16" spans="1:18" s="16" customFormat="1" hidden="1" x14ac:dyDescent="0.25">
      <c r="A16" s="16">
        <v>8003879954</v>
      </c>
      <c r="B16" s="16">
        <v>2</v>
      </c>
      <c r="C16" s="16">
        <v>27092018</v>
      </c>
      <c r="D16" s="16">
        <v>214</v>
      </c>
      <c r="E16" s="16" t="s">
        <v>1208</v>
      </c>
      <c r="F16" s="16">
        <v>6882</v>
      </c>
      <c r="G16" s="16">
        <v>77</v>
      </c>
      <c r="H16" s="10">
        <v>14000</v>
      </c>
      <c r="I16" s="16" t="s">
        <v>27</v>
      </c>
      <c r="J16" s="10">
        <v>1751112.12</v>
      </c>
      <c r="K16" s="16" t="s">
        <v>27</v>
      </c>
      <c r="L16" s="16">
        <v>94511</v>
      </c>
      <c r="O16" s="16">
        <v>1</v>
      </c>
    </row>
    <row r="17" spans="1:17" s="16" customFormat="1" hidden="1" x14ac:dyDescent="0.25">
      <c r="A17" s="16">
        <v>8003879954</v>
      </c>
      <c r="B17" s="16">
        <v>1</v>
      </c>
      <c r="C17" s="16">
        <v>27092018</v>
      </c>
      <c r="D17" s="16">
        <v>214</v>
      </c>
      <c r="E17" s="16" t="s">
        <v>1208</v>
      </c>
      <c r="F17" s="16">
        <v>6882</v>
      </c>
      <c r="G17" s="16">
        <v>74</v>
      </c>
      <c r="H17" s="10">
        <v>39000</v>
      </c>
      <c r="I17" s="16" t="s">
        <v>27</v>
      </c>
      <c r="J17" s="10">
        <v>1737112.12</v>
      </c>
      <c r="K17" s="16" t="s">
        <v>27</v>
      </c>
      <c r="L17" s="16">
        <v>94411</v>
      </c>
      <c r="O17" s="16">
        <v>1</v>
      </c>
    </row>
    <row r="18" spans="1:17" s="16" customFormat="1" x14ac:dyDescent="0.25">
      <c r="A18" s="16">
        <v>8003879954</v>
      </c>
      <c r="B18" s="16">
        <v>5</v>
      </c>
      <c r="C18" s="16">
        <v>26092018</v>
      </c>
      <c r="D18" s="16">
        <v>819</v>
      </c>
      <c r="E18" s="16" t="s">
        <v>35</v>
      </c>
      <c r="H18" s="10">
        <v>1</v>
      </c>
      <c r="I18" s="16" t="s">
        <v>26</v>
      </c>
      <c r="J18" s="10">
        <v>1698112.12</v>
      </c>
      <c r="K18" s="16" t="s">
        <v>27</v>
      </c>
      <c r="L18" s="16">
        <v>10144</v>
      </c>
      <c r="O18" s="16">
        <v>1</v>
      </c>
    </row>
    <row r="19" spans="1:17" s="16" customFormat="1" hidden="1" x14ac:dyDescent="0.25">
      <c r="A19" s="16">
        <v>8003879954</v>
      </c>
      <c r="B19" s="16">
        <v>4</v>
      </c>
      <c r="C19" s="16">
        <v>26092018</v>
      </c>
      <c r="D19" s="16">
        <v>323</v>
      </c>
      <c r="E19" s="16" t="s">
        <v>50</v>
      </c>
      <c r="F19" s="16">
        <v>0</v>
      </c>
      <c r="G19" s="16">
        <v>688277</v>
      </c>
      <c r="H19" s="10">
        <v>14000</v>
      </c>
      <c r="I19" s="16" t="s">
        <v>26</v>
      </c>
      <c r="J19" s="10">
        <v>1698113.12</v>
      </c>
      <c r="K19" s="16" t="s">
        <v>27</v>
      </c>
      <c r="L19" s="16">
        <v>5955</v>
      </c>
      <c r="O19" s="16">
        <v>1</v>
      </c>
    </row>
    <row r="20" spans="1:17" s="16" customFormat="1" hidden="1" x14ac:dyDescent="0.25">
      <c r="A20" s="16">
        <v>8003879954</v>
      </c>
      <c r="B20" s="16">
        <v>3</v>
      </c>
      <c r="C20" s="16">
        <v>26092018</v>
      </c>
      <c r="D20" s="16">
        <v>323</v>
      </c>
      <c r="E20" s="16" t="s">
        <v>50</v>
      </c>
      <c r="F20" s="16">
        <v>0</v>
      </c>
      <c r="G20" s="16">
        <v>688274</v>
      </c>
      <c r="H20" s="10">
        <v>39000</v>
      </c>
      <c r="I20" s="16" t="s">
        <v>26</v>
      </c>
      <c r="J20" s="10">
        <v>1712113.12</v>
      </c>
      <c r="K20" s="16" t="s">
        <v>27</v>
      </c>
      <c r="L20" s="16">
        <v>5955</v>
      </c>
      <c r="O20" s="16">
        <v>1</v>
      </c>
    </row>
    <row r="21" spans="1:17" s="16" customFormat="1" hidden="1" x14ac:dyDescent="0.25">
      <c r="A21" s="16">
        <v>8003879954</v>
      </c>
      <c r="B21" s="16">
        <v>2</v>
      </c>
      <c r="C21" s="16">
        <v>26092018</v>
      </c>
      <c r="D21" s="16">
        <v>415</v>
      </c>
      <c r="E21" s="16" t="s">
        <v>48</v>
      </c>
      <c r="F21" s="16">
        <v>72</v>
      </c>
      <c r="G21" s="16">
        <v>283751478</v>
      </c>
      <c r="H21" s="10">
        <v>30</v>
      </c>
      <c r="I21" s="16" t="s">
        <v>26</v>
      </c>
      <c r="J21" s="10">
        <v>1751113.12</v>
      </c>
      <c r="K21" s="16" t="s">
        <v>27</v>
      </c>
      <c r="L21" s="16">
        <v>174219</v>
      </c>
      <c r="M21" s="16" t="s">
        <v>1812</v>
      </c>
      <c r="O21" s="16">
        <v>1</v>
      </c>
    </row>
    <row r="22" spans="1:17" s="16" customFormat="1" hidden="1" x14ac:dyDescent="0.25">
      <c r="A22" s="16">
        <v>8003879954</v>
      </c>
      <c r="B22" s="16">
        <v>1</v>
      </c>
      <c r="C22" s="16">
        <v>26092018</v>
      </c>
      <c r="D22" s="16">
        <v>349</v>
      </c>
      <c r="E22" s="16" t="s">
        <v>49</v>
      </c>
      <c r="F22" s="16">
        <v>72</v>
      </c>
      <c r="G22" s="16">
        <v>283751478</v>
      </c>
      <c r="H22" s="10">
        <v>270135.21000000002</v>
      </c>
      <c r="I22" s="16" t="s">
        <v>26</v>
      </c>
      <c r="J22" s="10">
        <v>1751143.12</v>
      </c>
      <c r="K22" s="16" t="s">
        <v>27</v>
      </c>
      <c r="L22" s="16">
        <v>174219</v>
      </c>
      <c r="M22" s="16" t="s">
        <v>1812</v>
      </c>
      <c r="O22" s="16">
        <v>1</v>
      </c>
    </row>
    <row r="23" spans="1:17" s="16" customFormat="1" hidden="1" x14ac:dyDescent="0.25">
      <c r="A23" s="16">
        <v>8003879954</v>
      </c>
      <c r="B23" s="16">
        <v>4</v>
      </c>
      <c r="C23" s="16">
        <v>24092018</v>
      </c>
      <c r="D23" s="16">
        <v>415</v>
      </c>
      <c r="E23" s="16" t="s">
        <v>48</v>
      </c>
      <c r="F23" s="16">
        <v>72</v>
      </c>
      <c r="G23" s="16">
        <v>243260594</v>
      </c>
      <c r="H23" s="10">
        <v>30</v>
      </c>
      <c r="I23" s="16" t="s">
        <v>26</v>
      </c>
      <c r="J23" s="10">
        <v>2021278.33</v>
      </c>
      <c r="K23" s="16" t="s">
        <v>27</v>
      </c>
      <c r="L23" s="16">
        <v>151640</v>
      </c>
      <c r="M23" s="16" t="s">
        <v>1813</v>
      </c>
      <c r="O23" s="16">
        <v>1</v>
      </c>
    </row>
    <row r="24" spans="1:17" s="16" customFormat="1" hidden="1" x14ac:dyDescent="0.25">
      <c r="A24" s="16">
        <v>8003879954</v>
      </c>
      <c r="B24" s="16">
        <v>3</v>
      </c>
      <c r="C24" s="16">
        <v>24092018</v>
      </c>
      <c r="D24" s="16">
        <v>349</v>
      </c>
      <c r="E24" s="16" t="s">
        <v>49</v>
      </c>
      <c r="F24" s="16">
        <v>72</v>
      </c>
      <c r="G24" s="16">
        <v>243260594</v>
      </c>
      <c r="H24" s="10">
        <v>23129.55</v>
      </c>
      <c r="I24" s="16" t="s">
        <v>26</v>
      </c>
      <c r="J24" s="10">
        <v>2021308.33</v>
      </c>
      <c r="K24" s="16" t="s">
        <v>27</v>
      </c>
      <c r="L24" s="16">
        <v>151640</v>
      </c>
      <c r="M24" s="16" t="s">
        <v>1813</v>
      </c>
      <c r="O24" s="16">
        <v>1</v>
      </c>
    </row>
    <row r="25" spans="1:17" s="16" customFormat="1" hidden="1" x14ac:dyDescent="0.25">
      <c r="A25" s="16">
        <v>8003879954</v>
      </c>
      <c r="B25" s="16">
        <v>2</v>
      </c>
      <c r="C25" s="16">
        <v>24092018</v>
      </c>
      <c r="D25" s="16">
        <v>415</v>
      </c>
      <c r="E25" s="16" t="s">
        <v>48</v>
      </c>
      <c r="F25" s="16">
        <v>72</v>
      </c>
      <c r="G25" s="16">
        <v>243260595</v>
      </c>
      <c r="H25" s="10">
        <v>30</v>
      </c>
      <c r="I25" s="16" t="s">
        <v>26</v>
      </c>
      <c r="J25" s="10">
        <v>2044437.88</v>
      </c>
      <c r="K25" s="16" t="s">
        <v>27</v>
      </c>
      <c r="L25" s="16">
        <v>151152</v>
      </c>
      <c r="M25" s="16" t="s">
        <v>1814</v>
      </c>
      <c r="O25" s="16">
        <v>1</v>
      </c>
    </row>
    <row r="26" spans="1:17" s="16" customFormat="1" hidden="1" x14ac:dyDescent="0.25">
      <c r="A26" s="16">
        <v>8003879954</v>
      </c>
      <c r="B26" s="16">
        <v>1</v>
      </c>
      <c r="C26" s="16">
        <v>24092018</v>
      </c>
      <c r="D26" s="16">
        <v>349</v>
      </c>
      <c r="E26" s="16" t="s">
        <v>49</v>
      </c>
      <c r="F26" s="16">
        <v>72</v>
      </c>
      <c r="G26" s="16">
        <v>243260595</v>
      </c>
      <c r="H26" s="10">
        <v>42414.46</v>
      </c>
      <c r="I26" s="16" t="s">
        <v>26</v>
      </c>
      <c r="J26" s="10">
        <v>2044467.88</v>
      </c>
      <c r="K26" s="16" t="s">
        <v>27</v>
      </c>
      <c r="L26" s="16">
        <v>151152</v>
      </c>
      <c r="M26" s="16" t="s">
        <v>1814</v>
      </c>
      <c r="O26" s="16">
        <v>1</v>
      </c>
    </row>
    <row r="27" spans="1:17" s="16" customFormat="1" hidden="1" x14ac:dyDescent="0.25">
      <c r="A27" s="16">
        <v>8003879954</v>
      </c>
      <c r="B27" s="16">
        <v>2</v>
      </c>
      <c r="C27" s="16">
        <v>21092018</v>
      </c>
      <c r="D27" s="16">
        <v>343</v>
      </c>
      <c r="E27" s="16" t="s">
        <v>115</v>
      </c>
      <c r="F27" s="16">
        <v>9938</v>
      </c>
      <c r="G27" s="16">
        <v>2018092149277150</v>
      </c>
      <c r="H27" s="10">
        <v>566.20000000000005</v>
      </c>
      <c r="I27" s="16" t="s">
        <v>26</v>
      </c>
      <c r="J27" s="10">
        <v>2086882.34</v>
      </c>
      <c r="K27" s="16" t="s">
        <v>27</v>
      </c>
      <c r="L27" s="16">
        <v>171933</v>
      </c>
      <c r="M27" s="16" t="s">
        <v>117</v>
      </c>
      <c r="O27" s="16">
        <v>1</v>
      </c>
    </row>
    <row r="28" spans="1:17" s="16" customFormat="1" hidden="1" x14ac:dyDescent="0.25">
      <c r="A28" s="16">
        <v>8003879954</v>
      </c>
      <c r="B28" s="16">
        <v>1</v>
      </c>
      <c r="C28" s="16">
        <v>21092018</v>
      </c>
      <c r="D28" s="16">
        <v>393</v>
      </c>
      <c r="E28" s="16" t="s">
        <v>1815</v>
      </c>
      <c r="F28" s="16">
        <v>2007</v>
      </c>
      <c r="G28" s="16">
        <v>2893627</v>
      </c>
      <c r="H28" s="10">
        <v>17533</v>
      </c>
      <c r="I28" s="16" t="s">
        <v>26</v>
      </c>
      <c r="J28" s="10">
        <v>2087448.54</v>
      </c>
      <c r="K28" s="16" t="s">
        <v>27</v>
      </c>
      <c r="L28" s="16">
        <v>151449</v>
      </c>
      <c r="M28" s="16" t="s">
        <v>1816</v>
      </c>
      <c r="O28" s="16">
        <v>1</v>
      </c>
    </row>
    <row r="29" spans="1:17" s="16" customFormat="1" hidden="1" x14ac:dyDescent="0.25">
      <c r="A29" s="16">
        <v>8003879954</v>
      </c>
      <c r="B29" s="16">
        <v>1</v>
      </c>
      <c r="C29" s="16">
        <v>20092018</v>
      </c>
      <c r="D29" s="16">
        <v>123</v>
      </c>
      <c r="E29" s="16" t="s">
        <v>64</v>
      </c>
      <c r="F29" s="16">
        <v>2007</v>
      </c>
      <c r="G29" s="16">
        <v>2893627</v>
      </c>
      <c r="H29" s="10">
        <v>17533</v>
      </c>
      <c r="I29" s="16" t="s">
        <v>27</v>
      </c>
      <c r="J29" s="10">
        <v>2104981.54</v>
      </c>
      <c r="K29" s="16" t="s">
        <v>27</v>
      </c>
      <c r="L29" s="16">
        <v>190645</v>
      </c>
      <c r="O29" s="16">
        <v>1</v>
      </c>
    </row>
    <row r="30" spans="1:17" s="16" customFormat="1" x14ac:dyDescent="0.25">
      <c r="A30" s="16">
        <v>8003879954</v>
      </c>
      <c r="B30" s="16">
        <v>29</v>
      </c>
      <c r="C30" s="16">
        <v>19092018</v>
      </c>
      <c r="D30" s="16">
        <v>819</v>
      </c>
      <c r="E30" s="16" t="s">
        <v>35</v>
      </c>
      <c r="H30" s="10">
        <v>0.5</v>
      </c>
      <c r="I30" s="16" t="s">
        <v>26</v>
      </c>
      <c r="J30" s="10">
        <v>2087448.54</v>
      </c>
      <c r="K30" s="16" t="s">
        <v>27</v>
      </c>
      <c r="L30" s="16">
        <v>10119</v>
      </c>
      <c r="O30" s="16">
        <v>1</v>
      </c>
    </row>
    <row r="31" spans="1:17" s="16" customFormat="1" hidden="1" x14ac:dyDescent="0.25">
      <c r="A31" s="16">
        <v>8003879954</v>
      </c>
      <c r="B31" s="16">
        <v>28</v>
      </c>
      <c r="C31" s="16">
        <v>19092018</v>
      </c>
      <c r="D31" s="16">
        <v>323</v>
      </c>
      <c r="E31" s="16" t="s">
        <v>50</v>
      </c>
      <c r="F31" s="16">
        <v>0</v>
      </c>
      <c r="G31" s="16">
        <v>688273</v>
      </c>
      <c r="H31" s="10">
        <v>170</v>
      </c>
      <c r="I31" s="16" t="s">
        <v>26</v>
      </c>
      <c r="J31" s="10">
        <v>2087449.04</v>
      </c>
      <c r="K31" s="16" t="s">
        <v>27</v>
      </c>
      <c r="L31" s="16">
        <v>5951</v>
      </c>
      <c r="O31" s="16">
        <v>1</v>
      </c>
    </row>
    <row r="32" spans="1:17" s="16" customFormat="1" hidden="1" x14ac:dyDescent="0.25">
      <c r="A32" s="16">
        <v>8003879954</v>
      </c>
      <c r="B32" s="16">
        <v>27</v>
      </c>
      <c r="C32" s="16">
        <v>19092018</v>
      </c>
      <c r="D32" s="16">
        <v>341</v>
      </c>
      <c r="E32" s="16" t="s">
        <v>25</v>
      </c>
      <c r="F32" s="16">
        <v>9938</v>
      </c>
      <c r="G32" s="16">
        <v>35215144</v>
      </c>
      <c r="H32" s="10">
        <v>4200</v>
      </c>
      <c r="I32" s="16" t="s">
        <v>26</v>
      </c>
      <c r="J32" s="10">
        <v>2087619.04</v>
      </c>
      <c r="K32" s="16" t="s">
        <v>27</v>
      </c>
      <c r="L32" s="16">
        <v>142321</v>
      </c>
      <c r="M32" s="16" t="s">
        <v>1817</v>
      </c>
      <c r="O32" s="16">
        <v>1</v>
      </c>
      <c r="P32" s="16" t="s">
        <v>1818</v>
      </c>
      <c r="Q32" s="16" t="s">
        <v>1819</v>
      </c>
    </row>
    <row r="33" spans="1:17" s="16" customFormat="1" x14ac:dyDescent="0.25">
      <c r="A33" s="16">
        <v>8003879954</v>
      </c>
      <c r="B33" s="16">
        <v>26</v>
      </c>
      <c r="C33" s="16">
        <v>19092018</v>
      </c>
      <c r="D33" s="16">
        <v>489</v>
      </c>
      <c r="E33" s="16" t="s">
        <v>31</v>
      </c>
      <c r="F33" s="16">
        <v>9938</v>
      </c>
      <c r="G33" s="16">
        <v>35215144</v>
      </c>
      <c r="H33" s="10">
        <v>0.1</v>
      </c>
      <c r="I33" s="16" t="s">
        <v>26</v>
      </c>
      <c r="J33" s="10">
        <v>2091819.04</v>
      </c>
      <c r="K33" s="16" t="s">
        <v>27</v>
      </c>
      <c r="L33" s="16">
        <v>142321</v>
      </c>
      <c r="M33" s="16" t="s">
        <v>1820</v>
      </c>
      <c r="O33" s="16">
        <v>1</v>
      </c>
    </row>
    <row r="34" spans="1:17" s="16" customFormat="1" hidden="1" x14ac:dyDescent="0.25">
      <c r="A34" s="16">
        <v>8003879954</v>
      </c>
      <c r="B34" s="16">
        <v>25</v>
      </c>
      <c r="C34" s="16">
        <v>19092018</v>
      </c>
      <c r="D34" s="16">
        <v>341</v>
      </c>
      <c r="E34" s="16" t="s">
        <v>25</v>
      </c>
      <c r="F34" s="16">
        <v>9938</v>
      </c>
      <c r="G34" s="16">
        <v>35215699</v>
      </c>
      <c r="H34" s="10">
        <v>2875.64</v>
      </c>
      <c r="I34" s="16" t="s">
        <v>26</v>
      </c>
      <c r="J34" s="10">
        <v>2091819.14</v>
      </c>
      <c r="K34" s="16" t="s">
        <v>27</v>
      </c>
      <c r="L34" s="16">
        <v>142321</v>
      </c>
      <c r="M34" s="16" t="s">
        <v>408</v>
      </c>
      <c r="O34" s="16">
        <v>1</v>
      </c>
      <c r="P34" s="16" t="s">
        <v>1821</v>
      </c>
      <c r="Q34" s="16" t="s">
        <v>410</v>
      </c>
    </row>
    <row r="35" spans="1:17" s="16" customFormat="1" x14ac:dyDescent="0.25">
      <c r="A35" s="16">
        <v>8003879954</v>
      </c>
      <c r="B35" s="16">
        <v>24</v>
      </c>
      <c r="C35" s="16">
        <v>19092018</v>
      </c>
      <c r="D35" s="16">
        <v>489</v>
      </c>
      <c r="E35" s="16" t="s">
        <v>31</v>
      </c>
      <c r="F35" s="16">
        <v>9938</v>
      </c>
      <c r="G35" s="16">
        <v>35215699</v>
      </c>
      <c r="H35" s="10">
        <v>0.1</v>
      </c>
      <c r="I35" s="16" t="s">
        <v>26</v>
      </c>
      <c r="J35" s="10">
        <v>2094694.78</v>
      </c>
      <c r="K35" s="16" t="s">
        <v>27</v>
      </c>
      <c r="L35" s="16">
        <v>142321</v>
      </c>
      <c r="M35" s="16" t="s">
        <v>1822</v>
      </c>
      <c r="O35" s="16">
        <v>1</v>
      </c>
    </row>
    <row r="36" spans="1:17" s="16" customFormat="1" hidden="1" x14ac:dyDescent="0.25">
      <c r="A36" s="16">
        <v>8003879954</v>
      </c>
      <c r="B36" s="16">
        <v>23</v>
      </c>
      <c r="C36" s="16">
        <v>19092018</v>
      </c>
      <c r="D36" s="16">
        <v>341</v>
      </c>
      <c r="E36" s="16" t="s">
        <v>25</v>
      </c>
      <c r="F36" s="16">
        <v>9938</v>
      </c>
      <c r="G36" s="16">
        <v>35215865</v>
      </c>
      <c r="H36" s="10">
        <v>3225</v>
      </c>
      <c r="I36" s="16" t="s">
        <v>26</v>
      </c>
      <c r="J36" s="10">
        <v>2094694.88</v>
      </c>
      <c r="K36" s="16" t="s">
        <v>27</v>
      </c>
      <c r="L36" s="16">
        <v>142321</v>
      </c>
      <c r="M36" s="16" t="s">
        <v>1823</v>
      </c>
      <c r="O36" s="16">
        <v>1</v>
      </c>
      <c r="P36" s="16" t="s">
        <v>1824</v>
      </c>
      <c r="Q36" s="16" t="s">
        <v>1825</v>
      </c>
    </row>
    <row r="37" spans="1:17" s="16" customFormat="1" x14ac:dyDescent="0.25">
      <c r="A37" s="16">
        <v>8003879954</v>
      </c>
      <c r="B37" s="16">
        <v>22</v>
      </c>
      <c r="C37" s="16">
        <v>19092018</v>
      </c>
      <c r="D37" s="16">
        <v>489</v>
      </c>
      <c r="E37" s="16" t="s">
        <v>31</v>
      </c>
      <c r="F37" s="16">
        <v>9938</v>
      </c>
      <c r="G37" s="16">
        <v>35215865</v>
      </c>
      <c r="H37" s="10">
        <v>0.1</v>
      </c>
      <c r="I37" s="16" t="s">
        <v>26</v>
      </c>
      <c r="J37" s="10">
        <v>2097919.88</v>
      </c>
      <c r="K37" s="16" t="s">
        <v>27</v>
      </c>
      <c r="L37" s="16">
        <v>142321</v>
      </c>
      <c r="M37" s="16" t="s">
        <v>1826</v>
      </c>
      <c r="O37" s="16">
        <v>1</v>
      </c>
    </row>
    <row r="38" spans="1:17" s="16" customFormat="1" hidden="1" x14ac:dyDescent="0.25">
      <c r="A38" s="16">
        <v>8003879954</v>
      </c>
      <c r="B38" s="16">
        <v>21</v>
      </c>
      <c r="C38" s="16">
        <v>19092018</v>
      </c>
      <c r="D38" s="16">
        <v>341</v>
      </c>
      <c r="E38" s="16" t="s">
        <v>25</v>
      </c>
      <c r="F38" s="16">
        <v>9938</v>
      </c>
      <c r="G38" s="16">
        <v>35215483</v>
      </c>
      <c r="H38" s="10">
        <v>2880</v>
      </c>
      <c r="I38" s="16" t="s">
        <v>26</v>
      </c>
      <c r="J38" s="10">
        <v>2097919.98</v>
      </c>
      <c r="K38" s="16" t="s">
        <v>27</v>
      </c>
      <c r="L38" s="16">
        <v>142320</v>
      </c>
      <c r="M38" s="16" t="s">
        <v>41</v>
      </c>
      <c r="O38" s="16">
        <v>1</v>
      </c>
      <c r="P38" s="16" t="s">
        <v>1827</v>
      </c>
      <c r="Q38" s="16" t="s">
        <v>1828</v>
      </c>
    </row>
    <row r="39" spans="1:17" s="16" customFormat="1" x14ac:dyDescent="0.25">
      <c r="A39" s="16">
        <v>8003879954</v>
      </c>
      <c r="B39" s="16">
        <v>20</v>
      </c>
      <c r="C39" s="16">
        <v>19092018</v>
      </c>
      <c r="D39" s="16">
        <v>489</v>
      </c>
      <c r="E39" s="16" t="s">
        <v>31</v>
      </c>
      <c r="F39" s="16">
        <v>9938</v>
      </c>
      <c r="G39" s="16">
        <v>35215483</v>
      </c>
      <c r="H39" s="10">
        <v>0.1</v>
      </c>
      <c r="I39" s="16" t="s">
        <v>26</v>
      </c>
      <c r="J39" s="10">
        <v>2100799.98</v>
      </c>
      <c r="K39" s="16" t="s">
        <v>27</v>
      </c>
      <c r="L39" s="16">
        <v>142320</v>
      </c>
      <c r="M39" s="16" t="s">
        <v>1829</v>
      </c>
      <c r="O39" s="16">
        <v>1</v>
      </c>
    </row>
    <row r="40" spans="1:17" s="16" customFormat="1" hidden="1" x14ac:dyDescent="0.25">
      <c r="A40" s="16">
        <v>8003879954</v>
      </c>
      <c r="B40" s="16">
        <v>19</v>
      </c>
      <c r="C40" s="16">
        <v>19092018</v>
      </c>
      <c r="D40" s="16">
        <v>345</v>
      </c>
      <c r="E40" s="16" t="s">
        <v>51</v>
      </c>
      <c r="F40" s="16">
        <v>9938</v>
      </c>
      <c r="G40" s="16">
        <v>35215977</v>
      </c>
      <c r="H40" s="10">
        <v>2890.95</v>
      </c>
      <c r="I40" s="16" t="s">
        <v>26</v>
      </c>
      <c r="J40" s="10">
        <v>2100800.08</v>
      </c>
      <c r="K40" s="16" t="s">
        <v>27</v>
      </c>
      <c r="L40" s="16">
        <v>142320</v>
      </c>
      <c r="M40" s="16" t="s">
        <v>1830</v>
      </c>
      <c r="O40" s="16">
        <v>1</v>
      </c>
      <c r="P40" s="16" t="s">
        <v>1831</v>
      </c>
      <c r="Q40" s="16" t="s">
        <v>52</v>
      </c>
    </row>
    <row r="41" spans="1:17" s="16" customFormat="1" hidden="1" x14ac:dyDescent="0.25">
      <c r="A41" s="16">
        <v>8003879954</v>
      </c>
      <c r="B41" s="16">
        <v>18</v>
      </c>
      <c r="C41" s="16">
        <v>19092018</v>
      </c>
      <c r="D41" s="16">
        <v>341</v>
      </c>
      <c r="E41" s="16" t="s">
        <v>25</v>
      </c>
      <c r="F41" s="16">
        <v>9938</v>
      </c>
      <c r="G41" s="16">
        <v>35215771</v>
      </c>
      <c r="H41" s="10">
        <v>224</v>
      </c>
      <c r="I41" s="16" t="s">
        <v>26</v>
      </c>
      <c r="J41" s="10">
        <v>2103691.0299999998</v>
      </c>
      <c r="K41" s="16" t="s">
        <v>27</v>
      </c>
      <c r="L41" s="16">
        <v>142320</v>
      </c>
      <c r="M41" s="16" t="s">
        <v>39</v>
      </c>
      <c r="O41" s="16">
        <v>1</v>
      </c>
      <c r="P41" s="16" t="s">
        <v>1832</v>
      </c>
      <c r="Q41" s="16" t="s">
        <v>1833</v>
      </c>
    </row>
    <row r="42" spans="1:17" s="16" customFormat="1" x14ac:dyDescent="0.25">
      <c r="A42" s="16">
        <v>8003879954</v>
      </c>
      <c r="B42" s="16">
        <v>17</v>
      </c>
      <c r="C42" s="16">
        <v>19092018</v>
      </c>
      <c r="D42" s="16">
        <v>489</v>
      </c>
      <c r="E42" s="16" t="s">
        <v>31</v>
      </c>
      <c r="F42" s="16">
        <v>9938</v>
      </c>
      <c r="G42" s="16">
        <v>35215771</v>
      </c>
      <c r="H42" s="10">
        <v>0.1</v>
      </c>
      <c r="I42" s="16" t="s">
        <v>26</v>
      </c>
      <c r="J42" s="10">
        <v>2103915.0299999998</v>
      </c>
      <c r="K42" s="16" t="s">
        <v>27</v>
      </c>
      <c r="L42" s="16">
        <v>142320</v>
      </c>
      <c r="M42" s="16" t="s">
        <v>1834</v>
      </c>
      <c r="O42" s="16">
        <v>1</v>
      </c>
    </row>
    <row r="43" spans="1:17" s="16" customFormat="1" hidden="1" x14ac:dyDescent="0.25">
      <c r="A43" s="16">
        <v>8003879954</v>
      </c>
      <c r="B43" s="16">
        <v>16</v>
      </c>
      <c r="C43" s="16">
        <v>19092018</v>
      </c>
      <c r="D43" s="16">
        <v>341</v>
      </c>
      <c r="E43" s="16" t="s">
        <v>25</v>
      </c>
      <c r="F43" s="16">
        <v>9938</v>
      </c>
      <c r="G43" s="16">
        <v>35217249</v>
      </c>
      <c r="H43" s="10">
        <v>157.05000000000001</v>
      </c>
      <c r="I43" s="16" t="s">
        <v>26</v>
      </c>
      <c r="J43" s="10">
        <v>2103915.13</v>
      </c>
      <c r="K43" s="16" t="s">
        <v>27</v>
      </c>
      <c r="L43" s="16">
        <v>142104</v>
      </c>
      <c r="M43" s="16" t="s">
        <v>128</v>
      </c>
      <c r="O43" s="16">
        <v>1</v>
      </c>
      <c r="P43" s="16" t="s">
        <v>1835</v>
      </c>
      <c r="Q43" s="16">
        <v>10017090</v>
      </c>
    </row>
    <row r="44" spans="1:17" s="16" customFormat="1" x14ac:dyDescent="0.25">
      <c r="A44" s="16">
        <v>8003879954</v>
      </c>
      <c r="B44" s="16">
        <v>15</v>
      </c>
      <c r="C44" s="16">
        <v>19092018</v>
      </c>
      <c r="D44" s="16">
        <v>489</v>
      </c>
      <c r="E44" s="16" t="s">
        <v>31</v>
      </c>
      <c r="F44" s="16">
        <v>9938</v>
      </c>
      <c r="G44" s="16">
        <v>35217249</v>
      </c>
      <c r="H44" s="10">
        <v>0.1</v>
      </c>
      <c r="I44" s="16" t="s">
        <v>26</v>
      </c>
      <c r="J44" s="10">
        <v>2104072.1800000002</v>
      </c>
      <c r="K44" s="16" t="s">
        <v>27</v>
      </c>
      <c r="L44" s="16">
        <v>142104</v>
      </c>
      <c r="M44" s="16" t="s">
        <v>1836</v>
      </c>
      <c r="O44" s="16">
        <v>1</v>
      </c>
    </row>
    <row r="45" spans="1:17" s="16" customFormat="1" hidden="1" x14ac:dyDescent="0.25">
      <c r="A45" s="16">
        <v>8003879954</v>
      </c>
      <c r="B45" s="16">
        <v>14</v>
      </c>
      <c r="C45" s="16">
        <v>19092018</v>
      </c>
      <c r="D45" s="16">
        <v>341</v>
      </c>
      <c r="E45" s="16" t="s">
        <v>25</v>
      </c>
      <c r="F45" s="16">
        <v>9938</v>
      </c>
      <c r="G45" s="16">
        <v>35216072</v>
      </c>
      <c r="H45" s="10">
        <v>431.88</v>
      </c>
      <c r="I45" s="16" t="s">
        <v>26</v>
      </c>
      <c r="J45" s="10">
        <v>2104072.2799999998</v>
      </c>
      <c r="K45" s="16" t="s">
        <v>27</v>
      </c>
      <c r="L45" s="16">
        <v>142104</v>
      </c>
      <c r="M45" s="16" t="s">
        <v>1257</v>
      </c>
      <c r="O45" s="16">
        <v>1</v>
      </c>
      <c r="P45" s="16" t="s">
        <v>1837</v>
      </c>
      <c r="Q45" s="16" t="s">
        <v>1838</v>
      </c>
    </row>
    <row r="46" spans="1:17" s="16" customFormat="1" x14ac:dyDescent="0.25">
      <c r="A46" s="16">
        <v>8003879954</v>
      </c>
      <c r="B46" s="16">
        <v>13</v>
      </c>
      <c r="C46" s="16">
        <v>19092018</v>
      </c>
      <c r="D46" s="16">
        <v>489</v>
      </c>
      <c r="E46" s="16" t="s">
        <v>31</v>
      </c>
      <c r="F46" s="16">
        <v>9938</v>
      </c>
      <c r="G46" s="16">
        <v>35216072</v>
      </c>
      <c r="H46" s="10">
        <v>0.1</v>
      </c>
      <c r="I46" s="16" t="s">
        <v>26</v>
      </c>
      <c r="J46" s="10">
        <v>2104504.16</v>
      </c>
      <c r="K46" s="16" t="s">
        <v>27</v>
      </c>
      <c r="L46" s="16">
        <v>142104</v>
      </c>
      <c r="M46" s="16" t="s">
        <v>1839</v>
      </c>
      <c r="O46" s="16">
        <v>1</v>
      </c>
    </row>
    <row r="47" spans="1:17" s="16" customFormat="1" hidden="1" x14ac:dyDescent="0.25">
      <c r="A47" s="16">
        <v>8003879954</v>
      </c>
      <c r="B47" s="16">
        <v>12</v>
      </c>
      <c r="C47" s="16">
        <v>19092018</v>
      </c>
      <c r="D47" s="16">
        <v>341</v>
      </c>
      <c r="E47" s="16" t="s">
        <v>25</v>
      </c>
      <c r="F47" s="16">
        <v>9938</v>
      </c>
      <c r="G47" s="16">
        <v>35217365</v>
      </c>
      <c r="H47" s="10">
        <v>1080</v>
      </c>
      <c r="I47" s="16" t="s">
        <v>26</v>
      </c>
      <c r="J47" s="10">
        <v>2104504.2599999998</v>
      </c>
      <c r="K47" s="16" t="s">
        <v>27</v>
      </c>
      <c r="L47" s="16">
        <v>142101</v>
      </c>
      <c r="M47" s="16" t="s">
        <v>1823</v>
      </c>
      <c r="O47" s="16">
        <v>1</v>
      </c>
      <c r="P47" s="16" t="s">
        <v>1840</v>
      </c>
      <c r="Q47" s="16" t="s">
        <v>1841</v>
      </c>
    </row>
    <row r="48" spans="1:17" s="16" customFormat="1" x14ac:dyDescent="0.25">
      <c r="A48" s="16">
        <v>8003879954</v>
      </c>
      <c r="B48" s="16">
        <v>11</v>
      </c>
      <c r="C48" s="16">
        <v>19092018</v>
      </c>
      <c r="D48" s="16">
        <v>489</v>
      </c>
      <c r="E48" s="16" t="s">
        <v>31</v>
      </c>
      <c r="F48" s="16">
        <v>9938</v>
      </c>
      <c r="G48" s="16">
        <v>35217365</v>
      </c>
      <c r="H48" s="10">
        <v>0.1</v>
      </c>
      <c r="I48" s="16" t="s">
        <v>26</v>
      </c>
      <c r="J48" s="10">
        <v>2105584.2599999998</v>
      </c>
      <c r="K48" s="16" t="s">
        <v>27</v>
      </c>
      <c r="L48" s="16">
        <v>142101</v>
      </c>
      <c r="M48" s="16" t="s">
        <v>1842</v>
      </c>
      <c r="O48" s="16">
        <v>1</v>
      </c>
    </row>
    <row r="49" spans="1:17" s="16" customFormat="1" hidden="1" x14ac:dyDescent="0.25">
      <c r="A49" s="16">
        <v>8003879954</v>
      </c>
      <c r="B49" s="16">
        <v>10</v>
      </c>
      <c r="C49" s="16">
        <v>19092018</v>
      </c>
      <c r="D49" s="16">
        <v>60</v>
      </c>
      <c r="E49" s="16" t="s">
        <v>37</v>
      </c>
      <c r="F49" s="16">
        <v>9938</v>
      </c>
      <c r="G49" s="16">
        <v>35216321</v>
      </c>
      <c r="H49" s="10">
        <v>3000</v>
      </c>
      <c r="I49" s="16" t="s">
        <v>26</v>
      </c>
      <c r="J49" s="10">
        <v>2105584.36</v>
      </c>
      <c r="K49" s="16" t="s">
        <v>27</v>
      </c>
      <c r="L49" s="16">
        <v>142101</v>
      </c>
      <c r="M49" s="16" t="s">
        <v>1843</v>
      </c>
      <c r="O49" s="16">
        <v>1</v>
      </c>
      <c r="P49" s="16" t="s">
        <v>1844</v>
      </c>
      <c r="Q49" s="16" t="s">
        <v>1845</v>
      </c>
    </row>
    <row r="50" spans="1:17" s="16" customFormat="1" hidden="1" x14ac:dyDescent="0.25">
      <c r="A50" s="16">
        <v>8003879954</v>
      </c>
      <c r="B50" s="16">
        <v>9</v>
      </c>
      <c r="C50" s="16">
        <v>19092018</v>
      </c>
      <c r="D50" s="16">
        <v>341</v>
      </c>
      <c r="E50" s="16" t="s">
        <v>25</v>
      </c>
      <c r="F50" s="16">
        <v>9938</v>
      </c>
      <c r="G50" s="16">
        <v>35216678</v>
      </c>
      <c r="H50" s="10">
        <v>900</v>
      </c>
      <c r="I50" s="16" t="s">
        <v>26</v>
      </c>
      <c r="J50" s="10">
        <v>2108584.36</v>
      </c>
      <c r="K50" s="16" t="s">
        <v>27</v>
      </c>
      <c r="L50" s="16">
        <v>142102</v>
      </c>
      <c r="M50" s="16" t="s">
        <v>1846</v>
      </c>
      <c r="O50" s="16">
        <v>1</v>
      </c>
      <c r="P50" s="16" t="s">
        <v>1847</v>
      </c>
      <c r="Q50" s="16" t="s">
        <v>1848</v>
      </c>
    </row>
    <row r="51" spans="1:17" s="16" customFormat="1" x14ac:dyDescent="0.25">
      <c r="A51" s="16">
        <v>8003879954</v>
      </c>
      <c r="B51" s="16">
        <v>8</v>
      </c>
      <c r="C51" s="16">
        <v>19092018</v>
      </c>
      <c r="D51" s="16">
        <v>489</v>
      </c>
      <c r="E51" s="16" t="s">
        <v>31</v>
      </c>
      <c r="F51" s="16">
        <v>9938</v>
      </c>
      <c r="G51" s="16">
        <v>35216678</v>
      </c>
      <c r="H51" s="10">
        <v>0.1</v>
      </c>
      <c r="I51" s="16" t="s">
        <v>26</v>
      </c>
      <c r="J51" s="10">
        <v>2109484.36</v>
      </c>
      <c r="K51" s="16" t="s">
        <v>27</v>
      </c>
      <c r="L51" s="16">
        <v>142102</v>
      </c>
      <c r="M51" s="16" t="s">
        <v>1849</v>
      </c>
      <c r="O51" s="16">
        <v>1</v>
      </c>
    </row>
    <row r="52" spans="1:17" s="16" customFormat="1" hidden="1" x14ac:dyDescent="0.25">
      <c r="A52" s="16">
        <v>8003879954</v>
      </c>
      <c r="B52" s="16">
        <v>7</v>
      </c>
      <c r="C52" s="16">
        <v>19092018</v>
      </c>
      <c r="D52" s="16">
        <v>346</v>
      </c>
      <c r="E52" s="16" t="s">
        <v>137</v>
      </c>
      <c r="F52" s="16">
        <v>9938</v>
      </c>
      <c r="G52" s="16">
        <v>2.0180918003521699E+17</v>
      </c>
      <c r="H52" s="10">
        <v>4781.7299999999996</v>
      </c>
      <c r="I52" s="16" t="s">
        <v>26</v>
      </c>
      <c r="J52" s="10">
        <v>2109484.46</v>
      </c>
      <c r="K52" s="16" t="s">
        <v>27</v>
      </c>
      <c r="L52" s="16">
        <v>142102</v>
      </c>
      <c r="M52" s="16" t="s">
        <v>139</v>
      </c>
      <c r="O52" s="16">
        <v>1</v>
      </c>
      <c r="P52" s="16" t="s">
        <v>1850</v>
      </c>
      <c r="Q52" s="16" t="s">
        <v>1851</v>
      </c>
    </row>
    <row r="53" spans="1:17" s="16" customFormat="1" hidden="1" x14ac:dyDescent="0.25">
      <c r="A53" s="16">
        <v>8003879954</v>
      </c>
      <c r="B53" s="16">
        <v>6</v>
      </c>
      <c r="C53" s="16">
        <v>19092018</v>
      </c>
      <c r="D53" s="16">
        <v>341</v>
      </c>
      <c r="E53" s="16" t="s">
        <v>25</v>
      </c>
      <c r="F53" s="16">
        <v>9938</v>
      </c>
      <c r="G53" s="16">
        <v>35216855</v>
      </c>
      <c r="H53" s="10">
        <v>2000</v>
      </c>
      <c r="I53" s="16" t="s">
        <v>26</v>
      </c>
      <c r="J53" s="10">
        <v>2114266.19</v>
      </c>
      <c r="K53" s="16" t="s">
        <v>27</v>
      </c>
      <c r="L53" s="16">
        <v>142102</v>
      </c>
      <c r="M53" s="16" t="s">
        <v>319</v>
      </c>
      <c r="O53" s="16">
        <v>1</v>
      </c>
      <c r="P53" s="16" t="s">
        <v>1852</v>
      </c>
      <c r="Q53" s="16" t="s">
        <v>1853</v>
      </c>
    </row>
    <row r="54" spans="1:17" s="16" customFormat="1" x14ac:dyDescent="0.25">
      <c r="A54" s="16">
        <v>8003879954</v>
      </c>
      <c r="B54" s="16">
        <v>5</v>
      </c>
      <c r="C54" s="16">
        <v>19092018</v>
      </c>
      <c r="D54" s="16">
        <v>489</v>
      </c>
      <c r="E54" s="16" t="s">
        <v>31</v>
      </c>
      <c r="F54" s="16">
        <v>9938</v>
      </c>
      <c r="G54" s="16">
        <v>35216855</v>
      </c>
      <c r="H54" s="10">
        <v>0.1</v>
      </c>
      <c r="I54" s="16" t="s">
        <v>26</v>
      </c>
      <c r="J54" s="10">
        <v>2116266.19</v>
      </c>
      <c r="K54" s="16" t="s">
        <v>27</v>
      </c>
      <c r="L54" s="16">
        <v>142102</v>
      </c>
      <c r="M54" s="16" t="s">
        <v>1854</v>
      </c>
      <c r="O54" s="16">
        <v>1</v>
      </c>
    </row>
    <row r="55" spans="1:17" s="16" customFormat="1" hidden="1" x14ac:dyDescent="0.25">
      <c r="A55" s="16">
        <v>8003879954</v>
      </c>
      <c r="B55" s="16">
        <v>4</v>
      </c>
      <c r="C55" s="16">
        <v>19092018</v>
      </c>
      <c r="D55" s="16">
        <v>341</v>
      </c>
      <c r="E55" s="16" t="s">
        <v>25</v>
      </c>
      <c r="F55" s="16">
        <v>9938</v>
      </c>
      <c r="G55" s="16">
        <v>35216755</v>
      </c>
      <c r="H55" s="10">
        <v>120</v>
      </c>
      <c r="I55" s="16" t="s">
        <v>26</v>
      </c>
      <c r="J55" s="10">
        <v>2116266.29</v>
      </c>
      <c r="K55" s="16" t="s">
        <v>27</v>
      </c>
      <c r="L55" s="16">
        <v>142101</v>
      </c>
      <c r="M55" s="16" t="s">
        <v>722</v>
      </c>
      <c r="O55" s="16">
        <v>1</v>
      </c>
      <c r="P55" s="16" t="s">
        <v>1855</v>
      </c>
      <c r="Q55" s="16" t="s">
        <v>44</v>
      </c>
    </row>
    <row r="56" spans="1:17" s="16" customFormat="1" x14ac:dyDescent="0.25">
      <c r="A56" s="16">
        <v>8003879954</v>
      </c>
      <c r="B56" s="16">
        <v>3</v>
      </c>
      <c r="C56" s="16">
        <v>19092018</v>
      </c>
      <c r="D56" s="16">
        <v>489</v>
      </c>
      <c r="E56" s="16" t="s">
        <v>31</v>
      </c>
      <c r="F56" s="16">
        <v>9938</v>
      </c>
      <c r="G56" s="16">
        <v>35216755</v>
      </c>
      <c r="H56" s="10">
        <v>0.1</v>
      </c>
      <c r="I56" s="16" t="s">
        <v>26</v>
      </c>
      <c r="J56" s="10">
        <v>2116386.29</v>
      </c>
      <c r="K56" s="16" t="s">
        <v>27</v>
      </c>
      <c r="L56" s="16">
        <v>142101</v>
      </c>
      <c r="M56" s="16" t="s">
        <v>1856</v>
      </c>
      <c r="O56" s="16">
        <v>1</v>
      </c>
    </row>
    <row r="57" spans="1:17" s="16" customFormat="1" hidden="1" x14ac:dyDescent="0.25">
      <c r="A57" s="16">
        <v>8003879954</v>
      </c>
      <c r="B57" s="16">
        <v>2</v>
      </c>
      <c r="C57" s="16">
        <v>19092018</v>
      </c>
      <c r="D57" s="16">
        <v>60</v>
      </c>
      <c r="E57" s="16" t="s">
        <v>37</v>
      </c>
      <c r="F57" s="16">
        <v>9938</v>
      </c>
      <c r="G57" s="16">
        <v>35217140</v>
      </c>
      <c r="H57" s="10">
        <v>390</v>
      </c>
      <c r="I57" s="16" t="s">
        <v>26</v>
      </c>
      <c r="J57" s="10">
        <v>2116386.39</v>
      </c>
      <c r="K57" s="16" t="s">
        <v>27</v>
      </c>
      <c r="L57" s="16">
        <v>142101</v>
      </c>
      <c r="M57" s="16" t="s">
        <v>1857</v>
      </c>
      <c r="O57" s="16">
        <v>1</v>
      </c>
      <c r="P57" s="16" t="s">
        <v>1858</v>
      </c>
      <c r="Q57" s="16" t="s">
        <v>1859</v>
      </c>
    </row>
    <row r="58" spans="1:17" s="16" customFormat="1" hidden="1" x14ac:dyDescent="0.25">
      <c r="A58" s="16">
        <v>8003879954</v>
      </c>
      <c r="B58" s="16">
        <v>1</v>
      </c>
      <c r="C58" s="16">
        <v>19092018</v>
      </c>
      <c r="D58" s="16">
        <v>60</v>
      </c>
      <c r="E58" s="16" t="s">
        <v>37</v>
      </c>
      <c r="F58" s="16">
        <v>9938</v>
      </c>
      <c r="G58" s="16">
        <v>35216929</v>
      </c>
      <c r="H58" s="10">
        <v>1236.9000000000001</v>
      </c>
      <c r="I58" s="16" t="s">
        <v>26</v>
      </c>
      <c r="J58" s="10">
        <v>2116776.39</v>
      </c>
      <c r="K58" s="16" t="s">
        <v>27</v>
      </c>
      <c r="L58" s="16">
        <v>142101</v>
      </c>
      <c r="M58" s="16" t="s">
        <v>1860</v>
      </c>
      <c r="O58" s="16">
        <v>1</v>
      </c>
      <c r="P58" s="16" t="s">
        <v>1861</v>
      </c>
      <c r="Q58" s="16" t="s">
        <v>1862</v>
      </c>
    </row>
    <row r="59" spans="1:17" s="16" customFormat="1" x14ac:dyDescent="0.25">
      <c r="A59" s="16">
        <v>8003879954</v>
      </c>
      <c r="B59" s="16">
        <v>9</v>
      </c>
      <c r="C59" s="16">
        <v>18092018</v>
      </c>
      <c r="D59" s="16">
        <v>819</v>
      </c>
      <c r="E59" s="16" t="s">
        <v>35</v>
      </c>
      <c r="H59" s="10">
        <v>1</v>
      </c>
      <c r="I59" s="16" t="s">
        <v>26</v>
      </c>
      <c r="J59" s="10">
        <v>2118013.29</v>
      </c>
      <c r="K59" s="16" t="s">
        <v>27</v>
      </c>
      <c r="L59" s="16">
        <v>10305</v>
      </c>
      <c r="O59" s="16">
        <v>1</v>
      </c>
    </row>
    <row r="60" spans="1:17" s="16" customFormat="1" hidden="1" x14ac:dyDescent="0.25">
      <c r="A60" s="16">
        <v>8003879954</v>
      </c>
      <c r="B60" s="16">
        <v>8</v>
      </c>
      <c r="C60" s="16">
        <v>18092018</v>
      </c>
      <c r="D60" s="16">
        <v>321</v>
      </c>
      <c r="E60" s="16" t="s">
        <v>36</v>
      </c>
      <c r="F60" s="16">
        <v>0</v>
      </c>
      <c r="G60" s="16">
        <v>688276</v>
      </c>
      <c r="H60" s="10">
        <v>475.65</v>
      </c>
      <c r="I60" s="16" t="s">
        <v>26</v>
      </c>
      <c r="J60" s="10">
        <v>2118014.29</v>
      </c>
      <c r="K60" s="16" t="s">
        <v>27</v>
      </c>
      <c r="L60" s="16">
        <v>10138</v>
      </c>
      <c r="O60" s="16">
        <v>1</v>
      </c>
    </row>
    <row r="61" spans="1:17" s="16" customFormat="1" hidden="1" x14ac:dyDescent="0.25">
      <c r="A61" s="16">
        <v>8003879954</v>
      </c>
      <c r="B61" s="16">
        <v>7</v>
      </c>
      <c r="C61" s="16">
        <v>18092018</v>
      </c>
      <c r="D61" s="16">
        <v>321</v>
      </c>
      <c r="E61" s="16" t="s">
        <v>36</v>
      </c>
      <c r="F61" s="16">
        <v>0</v>
      </c>
      <c r="G61" s="16">
        <v>688275</v>
      </c>
      <c r="H61" s="10">
        <v>164.85</v>
      </c>
      <c r="I61" s="16" t="s">
        <v>26</v>
      </c>
      <c r="J61" s="10">
        <v>2118489.94</v>
      </c>
      <c r="K61" s="16" t="s">
        <v>27</v>
      </c>
      <c r="L61" s="16">
        <v>10138</v>
      </c>
      <c r="O61" s="16">
        <v>1</v>
      </c>
    </row>
    <row r="62" spans="1:17" s="16" customFormat="1" hidden="1" x14ac:dyDescent="0.25">
      <c r="A62" s="16">
        <v>8003879954</v>
      </c>
      <c r="B62" s="16">
        <v>6</v>
      </c>
      <c r="C62" s="16">
        <v>18092018</v>
      </c>
      <c r="D62" s="16">
        <v>415</v>
      </c>
      <c r="E62" s="16" t="s">
        <v>48</v>
      </c>
      <c r="F62" s="16">
        <v>72</v>
      </c>
      <c r="G62" s="16">
        <v>283720751</v>
      </c>
      <c r="H62" s="10">
        <v>30</v>
      </c>
      <c r="I62" s="16" t="s">
        <v>26</v>
      </c>
      <c r="J62" s="10">
        <v>2118654.79</v>
      </c>
      <c r="K62" s="16" t="s">
        <v>27</v>
      </c>
      <c r="L62" s="16">
        <v>204017</v>
      </c>
      <c r="M62" s="16" t="s">
        <v>1863</v>
      </c>
      <c r="O62" s="16">
        <v>1</v>
      </c>
    </row>
    <row r="63" spans="1:17" s="16" customFormat="1" hidden="1" x14ac:dyDescent="0.25">
      <c r="A63" s="16">
        <v>8003879954</v>
      </c>
      <c r="B63" s="16">
        <v>5</v>
      </c>
      <c r="C63" s="16">
        <v>18092018</v>
      </c>
      <c r="D63" s="16">
        <v>349</v>
      </c>
      <c r="E63" s="16" t="s">
        <v>49</v>
      </c>
      <c r="F63" s="16">
        <v>72</v>
      </c>
      <c r="G63" s="16">
        <v>283720751</v>
      </c>
      <c r="H63" s="10">
        <v>100794.47</v>
      </c>
      <c r="I63" s="16" t="s">
        <v>26</v>
      </c>
      <c r="J63" s="10">
        <v>2118684.79</v>
      </c>
      <c r="K63" s="16" t="s">
        <v>27</v>
      </c>
      <c r="L63" s="16">
        <v>204017</v>
      </c>
      <c r="M63" s="16" t="s">
        <v>1863</v>
      </c>
      <c r="O63" s="16">
        <v>1</v>
      </c>
    </row>
    <row r="64" spans="1:17" s="16" customFormat="1" hidden="1" x14ac:dyDescent="0.25">
      <c r="A64" s="16">
        <v>8003879954</v>
      </c>
      <c r="B64" s="16">
        <v>4</v>
      </c>
      <c r="C64" s="16">
        <v>18092018</v>
      </c>
      <c r="D64" s="16">
        <v>415</v>
      </c>
      <c r="E64" s="16" t="s">
        <v>48</v>
      </c>
      <c r="F64" s="16">
        <v>72</v>
      </c>
      <c r="G64" s="16">
        <v>283721190</v>
      </c>
      <c r="H64" s="10">
        <v>30</v>
      </c>
      <c r="I64" s="16" t="s">
        <v>26</v>
      </c>
      <c r="J64" s="10">
        <v>2219479.2599999998</v>
      </c>
      <c r="K64" s="16" t="s">
        <v>27</v>
      </c>
      <c r="L64" s="16">
        <v>194428</v>
      </c>
      <c r="M64" s="16" t="s">
        <v>1864</v>
      </c>
      <c r="O64" s="16">
        <v>1</v>
      </c>
    </row>
    <row r="65" spans="1:17" s="16" customFormat="1" hidden="1" x14ac:dyDescent="0.25">
      <c r="A65" s="16">
        <v>8003879954</v>
      </c>
      <c r="B65" s="16">
        <v>3</v>
      </c>
      <c r="C65" s="16">
        <v>18092018</v>
      </c>
      <c r="D65" s="16">
        <v>349</v>
      </c>
      <c r="E65" s="16" t="s">
        <v>49</v>
      </c>
      <c r="F65" s="16">
        <v>72</v>
      </c>
      <c r="G65" s="16">
        <v>283721190</v>
      </c>
      <c r="H65" s="10">
        <v>12195</v>
      </c>
      <c r="I65" s="16" t="s">
        <v>26</v>
      </c>
      <c r="J65" s="10">
        <v>2219509.2599999998</v>
      </c>
      <c r="K65" s="16" t="s">
        <v>27</v>
      </c>
      <c r="L65" s="16">
        <v>194428</v>
      </c>
      <c r="M65" s="16" t="s">
        <v>1864</v>
      </c>
      <c r="O65" s="16">
        <v>1</v>
      </c>
    </row>
    <row r="66" spans="1:17" s="16" customFormat="1" hidden="1" x14ac:dyDescent="0.25">
      <c r="A66" s="16">
        <v>8003879954</v>
      </c>
      <c r="B66" s="16">
        <v>2</v>
      </c>
      <c r="C66" s="16">
        <v>18092018</v>
      </c>
      <c r="D66" s="16">
        <v>415</v>
      </c>
      <c r="E66" s="16" t="s">
        <v>48</v>
      </c>
      <c r="F66" s="16">
        <v>72</v>
      </c>
      <c r="G66" s="16">
        <v>283720745</v>
      </c>
      <c r="H66" s="10">
        <v>10</v>
      </c>
      <c r="I66" s="16" t="s">
        <v>26</v>
      </c>
      <c r="J66" s="10">
        <v>2231704.2599999998</v>
      </c>
      <c r="K66" s="16" t="s">
        <v>27</v>
      </c>
      <c r="L66" s="16">
        <v>182030</v>
      </c>
      <c r="M66" s="16" t="s">
        <v>1865</v>
      </c>
      <c r="O66" s="16">
        <v>1</v>
      </c>
    </row>
    <row r="67" spans="1:17" s="16" customFormat="1" hidden="1" x14ac:dyDescent="0.25">
      <c r="A67" s="16">
        <v>8003879954</v>
      </c>
      <c r="B67" s="16">
        <v>1</v>
      </c>
      <c r="C67" s="16">
        <v>18092018</v>
      </c>
      <c r="D67" s="16">
        <v>349</v>
      </c>
      <c r="E67" s="16" t="s">
        <v>49</v>
      </c>
      <c r="F67" s="16">
        <v>72</v>
      </c>
      <c r="G67" s="16">
        <v>283720745</v>
      </c>
      <c r="H67" s="10">
        <v>97133.65</v>
      </c>
      <c r="I67" s="16" t="s">
        <v>26</v>
      </c>
      <c r="J67" s="10">
        <v>2231714.2599999998</v>
      </c>
      <c r="K67" s="16" t="s">
        <v>27</v>
      </c>
      <c r="L67" s="16">
        <v>182030</v>
      </c>
      <c r="M67" s="16" t="s">
        <v>1865</v>
      </c>
      <c r="O67" s="16">
        <v>1</v>
      </c>
    </row>
    <row r="68" spans="1:17" s="16" customFormat="1" x14ac:dyDescent="0.25">
      <c r="A68" s="16">
        <v>8003879954</v>
      </c>
      <c r="B68" s="16">
        <v>3</v>
      </c>
      <c r="C68" s="16">
        <v>13092018</v>
      </c>
      <c r="D68" s="16">
        <v>819</v>
      </c>
      <c r="E68" s="16" t="s">
        <v>35</v>
      </c>
      <c r="H68" s="10">
        <v>1</v>
      </c>
      <c r="I68" s="16" t="s">
        <v>26</v>
      </c>
      <c r="J68" s="10">
        <v>2328847.91</v>
      </c>
      <c r="K68" s="16" t="s">
        <v>27</v>
      </c>
      <c r="L68" s="16">
        <v>10022</v>
      </c>
      <c r="O68" s="16">
        <v>1</v>
      </c>
    </row>
    <row r="69" spans="1:17" s="16" customFormat="1" hidden="1" x14ac:dyDescent="0.25">
      <c r="A69" s="16">
        <v>8003879954</v>
      </c>
      <c r="B69" s="16">
        <v>2</v>
      </c>
      <c r="C69" s="16">
        <v>13092018</v>
      </c>
      <c r="D69" s="16">
        <v>323</v>
      </c>
      <c r="E69" s="16" t="s">
        <v>50</v>
      </c>
      <c r="F69" s="16">
        <v>0</v>
      </c>
      <c r="G69" s="16">
        <v>688272</v>
      </c>
      <c r="H69" s="10">
        <v>237.8</v>
      </c>
      <c r="I69" s="16" t="s">
        <v>26</v>
      </c>
      <c r="J69" s="10">
        <v>2328848.91</v>
      </c>
      <c r="K69" s="16" t="s">
        <v>27</v>
      </c>
      <c r="L69" s="16">
        <v>5919</v>
      </c>
      <c r="O69" s="16">
        <v>1</v>
      </c>
    </row>
    <row r="70" spans="1:17" s="16" customFormat="1" hidden="1" x14ac:dyDescent="0.25">
      <c r="A70" s="16">
        <v>8003879954</v>
      </c>
      <c r="B70" s="16">
        <v>1</v>
      </c>
      <c r="C70" s="16">
        <v>13092018</v>
      </c>
      <c r="D70" s="16">
        <v>323</v>
      </c>
      <c r="E70" s="16" t="s">
        <v>50</v>
      </c>
      <c r="F70" s="16">
        <v>0</v>
      </c>
      <c r="G70" s="16">
        <v>688267</v>
      </c>
      <c r="H70" s="10">
        <v>720.47</v>
      </c>
      <c r="I70" s="16" t="s">
        <v>26</v>
      </c>
      <c r="J70" s="10">
        <v>2329086.71</v>
      </c>
      <c r="K70" s="16" t="s">
        <v>27</v>
      </c>
      <c r="L70" s="16">
        <v>5919</v>
      </c>
      <c r="O70" s="16">
        <v>1</v>
      </c>
    </row>
    <row r="71" spans="1:17" s="16" customFormat="1" hidden="1" x14ac:dyDescent="0.25">
      <c r="A71" s="16">
        <v>8003879954</v>
      </c>
      <c r="B71" s="16">
        <v>22</v>
      </c>
      <c r="C71" s="16">
        <v>12092018</v>
      </c>
      <c r="D71" s="16">
        <v>341</v>
      </c>
      <c r="E71" s="16" t="s">
        <v>25</v>
      </c>
      <c r="F71" s="16">
        <v>9938</v>
      </c>
      <c r="G71" s="16">
        <v>34922468</v>
      </c>
      <c r="H71" s="10">
        <v>300</v>
      </c>
      <c r="I71" s="16" t="s">
        <v>26</v>
      </c>
      <c r="J71" s="10">
        <v>2329807.1800000002</v>
      </c>
      <c r="K71" s="16" t="s">
        <v>27</v>
      </c>
      <c r="L71" s="16">
        <v>160811</v>
      </c>
      <c r="M71" s="16" t="s">
        <v>1866</v>
      </c>
      <c r="O71" s="16">
        <v>1</v>
      </c>
      <c r="P71" s="16" t="s">
        <v>1867</v>
      </c>
      <c r="Q71" s="16" t="s">
        <v>1868</v>
      </c>
    </row>
    <row r="72" spans="1:17" s="16" customFormat="1" x14ac:dyDescent="0.25">
      <c r="A72" s="16">
        <v>8003879954</v>
      </c>
      <c r="B72" s="16">
        <v>21</v>
      </c>
      <c r="C72" s="16">
        <v>12092018</v>
      </c>
      <c r="D72" s="16">
        <v>489</v>
      </c>
      <c r="E72" s="16" t="s">
        <v>31</v>
      </c>
      <c r="F72" s="16">
        <v>9938</v>
      </c>
      <c r="G72" s="16">
        <v>34922468</v>
      </c>
      <c r="H72" s="10">
        <v>0.1</v>
      </c>
      <c r="I72" s="16" t="s">
        <v>26</v>
      </c>
      <c r="J72" s="10">
        <v>2330107.1800000002</v>
      </c>
      <c r="K72" s="16" t="s">
        <v>27</v>
      </c>
      <c r="L72" s="16">
        <v>160811</v>
      </c>
      <c r="M72" s="16" t="s">
        <v>1869</v>
      </c>
      <c r="O72" s="16">
        <v>1</v>
      </c>
    </row>
    <row r="73" spans="1:17" s="16" customFormat="1" hidden="1" x14ac:dyDescent="0.25">
      <c r="A73" s="16">
        <v>8003879954</v>
      </c>
      <c r="B73" s="16">
        <v>20</v>
      </c>
      <c r="C73" s="16">
        <v>12092018</v>
      </c>
      <c r="D73" s="16">
        <v>341</v>
      </c>
      <c r="E73" s="16" t="s">
        <v>25</v>
      </c>
      <c r="F73" s="16">
        <v>9938</v>
      </c>
      <c r="G73" s="16">
        <v>34921945</v>
      </c>
      <c r="H73" s="10">
        <v>500</v>
      </c>
      <c r="I73" s="16" t="s">
        <v>26</v>
      </c>
      <c r="J73" s="10">
        <v>2330107.2799999998</v>
      </c>
      <c r="K73" s="16" t="s">
        <v>27</v>
      </c>
      <c r="L73" s="16">
        <v>160727</v>
      </c>
      <c r="M73" s="16" t="s">
        <v>1870</v>
      </c>
      <c r="O73" s="16">
        <v>1</v>
      </c>
      <c r="P73" s="16" t="s">
        <v>1871</v>
      </c>
      <c r="Q73" s="16" t="s">
        <v>1872</v>
      </c>
    </row>
    <row r="74" spans="1:17" s="16" customFormat="1" x14ac:dyDescent="0.25">
      <c r="A74" s="16">
        <v>8003879954</v>
      </c>
      <c r="B74" s="16">
        <v>19</v>
      </c>
      <c r="C74" s="16">
        <v>12092018</v>
      </c>
      <c r="D74" s="16">
        <v>489</v>
      </c>
      <c r="E74" s="16" t="s">
        <v>31</v>
      </c>
      <c r="F74" s="16">
        <v>9938</v>
      </c>
      <c r="G74" s="16">
        <v>34921945</v>
      </c>
      <c r="H74" s="10">
        <v>0.1</v>
      </c>
      <c r="I74" s="16" t="s">
        <v>26</v>
      </c>
      <c r="J74" s="10">
        <v>2330607.2799999998</v>
      </c>
      <c r="K74" s="16" t="s">
        <v>27</v>
      </c>
      <c r="L74" s="16">
        <v>160727</v>
      </c>
      <c r="M74" s="16" t="s">
        <v>1873</v>
      </c>
      <c r="O74" s="16">
        <v>1</v>
      </c>
    </row>
    <row r="75" spans="1:17" s="16" customFormat="1" hidden="1" x14ac:dyDescent="0.25">
      <c r="A75" s="16">
        <v>8003879954</v>
      </c>
      <c r="B75" s="16">
        <v>18</v>
      </c>
      <c r="C75" s="16">
        <v>12092018</v>
      </c>
      <c r="D75" s="16">
        <v>341</v>
      </c>
      <c r="E75" s="16" t="s">
        <v>25</v>
      </c>
      <c r="F75" s="16">
        <v>9938</v>
      </c>
      <c r="G75" s="16">
        <v>34922210</v>
      </c>
      <c r="H75" s="10">
        <v>540</v>
      </c>
      <c r="I75" s="16" t="s">
        <v>26</v>
      </c>
      <c r="J75" s="10">
        <v>2330607.38</v>
      </c>
      <c r="K75" s="16" t="s">
        <v>27</v>
      </c>
      <c r="L75" s="16">
        <v>160717</v>
      </c>
      <c r="M75" s="16" t="s">
        <v>47</v>
      </c>
      <c r="O75" s="16">
        <v>1</v>
      </c>
      <c r="P75" s="16" t="s">
        <v>1874</v>
      </c>
      <c r="Q75" s="16" t="s">
        <v>1875</v>
      </c>
    </row>
    <row r="76" spans="1:17" s="16" customFormat="1" x14ac:dyDescent="0.25">
      <c r="A76" s="16">
        <v>8003879954</v>
      </c>
      <c r="B76" s="16">
        <v>17</v>
      </c>
      <c r="C76" s="16">
        <v>12092018</v>
      </c>
      <c r="D76" s="16">
        <v>489</v>
      </c>
      <c r="E76" s="16" t="s">
        <v>31</v>
      </c>
      <c r="F76" s="16">
        <v>9938</v>
      </c>
      <c r="G76" s="16">
        <v>34922210</v>
      </c>
      <c r="H76" s="10">
        <v>0.1</v>
      </c>
      <c r="I76" s="16" t="s">
        <v>26</v>
      </c>
      <c r="J76" s="10">
        <v>2331147.38</v>
      </c>
      <c r="K76" s="16" t="s">
        <v>27</v>
      </c>
      <c r="L76" s="16">
        <v>160717</v>
      </c>
      <c r="M76" s="16" t="s">
        <v>1876</v>
      </c>
      <c r="O76" s="16">
        <v>1</v>
      </c>
    </row>
    <row r="77" spans="1:17" s="16" customFormat="1" hidden="1" x14ac:dyDescent="0.25">
      <c r="A77" s="16">
        <v>8003879954</v>
      </c>
      <c r="B77" s="16">
        <v>16</v>
      </c>
      <c r="C77" s="16">
        <v>12092018</v>
      </c>
      <c r="D77" s="16">
        <v>341</v>
      </c>
      <c r="E77" s="16" t="s">
        <v>25</v>
      </c>
      <c r="F77" s="16">
        <v>9938</v>
      </c>
      <c r="G77" s="16">
        <v>34922652</v>
      </c>
      <c r="H77" s="10">
        <v>850</v>
      </c>
      <c r="I77" s="16" t="s">
        <v>26</v>
      </c>
      <c r="J77" s="10">
        <v>2331147.48</v>
      </c>
      <c r="K77" s="16" t="s">
        <v>27</v>
      </c>
      <c r="L77" s="16">
        <v>160641</v>
      </c>
      <c r="M77" s="16" t="s">
        <v>747</v>
      </c>
      <c r="O77" s="16">
        <v>1</v>
      </c>
      <c r="P77" s="16" t="s">
        <v>1877</v>
      </c>
      <c r="Q77" s="16" t="s">
        <v>749</v>
      </c>
    </row>
    <row r="78" spans="1:17" s="16" customFormat="1" x14ac:dyDescent="0.25">
      <c r="A78" s="16">
        <v>8003879954</v>
      </c>
      <c r="B78" s="16">
        <v>15</v>
      </c>
      <c r="C78" s="16">
        <v>12092018</v>
      </c>
      <c r="D78" s="16">
        <v>489</v>
      </c>
      <c r="E78" s="16" t="s">
        <v>31</v>
      </c>
      <c r="F78" s="16">
        <v>9938</v>
      </c>
      <c r="G78" s="16">
        <v>34922652</v>
      </c>
      <c r="H78" s="10">
        <v>0.1</v>
      </c>
      <c r="I78" s="16" t="s">
        <v>26</v>
      </c>
      <c r="J78" s="10">
        <v>2331997.48</v>
      </c>
      <c r="K78" s="16" t="s">
        <v>27</v>
      </c>
      <c r="L78" s="16">
        <v>160641</v>
      </c>
      <c r="M78" s="16" t="s">
        <v>1878</v>
      </c>
      <c r="O78" s="16">
        <v>1</v>
      </c>
    </row>
    <row r="79" spans="1:17" s="16" customFormat="1" hidden="1" x14ac:dyDescent="0.25">
      <c r="A79" s="16">
        <v>8003879954</v>
      </c>
      <c r="B79" s="16">
        <v>14</v>
      </c>
      <c r="C79" s="16">
        <v>12092018</v>
      </c>
      <c r="D79" s="16">
        <v>341</v>
      </c>
      <c r="E79" s="16" t="s">
        <v>25</v>
      </c>
      <c r="F79" s="16">
        <v>9938</v>
      </c>
      <c r="G79" s="16">
        <v>34922689</v>
      </c>
      <c r="H79" s="10">
        <v>950</v>
      </c>
      <c r="I79" s="16" t="s">
        <v>26</v>
      </c>
      <c r="J79" s="10">
        <v>2331997.58</v>
      </c>
      <c r="K79" s="16" t="s">
        <v>27</v>
      </c>
      <c r="L79" s="16">
        <v>160623</v>
      </c>
      <c r="M79" s="16" t="s">
        <v>249</v>
      </c>
      <c r="O79" s="16">
        <v>1</v>
      </c>
      <c r="P79" s="16" t="s">
        <v>1879</v>
      </c>
      <c r="Q79" s="16" t="s">
        <v>1880</v>
      </c>
    </row>
    <row r="80" spans="1:17" s="16" customFormat="1" x14ac:dyDescent="0.25">
      <c r="A80" s="16">
        <v>8003879954</v>
      </c>
      <c r="B80" s="16">
        <v>13</v>
      </c>
      <c r="C80" s="16">
        <v>12092018</v>
      </c>
      <c r="D80" s="16">
        <v>489</v>
      </c>
      <c r="E80" s="16" t="s">
        <v>31</v>
      </c>
      <c r="F80" s="16">
        <v>9938</v>
      </c>
      <c r="G80" s="16">
        <v>34922689</v>
      </c>
      <c r="H80" s="10">
        <v>0.1</v>
      </c>
      <c r="I80" s="16" t="s">
        <v>26</v>
      </c>
      <c r="J80" s="10">
        <v>2332947.58</v>
      </c>
      <c r="K80" s="16" t="s">
        <v>27</v>
      </c>
      <c r="L80" s="16">
        <v>160623</v>
      </c>
      <c r="M80" s="16" t="s">
        <v>1881</v>
      </c>
      <c r="O80" s="16">
        <v>1</v>
      </c>
    </row>
    <row r="81" spans="1:17" s="16" customFormat="1" hidden="1" x14ac:dyDescent="0.25">
      <c r="A81" s="16">
        <v>8003879954</v>
      </c>
      <c r="B81" s="16">
        <v>12</v>
      </c>
      <c r="C81" s="16">
        <v>12092018</v>
      </c>
      <c r="D81" s="16">
        <v>341</v>
      </c>
      <c r="E81" s="16" t="s">
        <v>25</v>
      </c>
      <c r="F81" s="16">
        <v>9938</v>
      </c>
      <c r="G81" s="16">
        <v>34922880</v>
      </c>
      <c r="H81" s="10">
        <v>1590</v>
      </c>
      <c r="I81" s="16" t="s">
        <v>26</v>
      </c>
      <c r="J81" s="10">
        <v>2332947.6800000002</v>
      </c>
      <c r="K81" s="16" t="s">
        <v>27</v>
      </c>
      <c r="L81" s="16">
        <v>160521</v>
      </c>
      <c r="M81" s="16" t="s">
        <v>273</v>
      </c>
      <c r="O81" s="16">
        <v>1</v>
      </c>
      <c r="P81" s="16" t="s">
        <v>1882</v>
      </c>
      <c r="Q81" s="16" t="s">
        <v>1883</v>
      </c>
    </row>
    <row r="82" spans="1:17" s="16" customFormat="1" x14ac:dyDescent="0.25">
      <c r="A82" s="16">
        <v>8003879954</v>
      </c>
      <c r="B82" s="16">
        <v>11</v>
      </c>
      <c r="C82" s="16">
        <v>12092018</v>
      </c>
      <c r="D82" s="16">
        <v>489</v>
      </c>
      <c r="E82" s="16" t="s">
        <v>31</v>
      </c>
      <c r="F82" s="16">
        <v>9938</v>
      </c>
      <c r="G82" s="16">
        <v>34922880</v>
      </c>
      <c r="H82" s="10">
        <v>0.1</v>
      </c>
      <c r="I82" s="16" t="s">
        <v>26</v>
      </c>
      <c r="J82" s="10">
        <v>2334537.6800000002</v>
      </c>
      <c r="K82" s="16" t="s">
        <v>27</v>
      </c>
      <c r="L82" s="16">
        <v>160521</v>
      </c>
      <c r="M82" s="16" t="s">
        <v>1884</v>
      </c>
      <c r="O82" s="16">
        <v>1</v>
      </c>
    </row>
    <row r="83" spans="1:17" s="16" customFormat="1" hidden="1" x14ac:dyDescent="0.25">
      <c r="A83" s="16">
        <v>8003879954</v>
      </c>
      <c r="B83" s="16">
        <v>10</v>
      </c>
      <c r="C83" s="16">
        <v>12092018</v>
      </c>
      <c r="D83" s="16">
        <v>341</v>
      </c>
      <c r="E83" s="16" t="s">
        <v>25</v>
      </c>
      <c r="F83" s="16">
        <v>9938</v>
      </c>
      <c r="G83" s="16">
        <v>34922075</v>
      </c>
      <c r="H83" s="10">
        <v>2500</v>
      </c>
      <c r="I83" s="16" t="s">
        <v>26</v>
      </c>
      <c r="J83" s="10">
        <v>2334537.7799999998</v>
      </c>
      <c r="K83" s="16" t="s">
        <v>27</v>
      </c>
      <c r="L83" s="16">
        <v>160428</v>
      </c>
      <c r="M83" s="16" t="s">
        <v>1603</v>
      </c>
      <c r="O83" s="16">
        <v>1</v>
      </c>
      <c r="P83" s="16" t="s">
        <v>1885</v>
      </c>
      <c r="Q83" s="16" t="s">
        <v>1886</v>
      </c>
    </row>
    <row r="84" spans="1:17" s="16" customFormat="1" x14ac:dyDescent="0.25">
      <c r="A84" s="16">
        <v>8003879954</v>
      </c>
      <c r="B84" s="16">
        <v>9</v>
      </c>
      <c r="C84" s="16">
        <v>12092018</v>
      </c>
      <c r="D84" s="16">
        <v>489</v>
      </c>
      <c r="E84" s="16" t="s">
        <v>31</v>
      </c>
      <c r="F84" s="16">
        <v>9938</v>
      </c>
      <c r="G84" s="16">
        <v>34922075</v>
      </c>
      <c r="H84" s="10">
        <v>0.1</v>
      </c>
      <c r="I84" s="16" t="s">
        <v>26</v>
      </c>
      <c r="J84" s="10">
        <v>2337037.7799999998</v>
      </c>
      <c r="K84" s="16" t="s">
        <v>27</v>
      </c>
      <c r="L84" s="16">
        <v>160428</v>
      </c>
      <c r="M84" s="16" t="s">
        <v>1887</v>
      </c>
      <c r="O84" s="16">
        <v>1</v>
      </c>
    </row>
    <row r="85" spans="1:17" s="16" customFormat="1" hidden="1" x14ac:dyDescent="0.25">
      <c r="A85" s="16">
        <v>8003879954</v>
      </c>
      <c r="B85" s="16">
        <v>8</v>
      </c>
      <c r="C85" s="16">
        <v>12092018</v>
      </c>
      <c r="D85" s="16">
        <v>345</v>
      </c>
      <c r="E85" s="16" t="s">
        <v>51</v>
      </c>
      <c r="F85" s="16">
        <v>9938</v>
      </c>
      <c r="G85" s="16">
        <v>34920538</v>
      </c>
      <c r="H85" s="10">
        <v>351.75</v>
      </c>
      <c r="I85" s="16" t="s">
        <v>26</v>
      </c>
      <c r="J85" s="10">
        <v>2337037.88</v>
      </c>
      <c r="K85" s="16" t="s">
        <v>27</v>
      </c>
      <c r="L85" s="16">
        <v>160234</v>
      </c>
      <c r="M85" s="16" t="s">
        <v>1888</v>
      </c>
      <c r="O85" s="16">
        <v>1</v>
      </c>
      <c r="P85" s="16" t="s">
        <v>1889</v>
      </c>
      <c r="Q85" s="16" t="s">
        <v>52</v>
      </c>
    </row>
    <row r="86" spans="1:17" s="16" customFormat="1" hidden="1" x14ac:dyDescent="0.25">
      <c r="A86" s="16">
        <v>8003879954</v>
      </c>
      <c r="B86" s="16">
        <v>7</v>
      </c>
      <c r="C86" s="16">
        <v>12092018</v>
      </c>
      <c r="D86" s="16">
        <v>60</v>
      </c>
      <c r="E86" s="16" t="s">
        <v>37</v>
      </c>
      <c r="F86" s="16">
        <v>9938</v>
      </c>
      <c r="G86" s="16">
        <v>34920292</v>
      </c>
      <c r="H86" s="10">
        <v>450</v>
      </c>
      <c r="I86" s="16" t="s">
        <v>26</v>
      </c>
      <c r="J86" s="10">
        <v>2337389.63</v>
      </c>
      <c r="K86" s="16" t="s">
        <v>27</v>
      </c>
      <c r="L86" s="16">
        <v>160229</v>
      </c>
      <c r="M86" s="16" t="s">
        <v>1528</v>
      </c>
      <c r="O86" s="16">
        <v>1</v>
      </c>
      <c r="P86" s="16" t="s">
        <v>1890</v>
      </c>
      <c r="Q86" s="16" t="s">
        <v>1891</v>
      </c>
    </row>
    <row r="87" spans="1:17" s="16" customFormat="1" hidden="1" x14ac:dyDescent="0.25">
      <c r="A87" s="16">
        <v>8003879954</v>
      </c>
      <c r="B87" s="16">
        <v>6</v>
      </c>
      <c r="C87" s="16">
        <v>12092018</v>
      </c>
      <c r="D87" s="16">
        <v>345</v>
      </c>
      <c r="E87" s="16" t="s">
        <v>51</v>
      </c>
      <c r="F87" s="16">
        <v>9938</v>
      </c>
      <c r="G87" s="16">
        <v>34923045</v>
      </c>
      <c r="H87" s="10">
        <v>600</v>
      </c>
      <c r="I87" s="16" t="s">
        <v>26</v>
      </c>
      <c r="J87" s="10">
        <v>2337839.63</v>
      </c>
      <c r="K87" s="16" t="s">
        <v>27</v>
      </c>
      <c r="L87" s="16">
        <v>160224</v>
      </c>
      <c r="M87" s="16" t="s">
        <v>1892</v>
      </c>
      <c r="O87" s="16">
        <v>1</v>
      </c>
      <c r="P87" s="16" t="s">
        <v>1893</v>
      </c>
      <c r="Q87" s="16" t="s">
        <v>653</v>
      </c>
    </row>
    <row r="88" spans="1:17" s="16" customFormat="1" hidden="1" x14ac:dyDescent="0.25">
      <c r="A88" s="16">
        <v>8003879954</v>
      </c>
      <c r="B88" s="16">
        <v>5</v>
      </c>
      <c r="C88" s="16">
        <v>12092018</v>
      </c>
      <c r="D88" s="16">
        <v>60</v>
      </c>
      <c r="E88" s="16" t="s">
        <v>37</v>
      </c>
      <c r="F88" s="16">
        <v>9938</v>
      </c>
      <c r="G88" s="16">
        <v>34917691</v>
      </c>
      <c r="H88" s="10">
        <v>1122.5</v>
      </c>
      <c r="I88" s="16" t="s">
        <v>26</v>
      </c>
      <c r="J88" s="10">
        <v>2338439.63</v>
      </c>
      <c r="K88" s="16" t="s">
        <v>27</v>
      </c>
      <c r="L88" s="16">
        <v>160210</v>
      </c>
      <c r="M88" s="16" t="s">
        <v>1894</v>
      </c>
      <c r="O88" s="16">
        <v>1</v>
      </c>
      <c r="P88" s="16" t="s">
        <v>1895</v>
      </c>
      <c r="Q88" s="16" t="s">
        <v>1896</v>
      </c>
    </row>
    <row r="89" spans="1:17" s="16" customFormat="1" hidden="1" x14ac:dyDescent="0.25">
      <c r="A89" s="16">
        <v>8003879954</v>
      </c>
      <c r="B89" s="16">
        <v>4</v>
      </c>
      <c r="C89" s="16">
        <v>12092018</v>
      </c>
      <c r="D89" s="16">
        <v>345</v>
      </c>
      <c r="E89" s="16" t="s">
        <v>51</v>
      </c>
      <c r="F89" s="16">
        <v>9938</v>
      </c>
      <c r="G89" s="16">
        <v>34922543</v>
      </c>
      <c r="H89" s="10">
        <v>1864.41</v>
      </c>
      <c r="I89" s="16" t="s">
        <v>26</v>
      </c>
      <c r="J89" s="10">
        <v>2339562.13</v>
      </c>
      <c r="K89" s="16" t="s">
        <v>27</v>
      </c>
      <c r="L89" s="16">
        <v>160159</v>
      </c>
      <c r="M89" s="16" t="s">
        <v>1897</v>
      </c>
      <c r="O89" s="16">
        <v>1</v>
      </c>
      <c r="P89" s="16" t="s">
        <v>1898</v>
      </c>
      <c r="Q89" s="16" t="s">
        <v>52</v>
      </c>
    </row>
    <row r="90" spans="1:17" s="16" customFormat="1" hidden="1" x14ac:dyDescent="0.25">
      <c r="A90" s="16">
        <v>8003879954</v>
      </c>
      <c r="B90" s="16">
        <v>3</v>
      </c>
      <c r="C90" s="16">
        <v>12092018</v>
      </c>
      <c r="D90" s="16">
        <v>345</v>
      </c>
      <c r="E90" s="16" t="s">
        <v>51</v>
      </c>
      <c r="F90" s="16">
        <v>9938</v>
      </c>
      <c r="G90" s="16">
        <v>34917964</v>
      </c>
      <c r="H90" s="10">
        <v>5079.95</v>
      </c>
      <c r="I90" s="16" t="s">
        <v>26</v>
      </c>
      <c r="J90" s="10">
        <v>2341426.54</v>
      </c>
      <c r="K90" s="16" t="s">
        <v>27</v>
      </c>
      <c r="L90" s="16">
        <v>160133</v>
      </c>
      <c r="M90" s="16" t="s">
        <v>1899</v>
      </c>
      <c r="O90" s="16">
        <v>1</v>
      </c>
      <c r="P90" s="16" t="s">
        <v>1900</v>
      </c>
      <c r="Q90" s="16" t="s">
        <v>1901</v>
      </c>
    </row>
    <row r="91" spans="1:17" s="16" customFormat="1" hidden="1" x14ac:dyDescent="0.25">
      <c r="A91" s="16">
        <v>8003879954</v>
      </c>
      <c r="B91" s="16">
        <v>2</v>
      </c>
      <c r="C91" s="16">
        <v>12092018</v>
      </c>
      <c r="D91" s="16">
        <v>345</v>
      </c>
      <c r="E91" s="16" t="s">
        <v>51</v>
      </c>
      <c r="F91" s="16">
        <v>9938</v>
      </c>
      <c r="G91" s="16">
        <v>34920360</v>
      </c>
      <c r="H91" s="10">
        <v>5679.43</v>
      </c>
      <c r="I91" s="16" t="s">
        <v>26</v>
      </c>
      <c r="J91" s="10">
        <v>2346506.4900000002</v>
      </c>
      <c r="K91" s="16" t="s">
        <v>27</v>
      </c>
      <c r="L91" s="16">
        <v>160131</v>
      </c>
      <c r="M91" s="16" t="s">
        <v>1902</v>
      </c>
      <c r="O91" s="16">
        <v>1</v>
      </c>
      <c r="P91" s="16" t="s">
        <v>1903</v>
      </c>
      <c r="Q91" s="16" t="s">
        <v>52</v>
      </c>
    </row>
    <row r="92" spans="1:17" s="16" customFormat="1" hidden="1" x14ac:dyDescent="0.25">
      <c r="A92" s="16">
        <v>8003879954</v>
      </c>
      <c r="B92" s="16">
        <v>1</v>
      </c>
      <c r="C92" s="16">
        <v>12092018</v>
      </c>
      <c r="D92" s="16">
        <v>345</v>
      </c>
      <c r="E92" s="16" t="s">
        <v>51</v>
      </c>
      <c r="F92" s="16">
        <v>9938</v>
      </c>
      <c r="G92" s="16">
        <v>34920173</v>
      </c>
      <c r="H92" s="10">
        <v>6336.5</v>
      </c>
      <c r="I92" s="16" t="s">
        <v>26</v>
      </c>
      <c r="J92" s="10">
        <v>2352185.92</v>
      </c>
      <c r="K92" s="16" t="s">
        <v>27</v>
      </c>
      <c r="L92" s="16">
        <v>160129</v>
      </c>
      <c r="M92" s="16" t="s">
        <v>1904</v>
      </c>
      <c r="O92" s="16">
        <v>1</v>
      </c>
      <c r="P92" s="16" t="s">
        <v>1905</v>
      </c>
      <c r="Q92" s="16" t="s">
        <v>52</v>
      </c>
    </row>
    <row r="93" spans="1:17" s="16" customFormat="1" hidden="1" x14ac:dyDescent="0.25">
      <c r="A93" s="16">
        <v>8003879954</v>
      </c>
      <c r="B93" s="16">
        <v>3</v>
      </c>
      <c r="C93" s="16">
        <v>6092018</v>
      </c>
      <c r="D93" s="16">
        <v>60</v>
      </c>
      <c r="E93" s="16" t="s">
        <v>37</v>
      </c>
      <c r="F93" s="16">
        <v>9938</v>
      </c>
      <c r="G93" s="16">
        <v>34805075</v>
      </c>
      <c r="H93" s="10">
        <v>155</v>
      </c>
      <c r="I93" s="16" t="s">
        <v>26</v>
      </c>
      <c r="J93" s="10">
        <v>2358522.42</v>
      </c>
      <c r="K93" s="16" t="s">
        <v>27</v>
      </c>
      <c r="L93" s="16">
        <v>144456</v>
      </c>
      <c r="M93" s="16" t="s">
        <v>1906</v>
      </c>
      <c r="O93" s="16">
        <v>1</v>
      </c>
      <c r="P93" s="16" t="s">
        <v>1907</v>
      </c>
      <c r="Q93" s="16" t="s">
        <v>835</v>
      </c>
    </row>
    <row r="94" spans="1:17" s="16" customFormat="1" hidden="1" x14ac:dyDescent="0.25">
      <c r="A94" s="16">
        <v>8003879954</v>
      </c>
      <c r="B94" s="16">
        <v>2</v>
      </c>
      <c r="C94" s="16">
        <v>6092018</v>
      </c>
      <c r="D94" s="16">
        <v>341</v>
      </c>
      <c r="E94" s="16" t="s">
        <v>25</v>
      </c>
      <c r="F94" s="16">
        <v>9938</v>
      </c>
      <c r="G94" s="16">
        <v>34805275</v>
      </c>
      <c r="H94" s="10">
        <v>10064</v>
      </c>
      <c r="I94" s="16" t="s">
        <v>26</v>
      </c>
      <c r="J94" s="10">
        <v>2358677.42</v>
      </c>
      <c r="K94" s="16" t="s">
        <v>27</v>
      </c>
      <c r="L94" s="16">
        <v>144455</v>
      </c>
      <c r="M94" s="16" t="s">
        <v>1451</v>
      </c>
      <c r="O94" s="16">
        <v>1</v>
      </c>
      <c r="P94" s="16" t="s">
        <v>1908</v>
      </c>
      <c r="Q94" s="16" t="s">
        <v>1909</v>
      </c>
    </row>
    <row r="95" spans="1:17" s="16" customFormat="1" x14ac:dyDescent="0.25">
      <c r="A95" s="16">
        <v>8003879954</v>
      </c>
      <c r="B95" s="16">
        <v>1</v>
      </c>
      <c r="C95" s="16">
        <v>6092018</v>
      </c>
      <c r="D95" s="16">
        <v>489</v>
      </c>
      <c r="E95" s="16" t="s">
        <v>31</v>
      </c>
      <c r="F95" s="16">
        <v>9938</v>
      </c>
      <c r="G95" s="16">
        <v>34805275</v>
      </c>
      <c r="H95" s="10">
        <v>0.1</v>
      </c>
      <c r="I95" s="16" t="s">
        <v>26</v>
      </c>
      <c r="J95" s="10">
        <v>2368741.42</v>
      </c>
      <c r="K95" s="16" t="s">
        <v>27</v>
      </c>
      <c r="L95" s="16">
        <v>144455</v>
      </c>
      <c r="M95" s="16" t="s">
        <v>1910</v>
      </c>
      <c r="O95" s="16">
        <v>1</v>
      </c>
    </row>
    <row r="96" spans="1:17" s="16" customFormat="1" x14ac:dyDescent="0.25">
      <c r="A96" s="16">
        <v>8003879954</v>
      </c>
      <c r="B96" s="16">
        <v>6</v>
      </c>
      <c r="C96" s="16">
        <v>5092018</v>
      </c>
      <c r="D96" s="16">
        <v>819</v>
      </c>
      <c r="E96" s="16" t="s">
        <v>35</v>
      </c>
      <c r="H96" s="10">
        <v>0.5</v>
      </c>
      <c r="I96" s="16" t="s">
        <v>26</v>
      </c>
      <c r="J96" s="10">
        <v>2368741.52</v>
      </c>
      <c r="K96" s="16" t="s">
        <v>27</v>
      </c>
      <c r="L96" s="16">
        <v>21315</v>
      </c>
      <c r="O96" s="16">
        <v>1</v>
      </c>
    </row>
    <row r="97" spans="1:15" s="16" customFormat="1" x14ac:dyDescent="0.25">
      <c r="A97" s="16">
        <v>8003879954</v>
      </c>
      <c r="B97" s="16">
        <v>5</v>
      </c>
      <c r="C97" s="16">
        <v>5092018</v>
      </c>
      <c r="D97" s="16">
        <v>819</v>
      </c>
      <c r="E97" s="16" t="s">
        <v>35</v>
      </c>
      <c r="H97" s="10">
        <v>1.5</v>
      </c>
      <c r="I97" s="16" t="s">
        <v>26</v>
      </c>
      <c r="J97" s="10">
        <v>2368742.02</v>
      </c>
      <c r="K97" s="16" t="s">
        <v>27</v>
      </c>
      <c r="L97" s="16">
        <v>21315</v>
      </c>
      <c r="O97" s="16">
        <v>1</v>
      </c>
    </row>
    <row r="98" spans="1:15" s="16" customFormat="1" hidden="1" x14ac:dyDescent="0.25">
      <c r="A98" s="16">
        <v>8003879954</v>
      </c>
      <c r="B98" s="16">
        <v>4</v>
      </c>
      <c r="C98" s="16">
        <v>5092018</v>
      </c>
      <c r="D98" s="16">
        <v>321</v>
      </c>
      <c r="E98" s="16" t="s">
        <v>36</v>
      </c>
      <c r="F98" s="16">
        <v>0</v>
      </c>
      <c r="G98" s="16">
        <v>688271</v>
      </c>
      <c r="H98" s="10">
        <v>14000</v>
      </c>
      <c r="I98" s="16" t="s">
        <v>26</v>
      </c>
      <c r="J98" s="10">
        <v>2368743.52</v>
      </c>
      <c r="K98" s="16" t="s">
        <v>27</v>
      </c>
      <c r="L98" s="16">
        <v>21144</v>
      </c>
      <c r="O98" s="16">
        <v>1</v>
      </c>
    </row>
    <row r="99" spans="1:15" s="16" customFormat="1" hidden="1" x14ac:dyDescent="0.25">
      <c r="A99" s="16">
        <v>8003879954</v>
      </c>
      <c r="B99" s="16">
        <v>3</v>
      </c>
      <c r="C99" s="16">
        <v>5092018</v>
      </c>
      <c r="D99" s="16">
        <v>323</v>
      </c>
      <c r="E99" s="16" t="s">
        <v>50</v>
      </c>
      <c r="F99" s="16">
        <v>0</v>
      </c>
      <c r="G99" s="16">
        <v>688270</v>
      </c>
      <c r="H99" s="10">
        <v>51450</v>
      </c>
      <c r="I99" s="16" t="s">
        <v>26</v>
      </c>
      <c r="J99" s="10">
        <v>2382743.52</v>
      </c>
      <c r="K99" s="16" t="s">
        <v>27</v>
      </c>
      <c r="L99" s="16">
        <v>21144</v>
      </c>
      <c r="O99" s="16">
        <v>1</v>
      </c>
    </row>
    <row r="100" spans="1:15" s="16" customFormat="1" hidden="1" x14ac:dyDescent="0.25">
      <c r="A100" s="16">
        <v>8003879954</v>
      </c>
      <c r="B100" s="16">
        <v>2</v>
      </c>
      <c r="C100" s="16">
        <v>5092018</v>
      </c>
      <c r="D100" s="16">
        <v>323</v>
      </c>
      <c r="E100" s="16" t="s">
        <v>50</v>
      </c>
      <c r="F100" s="16">
        <v>0</v>
      </c>
      <c r="G100" s="16">
        <v>688269</v>
      </c>
      <c r="H100" s="10">
        <v>10370</v>
      </c>
      <c r="I100" s="16" t="s">
        <v>26</v>
      </c>
      <c r="J100" s="10">
        <v>2434193.52</v>
      </c>
      <c r="K100" s="16" t="s">
        <v>27</v>
      </c>
      <c r="L100" s="16">
        <v>21144</v>
      </c>
      <c r="O100" s="16">
        <v>1</v>
      </c>
    </row>
    <row r="101" spans="1:15" s="16" customFormat="1" hidden="1" x14ac:dyDescent="0.25">
      <c r="A101" s="16">
        <v>8003879954</v>
      </c>
      <c r="B101" s="16">
        <v>1</v>
      </c>
      <c r="C101" s="16">
        <v>5092018</v>
      </c>
      <c r="D101" s="16">
        <v>323</v>
      </c>
      <c r="E101" s="16" t="s">
        <v>50</v>
      </c>
      <c r="F101" s="16">
        <v>0</v>
      </c>
      <c r="G101" s="16">
        <v>688268</v>
      </c>
      <c r="H101" s="10">
        <v>15772</v>
      </c>
      <c r="I101" s="16" t="s">
        <v>26</v>
      </c>
      <c r="J101" s="10">
        <v>2444563.52</v>
      </c>
      <c r="K101" s="16" t="s">
        <v>27</v>
      </c>
      <c r="L101" s="16">
        <v>21144</v>
      </c>
      <c r="O101" s="16">
        <v>1</v>
      </c>
    </row>
    <row r="102" spans="1:15" s="16" customFormat="1" hidden="1" x14ac:dyDescent="0.25">
      <c r="A102" s="16">
        <v>8003879954</v>
      </c>
      <c r="B102" s="16">
        <v>3</v>
      </c>
      <c r="C102" s="16">
        <v>4092018</v>
      </c>
      <c r="D102" s="16">
        <v>123</v>
      </c>
      <c r="E102" s="16" t="s">
        <v>64</v>
      </c>
      <c r="F102" s="16">
        <v>2007</v>
      </c>
      <c r="G102" s="16">
        <v>44805817</v>
      </c>
      <c r="H102" s="10">
        <v>45.22</v>
      </c>
      <c r="I102" s="16" t="s">
        <v>27</v>
      </c>
      <c r="J102" s="10">
        <v>2460335.52</v>
      </c>
      <c r="K102" s="16" t="s">
        <v>27</v>
      </c>
      <c r="L102" s="16">
        <v>191556</v>
      </c>
      <c r="O102" s="16">
        <v>1</v>
      </c>
    </row>
    <row r="103" spans="1:15" s="16" customFormat="1" hidden="1" x14ac:dyDescent="0.25">
      <c r="A103" s="16">
        <v>8003879954</v>
      </c>
      <c r="B103" s="16">
        <v>2</v>
      </c>
      <c r="C103" s="16">
        <v>4092018</v>
      </c>
      <c r="D103" s="16">
        <v>123</v>
      </c>
      <c r="E103" s="16" t="s">
        <v>64</v>
      </c>
      <c r="F103" s="16">
        <v>2007</v>
      </c>
      <c r="G103" s="16">
        <v>81834522</v>
      </c>
      <c r="H103" s="10">
        <v>2000</v>
      </c>
      <c r="I103" s="16" t="s">
        <v>27</v>
      </c>
      <c r="J103" s="10">
        <v>2460290.2999999998</v>
      </c>
      <c r="K103" s="16" t="s">
        <v>27</v>
      </c>
      <c r="L103" s="16">
        <v>191556</v>
      </c>
      <c r="O103" s="16">
        <v>1</v>
      </c>
    </row>
    <row r="104" spans="1:15" s="16" customFormat="1" hidden="1" x14ac:dyDescent="0.25">
      <c r="A104" s="16">
        <v>8003879954</v>
      </c>
      <c r="B104" s="16">
        <v>1</v>
      </c>
      <c r="C104" s="16">
        <v>4092018</v>
      </c>
      <c r="D104" s="16">
        <v>123</v>
      </c>
      <c r="E104" s="16" t="s">
        <v>64</v>
      </c>
      <c r="F104" s="16">
        <v>2007</v>
      </c>
      <c r="G104" s="16">
        <v>81834422</v>
      </c>
      <c r="H104" s="10">
        <v>2000</v>
      </c>
      <c r="I104" s="16" t="s">
        <v>27</v>
      </c>
      <c r="J104" s="10">
        <v>2458290.2999999998</v>
      </c>
      <c r="K104" s="16" t="s">
        <v>27</v>
      </c>
      <c r="L104" s="16">
        <v>191556</v>
      </c>
      <c r="O104" s="16">
        <v>1</v>
      </c>
    </row>
    <row r="105" spans="1:15" s="16" customFormat="1" hidden="1" x14ac:dyDescent="0.25">
      <c r="H105" s="10"/>
      <c r="J105" s="10"/>
    </row>
    <row r="106" spans="1:15" s="16" customFormat="1" hidden="1" x14ac:dyDescent="0.25">
      <c r="H106" s="10"/>
      <c r="J106" s="10"/>
    </row>
    <row r="107" spans="1:15" hidden="1" x14ac:dyDescent="0.25"/>
    <row r="108" spans="1:15" x14ac:dyDescent="0.25">
      <c r="H108" s="2">
        <f>SUBTOTAL(9,H10:H106)</f>
        <v>7.3999999999999986</v>
      </c>
    </row>
  </sheetData>
  <autoFilter ref="A8:M107" xr:uid="{B1B85419-5780-47F1-BFBD-D8C471736851}">
    <filterColumn colId="4">
      <filters>
        <filter val="CHQ PROCESSING FEE"/>
        <filter val="OTHER TRANSFER FE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March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2018-03-09T07:23:59Z</dcterms:created>
  <dcterms:modified xsi:type="dcterms:W3CDTF">2019-01-11T10:00:42Z</dcterms:modified>
</cp:coreProperties>
</file>